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comments4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240" yWindow="105" windowWidth="14805" windowHeight="7995" tabRatio="601" firstSheet="29" activeTab="31"/>
  </bookViews>
  <sheets>
    <sheet name="Aug - 20" sheetId="2" state="hidden" r:id="rId1"/>
    <sheet name="Sep-20" sheetId="3" state="hidden" r:id="rId2"/>
    <sheet name="Oct-20" sheetId="4" state="hidden" r:id="rId3"/>
    <sheet name="Nov-20" sheetId="5" state="hidden" r:id="rId4"/>
    <sheet name="Dec-20" sheetId="7" state="hidden" r:id="rId5"/>
    <sheet name="Oct-21" sheetId="18" state="hidden" r:id="rId6"/>
    <sheet name="Nov-21" sheetId="19" state="hidden" r:id="rId7"/>
    <sheet name="Dec-21" sheetId="20" state="hidden" r:id="rId8"/>
    <sheet name="Jan-22" sheetId="21" state="hidden" r:id="rId9"/>
    <sheet name="Feb-22" sheetId="22" state="hidden" r:id="rId10"/>
    <sheet name="Mar-22" sheetId="23" state="hidden" r:id="rId11"/>
    <sheet name="Apr-22" sheetId="24" state="hidden" r:id="rId12"/>
    <sheet name="May-22" sheetId="25" state="hidden" r:id="rId13"/>
    <sheet name="Jun-22" sheetId="26" state="hidden" r:id="rId14"/>
    <sheet name="Jul-22" sheetId="27" state="hidden" r:id="rId15"/>
    <sheet name="Aug-22" sheetId="28" state="hidden" r:id="rId16"/>
    <sheet name="Sep-22" sheetId="30" state="hidden" r:id="rId17"/>
    <sheet name="Oct-22" sheetId="31" state="hidden" r:id="rId18"/>
    <sheet name="Nov-22" sheetId="32" state="hidden" r:id="rId19"/>
    <sheet name="Dec-22" sheetId="33" state="hidden" r:id="rId20"/>
    <sheet name="Jan-23" sheetId="34" state="hidden" r:id="rId21"/>
    <sheet name="Feb-23" sheetId="35" state="hidden" r:id="rId22"/>
    <sheet name="Mar-23" sheetId="36" state="hidden" r:id="rId23"/>
    <sheet name="Apr-23" sheetId="37" state="hidden" r:id="rId24"/>
    <sheet name="May-23" sheetId="38" state="hidden" r:id="rId25"/>
    <sheet name="Jun-23" sheetId="39" state="hidden" r:id="rId26"/>
    <sheet name="Jul-23" sheetId="40" state="hidden" r:id="rId27"/>
    <sheet name="Aug-23" sheetId="41" state="hidden" r:id="rId28"/>
    <sheet name="Sep-23" sheetId="42" state="hidden" r:id="rId29"/>
    <sheet name="Oct-23" sheetId="43" r:id="rId30"/>
    <sheet name="Nov-23" sheetId="44" r:id="rId31"/>
    <sheet name="Dec-23" sheetId="45" r:id="rId32"/>
  </sheets>
  <calcPr calcId="125725"/>
</workbook>
</file>

<file path=xl/calcChain.xml><?xml version="1.0" encoding="utf-8"?>
<calcChain xmlns="http://schemas.openxmlformats.org/spreadsheetml/2006/main">
  <c r="M36" i="45"/>
  <c r="M35"/>
  <c r="J34"/>
  <c r="M34"/>
  <c r="T32"/>
  <c r="AD33"/>
  <c r="AD32" l="1"/>
  <c r="AD31"/>
  <c r="AD30"/>
  <c r="AD29"/>
  <c r="AD28"/>
  <c r="AD27"/>
  <c r="M32"/>
  <c r="M31"/>
  <c r="J30"/>
  <c r="M30"/>
  <c r="J29"/>
  <c r="S29"/>
  <c r="M29"/>
  <c r="R28"/>
  <c r="Q28"/>
  <c r="M28"/>
  <c r="M27"/>
  <c r="M26"/>
  <c r="AD25"/>
  <c r="AB25"/>
  <c r="AA40"/>
  <c r="AA39"/>
  <c r="AA38"/>
  <c r="AA37"/>
  <c r="AA18"/>
  <c r="AA19"/>
  <c r="AA20"/>
  <c r="AA21"/>
  <c r="AA22"/>
  <c r="AA23"/>
  <c r="AA24"/>
  <c r="D24"/>
  <c r="M24"/>
  <c r="M23"/>
  <c r="K9"/>
  <c r="K17"/>
  <c r="K25"/>
  <c r="K33"/>
  <c r="K41"/>
  <c r="J22"/>
  <c r="M22"/>
  <c r="K42" l="1"/>
  <c r="M21"/>
  <c r="M20"/>
  <c r="L20" s="1"/>
  <c r="M19"/>
  <c r="L19" s="1"/>
  <c r="M18"/>
  <c r="M16"/>
  <c r="M13"/>
  <c r="Z13"/>
  <c r="I13"/>
  <c r="AG13"/>
  <c r="AG14"/>
  <c r="AD14"/>
  <c r="AB14"/>
  <c r="Z14"/>
  <c r="M14"/>
  <c r="L14"/>
  <c r="AA14" s="1"/>
  <c r="I14"/>
  <c r="AG15"/>
  <c r="AD15"/>
  <c r="AB15"/>
  <c r="Z15"/>
  <c r="M15"/>
  <c r="L15" s="1"/>
  <c r="AA15" s="1"/>
  <c r="I15"/>
  <c r="M12"/>
  <c r="L12" s="1"/>
  <c r="M11"/>
  <c r="L11" s="1"/>
  <c r="M10"/>
  <c r="J8"/>
  <c r="M8"/>
  <c r="M7"/>
  <c r="L7" s="1"/>
  <c r="M6"/>
  <c r="Z36"/>
  <c r="AB36"/>
  <c r="AD36"/>
  <c r="AG36"/>
  <c r="Z37"/>
  <c r="AB37"/>
  <c r="AD37"/>
  <c r="AG37"/>
  <c r="Z38"/>
  <c r="AB38"/>
  <c r="AD38"/>
  <c r="AG38"/>
  <c r="Z39"/>
  <c r="AB39"/>
  <c r="AD39"/>
  <c r="AG39"/>
  <c r="Z40"/>
  <c r="AB40"/>
  <c r="AD40"/>
  <c r="AG40"/>
  <c r="I35"/>
  <c r="L35"/>
  <c r="I36"/>
  <c r="L36"/>
  <c r="I37"/>
  <c r="L37"/>
  <c r="I38"/>
  <c r="L38"/>
  <c r="I39"/>
  <c r="L39"/>
  <c r="I40"/>
  <c r="L40"/>
  <c r="AG5"/>
  <c r="AD5"/>
  <c r="AB5"/>
  <c r="Z5"/>
  <c r="M5"/>
  <c r="L5" s="1"/>
  <c r="AA5" s="1"/>
  <c r="I5"/>
  <c r="AG4"/>
  <c r="AD4"/>
  <c r="AB4"/>
  <c r="U4"/>
  <c r="Z4" s="1"/>
  <c r="M4"/>
  <c r="L4" s="1"/>
  <c r="AA4" s="1"/>
  <c r="J4"/>
  <c r="I4"/>
  <c r="AG3"/>
  <c r="AD3"/>
  <c r="AB3"/>
  <c r="Z3"/>
  <c r="M3"/>
  <c r="L3" s="1"/>
  <c r="AA3" s="1"/>
  <c r="I3"/>
  <c r="AG2"/>
  <c r="AD2"/>
  <c r="AB2"/>
  <c r="Z2"/>
  <c r="M2"/>
  <c r="L2" s="1"/>
  <c r="AA2" s="1"/>
  <c r="I2"/>
  <c r="AE41"/>
  <c r="AC41"/>
  <c r="Y41"/>
  <c r="X41"/>
  <c r="W41"/>
  <c r="V41"/>
  <c r="U41"/>
  <c r="T41"/>
  <c r="S41"/>
  <c r="R41"/>
  <c r="Q41"/>
  <c r="P41"/>
  <c r="O41"/>
  <c r="N41"/>
  <c r="H41"/>
  <c r="G41"/>
  <c r="F41"/>
  <c r="E41"/>
  <c r="D41"/>
  <c r="C41"/>
  <c r="J41"/>
  <c r="AG35"/>
  <c r="AD35"/>
  <c r="AB35"/>
  <c r="Z35"/>
  <c r="AG34"/>
  <c r="AD34"/>
  <c r="AB34"/>
  <c r="Z34"/>
  <c r="L34"/>
  <c r="AA34" s="1"/>
  <c r="I34"/>
  <c r="AF33"/>
  <c r="AC33"/>
  <c r="Y33"/>
  <c r="X33"/>
  <c r="W33"/>
  <c r="V33"/>
  <c r="U33"/>
  <c r="T33"/>
  <c r="S33"/>
  <c r="R33"/>
  <c r="Q33"/>
  <c r="P33"/>
  <c r="O33"/>
  <c r="N33"/>
  <c r="J33"/>
  <c r="H33"/>
  <c r="G33"/>
  <c r="F33"/>
  <c r="E33"/>
  <c r="D33"/>
  <c r="C33"/>
  <c r="AG32"/>
  <c r="AB32"/>
  <c r="Z32"/>
  <c r="L32"/>
  <c r="I32"/>
  <c r="AG31"/>
  <c r="AB31"/>
  <c r="Z31"/>
  <c r="L31"/>
  <c r="I31"/>
  <c r="AG30"/>
  <c r="AB30"/>
  <c r="Z30"/>
  <c r="L30"/>
  <c r="I30"/>
  <c r="AG29"/>
  <c r="AE33"/>
  <c r="AB29"/>
  <c r="Z29"/>
  <c r="L29"/>
  <c r="I29"/>
  <c r="AG28"/>
  <c r="AB28"/>
  <c r="Z28"/>
  <c r="L28"/>
  <c r="I28"/>
  <c r="AG27"/>
  <c r="AB27"/>
  <c r="Z27"/>
  <c r="L27"/>
  <c r="I27"/>
  <c r="AG26"/>
  <c r="AD26"/>
  <c r="AB26"/>
  <c r="Z26"/>
  <c r="L26"/>
  <c r="AA26" s="1"/>
  <c r="I26"/>
  <c r="AF25"/>
  <c r="AE25"/>
  <c r="AC25"/>
  <c r="Y25"/>
  <c r="X25"/>
  <c r="W25"/>
  <c r="V25"/>
  <c r="U25"/>
  <c r="T25"/>
  <c r="R25"/>
  <c r="Q25"/>
  <c r="P25"/>
  <c r="O25"/>
  <c r="N25"/>
  <c r="H25"/>
  <c r="G25"/>
  <c r="F25"/>
  <c r="E25"/>
  <c r="D25"/>
  <c r="C25"/>
  <c r="AG24"/>
  <c r="AD24"/>
  <c r="AB24"/>
  <c r="Z24"/>
  <c r="L24"/>
  <c r="I24"/>
  <c r="AG23"/>
  <c r="AD23"/>
  <c r="AB23"/>
  <c r="Z23"/>
  <c r="L23"/>
  <c r="I23"/>
  <c r="AG22"/>
  <c r="AD22"/>
  <c r="AB22"/>
  <c r="L22"/>
  <c r="J25"/>
  <c r="I22"/>
  <c r="AG21"/>
  <c r="AD21"/>
  <c r="AB21"/>
  <c r="Z21"/>
  <c r="L21"/>
  <c r="I21"/>
  <c r="AG20"/>
  <c r="AD20"/>
  <c r="AB20"/>
  <c r="Z20"/>
  <c r="I20"/>
  <c r="AG19"/>
  <c r="AD19"/>
  <c r="AB19"/>
  <c r="Z19"/>
  <c r="S25"/>
  <c r="I19"/>
  <c r="AG18"/>
  <c r="AD18"/>
  <c r="AB18"/>
  <c r="Z18"/>
  <c r="L18"/>
  <c r="I18"/>
  <c r="AF17"/>
  <c r="AC17"/>
  <c r="Y17"/>
  <c r="V17"/>
  <c r="U17"/>
  <c r="T17"/>
  <c r="R17"/>
  <c r="Q17"/>
  <c r="O17"/>
  <c r="N17"/>
  <c r="J17"/>
  <c r="H17"/>
  <c r="G17"/>
  <c r="F17"/>
  <c r="E17"/>
  <c r="C17"/>
  <c r="AG16"/>
  <c r="AD16"/>
  <c r="AB16"/>
  <c r="L16"/>
  <c r="I16"/>
  <c r="D17"/>
  <c r="P17"/>
  <c r="AG12"/>
  <c r="AD12"/>
  <c r="AB12"/>
  <c r="Z12"/>
  <c r="S17"/>
  <c r="I12"/>
  <c r="AG11"/>
  <c r="AD11"/>
  <c r="AB11"/>
  <c r="X17"/>
  <c r="I11"/>
  <c r="AG10"/>
  <c r="AD10"/>
  <c r="AB10"/>
  <c r="Z10"/>
  <c r="I10"/>
  <c r="AF9"/>
  <c r="AE9"/>
  <c r="AC9"/>
  <c r="Y9"/>
  <c r="Y42" s="1"/>
  <c r="X9"/>
  <c r="W9"/>
  <c r="V9"/>
  <c r="U9"/>
  <c r="T9"/>
  <c r="Q9"/>
  <c r="P9"/>
  <c r="O9"/>
  <c r="N9"/>
  <c r="H9"/>
  <c r="G9"/>
  <c r="F9"/>
  <c r="E9"/>
  <c r="D9"/>
  <c r="C9"/>
  <c r="AG8"/>
  <c r="AD8"/>
  <c r="AB8"/>
  <c r="Z8"/>
  <c r="I8"/>
  <c r="AG7"/>
  <c r="AD7"/>
  <c r="AB7"/>
  <c r="Z7"/>
  <c r="I7"/>
  <c r="AG6"/>
  <c r="AD6"/>
  <c r="AB6"/>
  <c r="Z6"/>
  <c r="L6"/>
  <c r="I6"/>
  <c r="R9"/>
  <c r="J9"/>
  <c r="L37" i="44"/>
  <c r="T36"/>
  <c r="J36"/>
  <c r="L36"/>
  <c r="L35"/>
  <c r="L34"/>
  <c r="L32"/>
  <c r="L31"/>
  <c r="L30"/>
  <c r="AD29"/>
  <c r="L29"/>
  <c r="L28"/>
  <c r="L27"/>
  <c r="L26"/>
  <c r="P25"/>
  <c r="Q25"/>
  <c r="L24"/>
  <c r="L23"/>
  <c r="J22"/>
  <c r="L22"/>
  <c r="L21"/>
  <c r="L20"/>
  <c r="R19"/>
  <c r="L19"/>
  <c r="L18"/>
  <c r="L16"/>
  <c r="L15"/>
  <c r="R12"/>
  <c r="AD10"/>
  <c r="I10"/>
  <c r="L13"/>
  <c r="D14"/>
  <c r="L14"/>
  <c r="R13"/>
  <c r="O13"/>
  <c r="L12"/>
  <c r="W11"/>
  <c r="AA36" i="45" l="1"/>
  <c r="AA35"/>
  <c r="AA32"/>
  <c r="AA31"/>
  <c r="AA30"/>
  <c r="AA29"/>
  <c r="AA28"/>
  <c r="AA27"/>
  <c r="I33"/>
  <c r="W42"/>
  <c r="G42"/>
  <c r="C42"/>
  <c r="U42"/>
  <c r="R42"/>
  <c r="AA11"/>
  <c r="M17"/>
  <c r="H42"/>
  <c r="D42"/>
  <c r="AD9"/>
  <c r="I9"/>
  <c r="AG9"/>
  <c r="M9"/>
  <c r="AG25"/>
  <c r="AB17"/>
  <c r="AF42"/>
  <c r="AG33"/>
  <c r="AC42"/>
  <c r="E42"/>
  <c r="AD41"/>
  <c r="AB41"/>
  <c r="F42"/>
  <c r="AG41"/>
  <c r="N42"/>
  <c r="I41"/>
  <c r="O42"/>
  <c r="T42"/>
  <c r="V42"/>
  <c r="Q42"/>
  <c r="AB33"/>
  <c r="I25"/>
  <c r="Z33"/>
  <c r="I17"/>
  <c r="AD17"/>
  <c r="AA16"/>
  <c r="AG17"/>
  <c r="AA12"/>
  <c r="AB9"/>
  <c r="AA8"/>
  <c r="Z9"/>
  <c r="AA6"/>
  <c r="L25"/>
  <c r="L33"/>
  <c r="L41"/>
  <c r="L9"/>
  <c r="J42"/>
  <c r="X42"/>
  <c r="AA7"/>
  <c r="P42"/>
  <c r="S9"/>
  <c r="S42" s="1"/>
  <c r="L10"/>
  <c r="Z11"/>
  <c r="Z17" s="1"/>
  <c r="M25"/>
  <c r="M33"/>
  <c r="M41"/>
  <c r="AE17"/>
  <c r="AE42" s="1"/>
  <c r="Z22"/>
  <c r="Z25" s="1"/>
  <c r="Z41"/>
  <c r="Z10" i="44"/>
  <c r="L11"/>
  <c r="L10"/>
  <c r="L8"/>
  <c r="J7"/>
  <c r="L7"/>
  <c r="L6"/>
  <c r="L5"/>
  <c r="J4"/>
  <c r="L4"/>
  <c r="Q4"/>
  <c r="R4"/>
  <c r="AF3"/>
  <c r="AC3"/>
  <c r="AA3"/>
  <c r="Y3"/>
  <c r="R3"/>
  <c r="L3"/>
  <c r="K3" s="1"/>
  <c r="Z3" s="1"/>
  <c r="I3"/>
  <c r="M42" i="45" l="1"/>
  <c r="AD42"/>
  <c r="AG42"/>
  <c r="AB42"/>
  <c r="I42"/>
  <c r="AA41"/>
  <c r="AA33"/>
  <c r="Z42"/>
  <c r="AA9"/>
  <c r="AA25"/>
  <c r="AA10"/>
  <c r="AA17" s="1"/>
  <c r="L17"/>
  <c r="L42" s="1"/>
  <c r="R43" i="43"/>
  <c r="R44" s="1"/>
  <c r="L43"/>
  <c r="AF2" i="44"/>
  <c r="AC2"/>
  <c r="AA2"/>
  <c r="Y2"/>
  <c r="L2"/>
  <c r="K2" s="1"/>
  <c r="Z2" s="1"/>
  <c r="I2"/>
  <c r="AC12"/>
  <c r="AD38"/>
  <c r="AB38"/>
  <c r="X38"/>
  <c r="W38"/>
  <c r="V38"/>
  <c r="U38"/>
  <c r="S38"/>
  <c r="Q38"/>
  <c r="P38"/>
  <c r="O38"/>
  <c r="N38"/>
  <c r="M38"/>
  <c r="J38"/>
  <c r="H38"/>
  <c r="G38"/>
  <c r="F38"/>
  <c r="E38"/>
  <c r="D38"/>
  <c r="C38"/>
  <c r="AF37"/>
  <c r="AC37"/>
  <c r="AA37"/>
  <c r="Y37"/>
  <c r="K37"/>
  <c r="I37"/>
  <c r="AF36"/>
  <c r="AC36"/>
  <c r="AA36"/>
  <c r="Y36"/>
  <c r="K36"/>
  <c r="I36"/>
  <c r="AF35"/>
  <c r="AC35"/>
  <c r="AA35"/>
  <c r="Y35"/>
  <c r="L38"/>
  <c r="K35"/>
  <c r="I35"/>
  <c r="AF34"/>
  <c r="AC34"/>
  <c r="AA34"/>
  <c r="T38"/>
  <c r="R38"/>
  <c r="I34"/>
  <c r="AE33"/>
  <c r="AD33"/>
  <c r="AB33"/>
  <c r="X33"/>
  <c r="W33"/>
  <c r="V33"/>
  <c r="U33"/>
  <c r="T33"/>
  <c r="S33"/>
  <c r="R33"/>
  <c r="Q33"/>
  <c r="P33"/>
  <c r="O33"/>
  <c r="N33"/>
  <c r="M33"/>
  <c r="H33"/>
  <c r="G33"/>
  <c r="F33"/>
  <c r="E33"/>
  <c r="D33"/>
  <c r="C33"/>
  <c r="AF32"/>
  <c r="AC32"/>
  <c r="AA32"/>
  <c r="Y32"/>
  <c r="K32"/>
  <c r="I32"/>
  <c r="AF31"/>
  <c r="AC31"/>
  <c r="AA31"/>
  <c r="Y31"/>
  <c r="K31"/>
  <c r="I31"/>
  <c r="AF30"/>
  <c r="AC30"/>
  <c r="AA30"/>
  <c r="Y30"/>
  <c r="K30"/>
  <c r="I30"/>
  <c r="AF29"/>
  <c r="AC29"/>
  <c r="AA29"/>
  <c r="Y29"/>
  <c r="K29"/>
  <c r="I29"/>
  <c r="AF28"/>
  <c r="AC28"/>
  <c r="AA28"/>
  <c r="Y28"/>
  <c r="K28"/>
  <c r="I28"/>
  <c r="AF27"/>
  <c r="AC27"/>
  <c r="AA27"/>
  <c r="Y27"/>
  <c r="K27"/>
  <c r="I27"/>
  <c r="AF26"/>
  <c r="AC26"/>
  <c r="AA26"/>
  <c r="Y26"/>
  <c r="K26"/>
  <c r="I26"/>
  <c r="AE25"/>
  <c r="AD25"/>
  <c r="AB25"/>
  <c r="X25"/>
  <c r="W25"/>
  <c r="V25"/>
  <c r="U25"/>
  <c r="T25"/>
  <c r="S25"/>
  <c r="R25"/>
  <c r="O25"/>
  <c r="N25"/>
  <c r="M25"/>
  <c r="J25"/>
  <c r="H25"/>
  <c r="G25"/>
  <c r="F25"/>
  <c r="E25"/>
  <c r="D25"/>
  <c r="C25"/>
  <c r="AF24"/>
  <c r="AC24"/>
  <c r="AA24"/>
  <c r="Y24"/>
  <c r="K24"/>
  <c r="I24"/>
  <c r="AF23"/>
  <c r="AC23"/>
  <c r="AA23"/>
  <c r="Y23"/>
  <c r="K23"/>
  <c r="I23"/>
  <c r="AF22"/>
  <c r="AC22"/>
  <c r="AA22"/>
  <c r="Y22"/>
  <c r="K22"/>
  <c r="I22"/>
  <c r="AF21"/>
  <c r="AC21"/>
  <c r="AA21"/>
  <c r="Y21"/>
  <c r="K21"/>
  <c r="I21"/>
  <c r="AF20"/>
  <c r="AC20"/>
  <c r="AA20"/>
  <c r="Y20"/>
  <c r="K20"/>
  <c r="I20"/>
  <c r="AF19"/>
  <c r="AC19"/>
  <c r="AA19"/>
  <c r="Y19"/>
  <c r="K19"/>
  <c r="I19"/>
  <c r="AF18"/>
  <c r="AC18"/>
  <c r="AA18"/>
  <c r="Y18"/>
  <c r="K18"/>
  <c r="I18"/>
  <c r="AE17"/>
  <c r="AD17"/>
  <c r="AB17"/>
  <c r="X17"/>
  <c r="W17"/>
  <c r="U17"/>
  <c r="T17"/>
  <c r="S17"/>
  <c r="Q17"/>
  <c r="P17"/>
  <c r="O17"/>
  <c r="N17"/>
  <c r="M17"/>
  <c r="J17"/>
  <c r="H17"/>
  <c r="G17"/>
  <c r="F17"/>
  <c r="E17"/>
  <c r="C17"/>
  <c r="AF16"/>
  <c r="AC16"/>
  <c r="AA16"/>
  <c r="K16"/>
  <c r="I16"/>
  <c r="AF15"/>
  <c r="AC15"/>
  <c r="AA15"/>
  <c r="Y15"/>
  <c r="K15"/>
  <c r="D17"/>
  <c r="AF14"/>
  <c r="AC14"/>
  <c r="AA14"/>
  <c r="Y14"/>
  <c r="K14"/>
  <c r="I14"/>
  <c r="AF13"/>
  <c r="AC13"/>
  <c r="AA13"/>
  <c r="Y13"/>
  <c r="K13"/>
  <c r="I13"/>
  <c r="AF12"/>
  <c r="AA12"/>
  <c r="Y12"/>
  <c r="K12"/>
  <c r="I12"/>
  <c r="AF11"/>
  <c r="AC11"/>
  <c r="AA11"/>
  <c r="Y11"/>
  <c r="R17"/>
  <c r="I11"/>
  <c r="AF10"/>
  <c r="AC10"/>
  <c r="AA10"/>
  <c r="Y10"/>
  <c r="L17"/>
  <c r="K10"/>
  <c r="AE9"/>
  <c r="AD9"/>
  <c r="AB9"/>
  <c r="X9"/>
  <c r="X39" s="1"/>
  <c r="W9"/>
  <c r="V9"/>
  <c r="U9"/>
  <c r="S9"/>
  <c r="Q9"/>
  <c r="P9"/>
  <c r="O9"/>
  <c r="N9"/>
  <c r="M9"/>
  <c r="J9"/>
  <c r="H9"/>
  <c r="G9"/>
  <c r="F9"/>
  <c r="E9"/>
  <c r="AF8"/>
  <c r="AC8"/>
  <c r="AA8"/>
  <c r="Y8"/>
  <c r="K8"/>
  <c r="I8"/>
  <c r="AF7"/>
  <c r="AC7"/>
  <c r="AA7"/>
  <c r="Y7"/>
  <c r="K7"/>
  <c r="I7"/>
  <c r="AF6"/>
  <c r="AC6"/>
  <c r="AA6"/>
  <c r="Y6"/>
  <c r="K6"/>
  <c r="I6"/>
  <c r="AF5"/>
  <c r="AC5"/>
  <c r="AA5"/>
  <c r="Y5"/>
  <c r="K5"/>
  <c r="I5"/>
  <c r="AF4"/>
  <c r="AC4"/>
  <c r="AA4"/>
  <c r="Y4"/>
  <c r="T9"/>
  <c r="R9"/>
  <c r="K4"/>
  <c r="I4"/>
  <c r="D9"/>
  <c r="C9"/>
  <c r="L42" i="43"/>
  <c r="L40"/>
  <c r="K40" s="1"/>
  <c r="L39"/>
  <c r="K39" s="1"/>
  <c r="L38"/>
  <c r="K38" s="1"/>
  <c r="Z38" s="1"/>
  <c r="L37"/>
  <c r="L36"/>
  <c r="K36" s="1"/>
  <c r="L35"/>
  <c r="V25"/>
  <c r="T34"/>
  <c r="Y34" s="1"/>
  <c r="R34"/>
  <c r="L34"/>
  <c r="L32"/>
  <c r="K32" s="1"/>
  <c r="L31"/>
  <c r="K31" s="1"/>
  <c r="J30"/>
  <c r="Y30" s="1"/>
  <c r="L30"/>
  <c r="K30" s="1"/>
  <c r="L29"/>
  <c r="L28"/>
  <c r="K28" s="1"/>
  <c r="L27"/>
  <c r="K27" s="1"/>
  <c r="L26"/>
  <c r="K26" s="1"/>
  <c r="C23"/>
  <c r="C25" s="1"/>
  <c r="D24"/>
  <c r="L24"/>
  <c r="K24" s="1"/>
  <c r="L23"/>
  <c r="K23" s="1"/>
  <c r="L22"/>
  <c r="L21"/>
  <c r="L20"/>
  <c r="K20" s="1"/>
  <c r="L19"/>
  <c r="K19" s="1"/>
  <c r="L18"/>
  <c r="D15"/>
  <c r="D17" s="1"/>
  <c r="L16"/>
  <c r="K16" s="1"/>
  <c r="L15"/>
  <c r="K15" s="1"/>
  <c r="L13"/>
  <c r="K13" s="1"/>
  <c r="L14"/>
  <c r="L12"/>
  <c r="K12" s="1"/>
  <c r="R11"/>
  <c r="R17" s="1"/>
  <c r="L11"/>
  <c r="L10"/>
  <c r="AF7"/>
  <c r="AC7"/>
  <c r="AA7"/>
  <c r="Y7"/>
  <c r="L7"/>
  <c r="K7"/>
  <c r="Z7" s="1"/>
  <c r="I7"/>
  <c r="Z39" i="42"/>
  <c r="Z38"/>
  <c r="Z37"/>
  <c r="Z36"/>
  <c r="Z35"/>
  <c r="Z34"/>
  <c r="Z32"/>
  <c r="Z31"/>
  <c r="Z30"/>
  <c r="Z29"/>
  <c r="Z28"/>
  <c r="Z27"/>
  <c r="Z26"/>
  <c r="Z24"/>
  <c r="Z23"/>
  <c r="Z22"/>
  <c r="Z21"/>
  <c r="Z20"/>
  <c r="Z19"/>
  <c r="Z18"/>
  <c r="Z16"/>
  <c r="Z15"/>
  <c r="Z14"/>
  <c r="Z13"/>
  <c r="Z12"/>
  <c r="Z11"/>
  <c r="Z10"/>
  <c r="Z3"/>
  <c r="Z4"/>
  <c r="Z5"/>
  <c r="Z6"/>
  <c r="Z7"/>
  <c r="Z8"/>
  <c r="Z2"/>
  <c r="I8" i="43"/>
  <c r="AD9"/>
  <c r="L8"/>
  <c r="K8" s="1"/>
  <c r="L39" i="42"/>
  <c r="Y43" i="43"/>
  <c r="AA43"/>
  <c r="AA44" s="1"/>
  <c r="AC43"/>
  <c r="AF43"/>
  <c r="D44"/>
  <c r="E44"/>
  <c r="F44"/>
  <c r="G44"/>
  <c r="H44"/>
  <c r="J44"/>
  <c r="M44"/>
  <c r="N44"/>
  <c r="O44"/>
  <c r="P44"/>
  <c r="Q44"/>
  <c r="S44"/>
  <c r="T44"/>
  <c r="U44"/>
  <c r="V44"/>
  <c r="W44"/>
  <c r="X44"/>
  <c r="AB44"/>
  <c r="AD44"/>
  <c r="AE44"/>
  <c r="C44"/>
  <c r="I43"/>
  <c r="Y39"/>
  <c r="AA39"/>
  <c r="AC39"/>
  <c r="AF39"/>
  <c r="Y40"/>
  <c r="AA40"/>
  <c r="AC40"/>
  <c r="AF40"/>
  <c r="I39"/>
  <c r="AF42"/>
  <c r="AC42"/>
  <c r="AC44" s="1"/>
  <c r="AA42"/>
  <c r="Y42"/>
  <c r="I42"/>
  <c r="Z2"/>
  <c r="Z3"/>
  <c r="Z4"/>
  <c r="Z5"/>
  <c r="Z6"/>
  <c r="AF6"/>
  <c r="AC6"/>
  <c r="AA6"/>
  <c r="Y6"/>
  <c r="L6"/>
  <c r="K6" s="1"/>
  <c r="I6"/>
  <c r="D6"/>
  <c r="AF5"/>
  <c r="AC5"/>
  <c r="AA5"/>
  <c r="Y5"/>
  <c r="L5"/>
  <c r="K5" s="1"/>
  <c r="I5"/>
  <c r="AF4"/>
  <c r="AC4"/>
  <c r="AA4"/>
  <c r="T4"/>
  <c r="Y4" s="1"/>
  <c r="R4"/>
  <c r="L4"/>
  <c r="K4" s="1"/>
  <c r="D4"/>
  <c r="I4" s="1"/>
  <c r="AF3"/>
  <c r="AC3"/>
  <c r="AA3"/>
  <c r="Y3"/>
  <c r="L3"/>
  <c r="K3"/>
  <c r="C3"/>
  <c r="I3" s="1"/>
  <c r="AF2"/>
  <c r="AC2"/>
  <c r="AA2"/>
  <c r="Y2"/>
  <c r="L2"/>
  <c r="K2" s="1"/>
  <c r="I2"/>
  <c r="AD41"/>
  <c r="AB41"/>
  <c r="X41"/>
  <c r="W41"/>
  <c r="V41"/>
  <c r="U41"/>
  <c r="S41"/>
  <c r="Q41"/>
  <c r="P41"/>
  <c r="O41"/>
  <c r="N41"/>
  <c r="M41"/>
  <c r="J41"/>
  <c r="H41"/>
  <c r="G41"/>
  <c r="F41"/>
  <c r="E41"/>
  <c r="I40"/>
  <c r="AF38"/>
  <c r="AC38"/>
  <c r="AA38"/>
  <c r="Y38"/>
  <c r="I38"/>
  <c r="AF37"/>
  <c r="AC37"/>
  <c r="AA37"/>
  <c r="Y37"/>
  <c r="K37"/>
  <c r="I37"/>
  <c r="AF36"/>
  <c r="AC36"/>
  <c r="AA36"/>
  <c r="Y36"/>
  <c r="T41"/>
  <c r="I36"/>
  <c r="AF35"/>
  <c r="AC35"/>
  <c r="AA35"/>
  <c r="Y35"/>
  <c r="I35"/>
  <c r="C41"/>
  <c r="AF34"/>
  <c r="AC34"/>
  <c r="AA34"/>
  <c r="I34"/>
  <c r="AE33"/>
  <c r="AD33"/>
  <c r="AB33"/>
  <c r="X33"/>
  <c r="W33"/>
  <c r="V33"/>
  <c r="U33"/>
  <c r="T33"/>
  <c r="S33"/>
  <c r="R33"/>
  <c r="Q33"/>
  <c r="P33"/>
  <c r="O33"/>
  <c r="N33"/>
  <c r="M33"/>
  <c r="J33"/>
  <c r="H33"/>
  <c r="G33"/>
  <c r="F33"/>
  <c r="E33"/>
  <c r="D33"/>
  <c r="AF32"/>
  <c r="AC32"/>
  <c r="AA32"/>
  <c r="Y32"/>
  <c r="I32"/>
  <c r="AF31"/>
  <c r="AC31"/>
  <c r="AA31"/>
  <c r="Y31"/>
  <c r="I31"/>
  <c r="AF30"/>
  <c r="AC30"/>
  <c r="AA30"/>
  <c r="I30"/>
  <c r="AF29"/>
  <c r="AC29"/>
  <c r="AA29"/>
  <c r="Y29"/>
  <c r="K29"/>
  <c r="I29"/>
  <c r="AF28"/>
  <c r="AC28"/>
  <c r="AA28"/>
  <c r="Y28"/>
  <c r="I28"/>
  <c r="Z28" s="1"/>
  <c r="AF27"/>
  <c r="AC27"/>
  <c r="AA27"/>
  <c r="Y27"/>
  <c r="I27"/>
  <c r="AF26"/>
  <c r="AC26"/>
  <c r="AA26"/>
  <c r="Y26"/>
  <c r="I26"/>
  <c r="AE25"/>
  <c r="AD25"/>
  <c r="AB25"/>
  <c r="X25"/>
  <c r="U25"/>
  <c r="T25"/>
  <c r="S25"/>
  <c r="Q25"/>
  <c r="O25"/>
  <c r="N25"/>
  <c r="M25"/>
  <c r="H25"/>
  <c r="G25"/>
  <c r="F25"/>
  <c r="E25"/>
  <c r="D25"/>
  <c r="AF24"/>
  <c r="AC24"/>
  <c r="AA24"/>
  <c r="Y24"/>
  <c r="R25"/>
  <c r="I24"/>
  <c r="AF23"/>
  <c r="AC23"/>
  <c r="AA23"/>
  <c r="Y23"/>
  <c r="AF22"/>
  <c r="AC22"/>
  <c r="AA22"/>
  <c r="Y22"/>
  <c r="K22"/>
  <c r="I22"/>
  <c r="AF21"/>
  <c r="AC21"/>
  <c r="AA21"/>
  <c r="Y21"/>
  <c r="P25"/>
  <c r="I21"/>
  <c r="AF20"/>
  <c r="AC20"/>
  <c r="AA20"/>
  <c r="W25"/>
  <c r="I20"/>
  <c r="AF19"/>
  <c r="AC19"/>
  <c r="AA19"/>
  <c r="Y19"/>
  <c r="I19"/>
  <c r="AF18"/>
  <c r="AC18"/>
  <c r="AA18"/>
  <c r="Y18"/>
  <c r="K18"/>
  <c r="J25"/>
  <c r="I18"/>
  <c r="AE17"/>
  <c r="AD17"/>
  <c r="AB17"/>
  <c r="X17"/>
  <c r="W17"/>
  <c r="U17"/>
  <c r="S17"/>
  <c r="Q17"/>
  <c r="O17"/>
  <c r="N17"/>
  <c r="M17"/>
  <c r="H17"/>
  <c r="G17"/>
  <c r="F17"/>
  <c r="E17"/>
  <c r="C17"/>
  <c r="AF16"/>
  <c r="AC16"/>
  <c r="AA16"/>
  <c r="I16"/>
  <c r="AF15"/>
  <c r="AC15"/>
  <c r="AA15"/>
  <c r="Y15"/>
  <c r="P17"/>
  <c r="I15"/>
  <c r="AF14"/>
  <c r="AC14"/>
  <c r="AA14"/>
  <c r="Y14"/>
  <c r="K14"/>
  <c r="I14"/>
  <c r="AF13"/>
  <c r="AC13"/>
  <c r="AA13"/>
  <c r="Y13"/>
  <c r="I13"/>
  <c r="AF12"/>
  <c r="AA12"/>
  <c r="Y12"/>
  <c r="T17"/>
  <c r="I12"/>
  <c r="AF11"/>
  <c r="AC11"/>
  <c r="AA11"/>
  <c r="Y11"/>
  <c r="I11"/>
  <c r="AF10"/>
  <c r="AC10"/>
  <c r="AA10"/>
  <c r="Y10"/>
  <c r="I10"/>
  <c r="AE9"/>
  <c r="AE45" s="1"/>
  <c r="AB9"/>
  <c r="X9"/>
  <c r="W9"/>
  <c r="V9"/>
  <c r="U9"/>
  <c r="T9"/>
  <c r="S9"/>
  <c r="Q9"/>
  <c r="P9"/>
  <c r="O9"/>
  <c r="N9"/>
  <c r="J9"/>
  <c r="H9"/>
  <c r="G9"/>
  <c r="F9"/>
  <c r="E9"/>
  <c r="D9"/>
  <c r="C9"/>
  <c r="AF8"/>
  <c r="AF9" s="1"/>
  <c r="AC8"/>
  <c r="AC9" s="1"/>
  <c r="AA8"/>
  <c r="Y8"/>
  <c r="R9"/>
  <c r="D38" i="42"/>
  <c r="L38"/>
  <c r="L37"/>
  <c r="T36"/>
  <c r="D36"/>
  <c r="R36"/>
  <c r="L36"/>
  <c r="C35"/>
  <c r="L35"/>
  <c r="L34"/>
  <c r="L32"/>
  <c r="L31"/>
  <c r="C30"/>
  <c r="L30"/>
  <c r="L29"/>
  <c r="L28"/>
  <c r="L27"/>
  <c r="C26"/>
  <c r="L26"/>
  <c r="P21"/>
  <c r="J20"/>
  <c r="W20"/>
  <c r="J18"/>
  <c r="AA42" i="45" l="1"/>
  <c r="AF25" i="44"/>
  <c r="G39"/>
  <c r="S39"/>
  <c r="O39"/>
  <c r="H39"/>
  <c r="AB39"/>
  <c r="T39"/>
  <c r="U39"/>
  <c r="Z13"/>
  <c r="W39"/>
  <c r="K43" i="43"/>
  <c r="Z43" s="1"/>
  <c r="Y44"/>
  <c r="AF44"/>
  <c r="I44"/>
  <c r="L44"/>
  <c r="Z29"/>
  <c r="Z20"/>
  <c r="Z24"/>
  <c r="Z22"/>
  <c r="Z30"/>
  <c r="AC17" i="44"/>
  <c r="I33"/>
  <c r="Z4"/>
  <c r="C39"/>
  <c r="Z14"/>
  <c r="Y25"/>
  <c r="AF38"/>
  <c r="AD39"/>
  <c r="AE39"/>
  <c r="AC33"/>
  <c r="AF17"/>
  <c r="AF9"/>
  <c r="P39"/>
  <c r="Z35"/>
  <c r="Z37"/>
  <c r="V39"/>
  <c r="Z32"/>
  <c r="M39"/>
  <c r="Q39"/>
  <c r="Z27"/>
  <c r="Z20"/>
  <c r="Z22"/>
  <c r="Z24"/>
  <c r="N39"/>
  <c r="Z6"/>
  <c r="Z8"/>
  <c r="Z36"/>
  <c r="AC38"/>
  <c r="I38"/>
  <c r="AA38"/>
  <c r="AF33"/>
  <c r="Y33"/>
  <c r="Y17"/>
  <c r="Y9"/>
  <c r="Z28"/>
  <c r="Z30"/>
  <c r="Z31"/>
  <c r="AA33"/>
  <c r="Z29"/>
  <c r="E39"/>
  <c r="AA25"/>
  <c r="Z19"/>
  <c r="Z21"/>
  <c r="Z23"/>
  <c r="AC25"/>
  <c r="F39"/>
  <c r="Z12"/>
  <c r="AA17"/>
  <c r="Z16"/>
  <c r="AA9"/>
  <c r="Z5"/>
  <c r="Z7"/>
  <c r="AC9"/>
  <c r="K25"/>
  <c r="Z18"/>
  <c r="R39"/>
  <c r="I25"/>
  <c r="K33"/>
  <c r="Z26"/>
  <c r="K9"/>
  <c r="D39"/>
  <c r="K11"/>
  <c r="Z11" s="1"/>
  <c r="I15"/>
  <c r="Z15" s="1"/>
  <c r="J33"/>
  <c r="J39" s="1"/>
  <c r="K34"/>
  <c r="Y34"/>
  <c r="Y38" s="1"/>
  <c r="L25"/>
  <c r="L9"/>
  <c r="L33"/>
  <c r="I9"/>
  <c r="K42" i="43"/>
  <c r="Z40"/>
  <c r="Z39"/>
  <c r="Z37"/>
  <c r="Z36"/>
  <c r="L41"/>
  <c r="K35"/>
  <c r="Z35" s="1"/>
  <c r="Z32"/>
  <c r="Z31"/>
  <c r="AF33"/>
  <c r="Z27"/>
  <c r="Z26"/>
  <c r="I23"/>
  <c r="Z23" s="1"/>
  <c r="AC25"/>
  <c r="L25"/>
  <c r="Z19"/>
  <c r="N45"/>
  <c r="U45"/>
  <c r="Z16"/>
  <c r="Z15"/>
  <c r="O45"/>
  <c r="Z14"/>
  <c r="AB45"/>
  <c r="S45"/>
  <c r="G45"/>
  <c r="Z13"/>
  <c r="L17"/>
  <c r="K11"/>
  <c r="Z11" s="1"/>
  <c r="AF17"/>
  <c r="F45"/>
  <c r="T45"/>
  <c r="E45"/>
  <c r="M9"/>
  <c r="M45" s="1"/>
  <c r="AA9"/>
  <c r="Z8"/>
  <c r="Z9" s="1"/>
  <c r="AF41"/>
  <c r="I17"/>
  <c r="Z12"/>
  <c r="Y33"/>
  <c r="Y17"/>
  <c r="AC41"/>
  <c r="Z18"/>
  <c r="Q45"/>
  <c r="V45"/>
  <c r="AD45"/>
  <c r="H45"/>
  <c r="X45"/>
  <c r="AA41"/>
  <c r="AC17"/>
  <c r="I9"/>
  <c r="C33"/>
  <c r="C45" s="1"/>
  <c r="AA17"/>
  <c r="AA25"/>
  <c r="K34"/>
  <c r="Z34" s="1"/>
  <c r="W45"/>
  <c r="AC33"/>
  <c r="AF25"/>
  <c r="I33"/>
  <c r="AA33"/>
  <c r="Y41"/>
  <c r="Y9"/>
  <c r="I41"/>
  <c r="P45"/>
  <c r="K33"/>
  <c r="L9"/>
  <c r="Y20"/>
  <c r="Y25" s="1"/>
  <c r="K10"/>
  <c r="J17"/>
  <c r="J45" s="1"/>
  <c r="R41"/>
  <c r="D41"/>
  <c r="D45" s="1"/>
  <c r="K21"/>
  <c r="Z21" s="1"/>
  <c r="L33"/>
  <c r="R24" i="42"/>
  <c r="R25" s="1"/>
  <c r="L24"/>
  <c r="L23"/>
  <c r="K23" s="1"/>
  <c r="L22"/>
  <c r="L21"/>
  <c r="K21" s="1"/>
  <c r="L20"/>
  <c r="K20" s="1"/>
  <c r="L19"/>
  <c r="K19" s="1"/>
  <c r="L18"/>
  <c r="K18" s="1"/>
  <c r="J10"/>
  <c r="R15"/>
  <c r="P15"/>
  <c r="P17" s="1"/>
  <c r="L16"/>
  <c r="K16" s="1"/>
  <c r="L15"/>
  <c r="L14"/>
  <c r="K14" s="1"/>
  <c r="L13"/>
  <c r="K13" s="1"/>
  <c r="T12"/>
  <c r="L12"/>
  <c r="K12" s="1"/>
  <c r="L11"/>
  <c r="L10"/>
  <c r="L7"/>
  <c r="K7" s="1"/>
  <c r="L8"/>
  <c r="K8" s="1"/>
  <c r="L6"/>
  <c r="D40"/>
  <c r="E40"/>
  <c r="F40"/>
  <c r="G40"/>
  <c r="H40"/>
  <c r="J40"/>
  <c r="L40"/>
  <c r="M40"/>
  <c r="N40"/>
  <c r="O40"/>
  <c r="P40"/>
  <c r="Q40"/>
  <c r="R40"/>
  <c r="S40"/>
  <c r="T40"/>
  <c r="U40"/>
  <c r="V40"/>
  <c r="W40"/>
  <c r="X40"/>
  <c r="AB40"/>
  <c r="AD40"/>
  <c r="AE40"/>
  <c r="C40"/>
  <c r="Y36"/>
  <c r="AA36"/>
  <c r="AC36"/>
  <c r="AF36"/>
  <c r="Y37"/>
  <c r="AA37"/>
  <c r="AC37"/>
  <c r="AF37"/>
  <c r="Y38"/>
  <c r="AA38"/>
  <c r="AC38"/>
  <c r="AF38"/>
  <c r="Y39"/>
  <c r="AA39"/>
  <c r="AC39"/>
  <c r="AF39"/>
  <c r="K36"/>
  <c r="K37"/>
  <c r="K38"/>
  <c r="K39"/>
  <c r="I36"/>
  <c r="I37"/>
  <c r="I38"/>
  <c r="I39"/>
  <c r="AF5"/>
  <c r="AC5"/>
  <c r="AA5"/>
  <c r="Y5"/>
  <c r="L5"/>
  <c r="K5" s="1"/>
  <c r="I5"/>
  <c r="AF4"/>
  <c r="AC4"/>
  <c r="AA4"/>
  <c r="Y4"/>
  <c r="L4"/>
  <c r="K4" s="1"/>
  <c r="I4"/>
  <c r="AF3"/>
  <c r="AC3"/>
  <c r="AA3"/>
  <c r="Y3"/>
  <c r="R3"/>
  <c r="R9" s="1"/>
  <c r="L3"/>
  <c r="I3"/>
  <c r="AF2"/>
  <c r="AC2"/>
  <c r="AA2"/>
  <c r="Y2"/>
  <c r="L2"/>
  <c r="K2" s="1"/>
  <c r="I2"/>
  <c r="AA7"/>
  <c r="AF35"/>
  <c r="AC35"/>
  <c r="AA35"/>
  <c r="Y35"/>
  <c r="K35"/>
  <c r="I35"/>
  <c r="AF34"/>
  <c r="AC34"/>
  <c r="AA34"/>
  <c r="Y34"/>
  <c r="I34"/>
  <c r="AE33"/>
  <c r="AD33"/>
  <c r="AB33"/>
  <c r="X33"/>
  <c r="W33"/>
  <c r="V33"/>
  <c r="U33"/>
  <c r="T33"/>
  <c r="S33"/>
  <c r="Q33"/>
  <c r="P33"/>
  <c r="O33"/>
  <c r="N33"/>
  <c r="M33"/>
  <c r="H33"/>
  <c r="G33"/>
  <c r="F33"/>
  <c r="E33"/>
  <c r="D33"/>
  <c r="AF32"/>
  <c r="AC32"/>
  <c r="AA32"/>
  <c r="Y32"/>
  <c r="K32"/>
  <c r="I32"/>
  <c r="AF31"/>
  <c r="AC31"/>
  <c r="AA31"/>
  <c r="Y31"/>
  <c r="K31"/>
  <c r="I31"/>
  <c r="AF30"/>
  <c r="AC30"/>
  <c r="AA30"/>
  <c r="Y30"/>
  <c r="K30"/>
  <c r="I30"/>
  <c r="AF29"/>
  <c r="AC29"/>
  <c r="AA29"/>
  <c r="Y29"/>
  <c r="K29"/>
  <c r="C33"/>
  <c r="AF28"/>
  <c r="AC28"/>
  <c r="AA28"/>
  <c r="K28"/>
  <c r="Y28"/>
  <c r="I28"/>
  <c r="AF27"/>
  <c r="AC27"/>
  <c r="AA27"/>
  <c r="Y27"/>
  <c r="R33"/>
  <c r="K27"/>
  <c r="I27"/>
  <c r="AF26"/>
  <c r="AC26"/>
  <c r="AA26"/>
  <c r="Y26"/>
  <c r="L33"/>
  <c r="I26"/>
  <c r="AE25"/>
  <c r="AD25"/>
  <c r="AB25"/>
  <c r="X25"/>
  <c r="W25"/>
  <c r="V25"/>
  <c r="U25"/>
  <c r="T25"/>
  <c r="S25"/>
  <c r="Q25"/>
  <c r="P25"/>
  <c r="O25"/>
  <c r="N25"/>
  <c r="M25"/>
  <c r="J25"/>
  <c r="H25"/>
  <c r="G25"/>
  <c r="F25"/>
  <c r="E25"/>
  <c r="C25"/>
  <c r="AF24"/>
  <c r="AC24"/>
  <c r="AA24"/>
  <c r="Y24"/>
  <c r="I24"/>
  <c r="AF23"/>
  <c r="AC23"/>
  <c r="AA23"/>
  <c r="Y23"/>
  <c r="I23"/>
  <c r="AF22"/>
  <c r="AC22"/>
  <c r="AA22"/>
  <c r="Y22"/>
  <c r="K22"/>
  <c r="I22"/>
  <c r="AF21"/>
  <c r="AC21"/>
  <c r="AA21"/>
  <c r="Y21"/>
  <c r="I21"/>
  <c r="AF20"/>
  <c r="AC20"/>
  <c r="AA20"/>
  <c r="Y20"/>
  <c r="I20"/>
  <c r="AF19"/>
  <c r="AC19"/>
  <c r="AA19"/>
  <c r="Y19"/>
  <c r="I19"/>
  <c r="AF18"/>
  <c r="AC18"/>
  <c r="AA18"/>
  <c r="Y18"/>
  <c r="I18"/>
  <c r="AE17"/>
  <c r="AD17"/>
  <c r="AB17"/>
  <c r="X17"/>
  <c r="W17"/>
  <c r="U17"/>
  <c r="S17"/>
  <c r="Q17"/>
  <c r="O17"/>
  <c r="N17"/>
  <c r="M17"/>
  <c r="H17"/>
  <c r="G17"/>
  <c r="F17"/>
  <c r="E17"/>
  <c r="D17"/>
  <c r="C17"/>
  <c r="AF16"/>
  <c r="AC16"/>
  <c r="AA16"/>
  <c r="I16"/>
  <c r="AF15"/>
  <c r="AC15"/>
  <c r="AA15"/>
  <c r="Y15"/>
  <c r="I15"/>
  <c r="AF14"/>
  <c r="AC14"/>
  <c r="AA14"/>
  <c r="I14"/>
  <c r="AF13"/>
  <c r="AC13"/>
  <c r="AA13"/>
  <c r="Y13"/>
  <c r="I13"/>
  <c r="AF12"/>
  <c r="AC12"/>
  <c r="AA12"/>
  <c r="Y12"/>
  <c r="I12"/>
  <c r="AF11"/>
  <c r="AC11"/>
  <c r="AA11"/>
  <c r="Y11"/>
  <c r="K11"/>
  <c r="I11"/>
  <c r="AF10"/>
  <c r="AC10"/>
  <c r="AA10"/>
  <c r="R17"/>
  <c r="I10"/>
  <c r="AE9"/>
  <c r="AD9"/>
  <c r="AB9"/>
  <c r="X9"/>
  <c r="V9"/>
  <c r="U9"/>
  <c r="S9"/>
  <c r="Q9"/>
  <c r="P9"/>
  <c r="O9"/>
  <c r="N9"/>
  <c r="M9"/>
  <c r="H9"/>
  <c r="G9"/>
  <c r="F9"/>
  <c r="E9"/>
  <c r="D9"/>
  <c r="C9"/>
  <c r="AF8"/>
  <c r="AC8"/>
  <c r="AA8"/>
  <c r="I8"/>
  <c r="AF7"/>
  <c r="AC7"/>
  <c r="Y7"/>
  <c r="I7"/>
  <c r="AF6"/>
  <c r="AC6"/>
  <c r="AA6"/>
  <c r="T9"/>
  <c r="K6"/>
  <c r="I6"/>
  <c r="W9"/>
  <c r="J9"/>
  <c r="M37" i="41"/>
  <c r="D38"/>
  <c r="E38"/>
  <c r="F38"/>
  <c r="G38"/>
  <c r="H38"/>
  <c r="J38"/>
  <c r="K38"/>
  <c r="N38"/>
  <c r="O38"/>
  <c r="P38"/>
  <c r="Q38"/>
  <c r="R38"/>
  <c r="T38"/>
  <c r="U38"/>
  <c r="V38"/>
  <c r="W38"/>
  <c r="X38"/>
  <c r="Y38"/>
  <c r="AC38"/>
  <c r="AE38"/>
  <c r="AF38"/>
  <c r="C38"/>
  <c r="M36"/>
  <c r="S35"/>
  <c r="S38" s="1"/>
  <c r="M35"/>
  <c r="M34"/>
  <c r="J28"/>
  <c r="AF39" i="44" l="1"/>
  <c r="Y39"/>
  <c r="I17"/>
  <c r="I39" s="1"/>
  <c r="AC39"/>
  <c r="Z33"/>
  <c r="AA39"/>
  <c r="Z25"/>
  <c r="Z17"/>
  <c r="Z9"/>
  <c r="K38"/>
  <c r="Z34"/>
  <c r="Z38" s="1"/>
  <c r="L39"/>
  <c r="K17"/>
  <c r="Z42" i="43"/>
  <c r="Z44" s="1"/>
  <c r="K44"/>
  <c r="Z33"/>
  <c r="I25"/>
  <c r="I45" s="1"/>
  <c r="K17"/>
  <c r="AC45"/>
  <c r="Z10"/>
  <c r="Z17" s="1"/>
  <c r="X41" i="42"/>
  <c r="K3"/>
  <c r="AF45" i="43"/>
  <c r="R45"/>
  <c r="K41"/>
  <c r="Z41"/>
  <c r="AA45"/>
  <c r="Y45"/>
  <c r="K25"/>
  <c r="K9"/>
  <c r="Z25"/>
  <c r="L45"/>
  <c r="Y40" i="42"/>
  <c r="AC40"/>
  <c r="AF40"/>
  <c r="AA40"/>
  <c r="I40"/>
  <c r="AD41"/>
  <c r="AC33"/>
  <c r="K24"/>
  <c r="K25" s="1"/>
  <c r="L25"/>
  <c r="T17"/>
  <c r="T41" s="1"/>
  <c r="K15"/>
  <c r="V41"/>
  <c r="G41"/>
  <c r="Q41"/>
  <c r="L17"/>
  <c r="W41"/>
  <c r="O41"/>
  <c r="M41"/>
  <c r="AA9"/>
  <c r="C41"/>
  <c r="N41"/>
  <c r="S41"/>
  <c r="AB41"/>
  <c r="AC25"/>
  <c r="AE41"/>
  <c r="P41"/>
  <c r="Y25"/>
  <c r="U41"/>
  <c r="I25"/>
  <c r="H41"/>
  <c r="AF33"/>
  <c r="AA33"/>
  <c r="E41"/>
  <c r="F41"/>
  <c r="AA25"/>
  <c r="AF25"/>
  <c r="AC17"/>
  <c r="AF17"/>
  <c r="AA17"/>
  <c r="I17"/>
  <c r="AC9"/>
  <c r="I9"/>
  <c r="AF9"/>
  <c r="R41"/>
  <c r="Y33"/>
  <c r="Y6"/>
  <c r="Y8"/>
  <c r="Y14"/>
  <c r="I29"/>
  <c r="I33" s="1"/>
  <c r="K34"/>
  <c r="K40" s="1"/>
  <c r="L9"/>
  <c r="J17"/>
  <c r="D25"/>
  <c r="D41" s="1"/>
  <c r="J33"/>
  <c r="Y10"/>
  <c r="K10"/>
  <c r="K26"/>
  <c r="M38" i="41"/>
  <c r="M32"/>
  <c r="L32" s="1"/>
  <c r="L31"/>
  <c r="M31"/>
  <c r="M30"/>
  <c r="L30" s="1"/>
  <c r="C29"/>
  <c r="M29"/>
  <c r="L29" s="1"/>
  <c r="M28"/>
  <c r="S27"/>
  <c r="S33" s="1"/>
  <c r="M27"/>
  <c r="M26"/>
  <c r="M20"/>
  <c r="S20"/>
  <c r="J20"/>
  <c r="J19"/>
  <c r="Z19" s="1"/>
  <c r="J18"/>
  <c r="S18"/>
  <c r="D24"/>
  <c r="M24"/>
  <c r="L24" s="1"/>
  <c r="M23"/>
  <c r="L23" s="1"/>
  <c r="S22"/>
  <c r="S25" s="1"/>
  <c r="M22"/>
  <c r="M21"/>
  <c r="L21" s="1"/>
  <c r="M19"/>
  <c r="L19" s="1"/>
  <c r="M18"/>
  <c r="D16"/>
  <c r="J16"/>
  <c r="J15"/>
  <c r="M16"/>
  <c r="L16" s="1"/>
  <c r="M15"/>
  <c r="J10"/>
  <c r="J12"/>
  <c r="J13"/>
  <c r="Z13" s="1"/>
  <c r="J14"/>
  <c r="Z14" s="1"/>
  <c r="M14"/>
  <c r="L14" s="1"/>
  <c r="M13"/>
  <c r="L13" s="1"/>
  <c r="M12"/>
  <c r="L12" s="1"/>
  <c r="M11"/>
  <c r="S10"/>
  <c r="M10"/>
  <c r="J3"/>
  <c r="X5"/>
  <c r="X9" s="1"/>
  <c r="J5"/>
  <c r="AA5" s="1"/>
  <c r="J6"/>
  <c r="U6"/>
  <c r="U9" s="1"/>
  <c r="J8"/>
  <c r="Z8" s="1"/>
  <c r="M8"/>
  <c r="L8" s="1"/>
  <c r="M7"/>
  <c r="M6"/>
  <c r="L6" s="1"/>
  <c r="M5"/>
  <c r="S4"/>
  <c r="M4"/>
  <c r="M3"/>
  <c r="AD3"/>
  <c r="AD4"/>
  <c r="AD5"/>
  <c r="AD6"/>
  <c r="AD7"/>
  <c r="AD8"/>
  <c r="AG2"/>
  <c r="AD2"/>
  <c r="AB2"/>
  <c r="Z2"/>
  <c r="S2"/>
  <c r="M2"/>
  <c r="I2"/>
  <c r="AG37"/>
  <c r="AD37"/>
  <c r="AB37"/>
  <c r="Z37"/>
  <c r="L37"/>
  <c r="AG36"/>
  <c r="AD36"/>
  <c r="AB36"/>
  <c r="Z36"/>
  <c r="L36"/>
  <c r="I36"/>
  <c r="AG35"/>
  <c r="AD35"/>
  <c r="AB35"/>
  <c r="L35"/>
  <c r="Z35"/>
  <c r="I35"/>
  <c r="AG34"/>
  <c r="AD34"/>
  <c r="AB34"/>
  <c r="Z34"/>
  <c r="AF33"/>
  <c r="AE33"/>
  <c r="AC33"/>
  <c r="Y33"/>
  <c r="X33"/>
  <c r="W33"/>
  <c r="V33"/>
  <c r="U33"/>
  <c r="T33"/>
  <c r="R33"/>
  <c r="Q33"/>
  <c r="P33"/>
  <c r="O33"/>
  <c r="N33"/>
  <c r="K33"/>
  <c r="H33"/>
  <c r="G33"/>
  <c r="F33"/>
  <c r="E33"/>
  <c r="C33"/>
  <c r="AG32"/>
  <c r="AD32"/>
  <c r="AB32"/>
  <c r="Z32"/>
  <c r="I32"/>
  <c r="AG31"/>
  <c r="AD31"/>
  <c r="AB31"/>
  <c r="Z31"/>
  <c r="I31"/>
  <c r="AG30"/>
  <c r="AD30"/>
  <c r="AB30"/>
  <c r="Z30"/>
  <c r="I30"/>
  <c r="AG29"/>
  <c r="AD29"/>
  <c r="AB29"/>
  <c r="Z29"/>
  <c r="I29"/>
  <c r="AG28"/>
  <c r="AD28"/>
  <c r="AB28"/>
  <c r="Z28"/>
  <c r="L28"/>
  <c r="I28"/>
  <c r="AG27"/>
  <c r="AD27"/>
  <c r="AB27"/>
  <c r="Z27"/>
  <c r="I27"/>
  <c r="AG26"/>
  <c r="AD26"/>
  <c r="AB26"/>
  <c r="L26"/>
  <c r="J33"/>
  <c r="D33"/>
  <c r="AF25"/>
  <c r="AE25"/>
  <c r="AC25"/>
  <c r="Y25"/>
  <c r="X25"/>
  <c r="W25"/>
  <c r="V25"/>
  <c r="U25"/>
  <c r="T25"/>
  <c r="R25"/>
  <c r="Q25"/>
  <c r="P25"/>
  <c r="O25"/>
  <c r="N25"/>
  <c r="K25"/>
  <c r="H25"/>
  <c r="G25"/>
  <c r="F25"/>
  <c r="E25"/>
  <c r="AG24"/>
  <c r="AD24"/>
  <c r="AB24"/>
  <c r="I24"/>
  <c r="AG23"/>
  <c r="AD23"/>
  <c r="AB23"/>
  <c r="Z23"/>
  <c r="I23"/>
  <c r="AG22"/>
  <c r="AD22"/>
  <c r="AB22"/>
  <c r="I22"/>
  <c r="AG21"/>
  <c r="AD21"/>
  <c r="AB21"/>
  <c r="Z21"/>
  <c r="I21"/>
  <c r="AG20"/>
  <c r="AD20"/>
  <c r="AB20"/>
  <c r="L20"/>
  <c r="Z20"/>
  <c r="I20"/>
  <c r="AG19"/>
  <c r="AD19"/>
  <c r="AB19"/>
  <c r="D25"/>
  <c r="AG18"/>
  <c r="AD18"/>
  <c r="AB18"/>
  <c r="Z18"/>
  <c r="L18"/>
  <c r="I18"/>
  <c r="AF17"/>
  <c r="AE17"/>
  <c r="AC17"/>
  <c r="Y17"/>
  <c r="X17"/>
  <c r="W17"/>
  <c r="V17"/>
  <c r="U17"/>
  <c r="T17"/>
  <c r="S17"/>
  <c r="R17"/>
  <c r="Q17"/>
  <c r="P17"/>
  <c r="O17"/>
  <c r="N17"/>
  <c r="K17"/>
  <c r="H17"/>
  <c r="G17"/>
  <c r="F17"/>
  <c r="E17"/>
  <c r="D17"/>
  <c r="C17"/>
  <c r="AG16"/>
  <c r="AD16"/>
  <c r="AB16"/>
  <c r="Z16"/>
  <c r="I16"/>
  <c r="AG15"/>
  <c r="AD15"/>
  <c r="AB15"/>
  <c r="Z15"/>
  <c r="L15"/>
  <c r="I15"/>
  <c r="AG14"/>
  <c r="AD14"/>
  <c r="AB14"/>
  <c r="I14"/>
  <c r="AG13"/>
  <c r="AD13"/>
  <c r="AB13"/>
  <c r="I13"/>
  <c r="AG12"/>
  <c r="AD12"/>
  <c r="AB12"/>
  <c r="Z12"/>
  <c r="I12"/>
  <c r="AG11"/>
  <c r="AD11"/>
  <c r="AB11"/>
  <c r="Z11"/>
  <c r="L11"/>
  <c r="I11"/>
  <c r="AG10"/>
  <c r="AD10"/>
  <c r="AB10"/>
  <c r="Z10"/>
  <c r="L10"/>
  <c r="I10"/>
  <c r="AF9"/>
  <c r="AE9"/>
  <c r="AC9"/>
  <c r="Y9"/>
  <c r="Y39" s="1"/>
  <c r="W9"/>
  <c r="V9"/>
  <c r="T9"/>
  <c r="S9"/>
  <c r="R9"/>
  <c r="Q9"/>
  <c r="P9"/>
  <c r="O9"/>
  <c r="N9"/>
  <c r="K9"/>
  <c r="K39" s="1"/>
  <c r="H9"/>
  <c r="G9"/>
  <c r="F9"/>
  <c r="E9"/>
  <c r="D9"/>
  <c r="C9"/>
  <c r="AG8"/>
  <c r="AB8"/>
  <c r="I8"/>
  <c r="AG7"/>
  <c r="Z7"/>
  <c r="L7"/>
  <c r="I7"/>
  <c r="AG6"/>
  <c r="AB6"/>
  <c r="I6"/>
  <c r="AG5"/>
  <c r="AB5"/>
  <c r="L5"/>
  <c r="I5"/>
  <c r="AG4"/>
  <c r="AB4"/>
  <c r="Z4"/>
  <c r="L4"/>
  <c r="AA4" s="1"/>
  <c r="I4"/>
  <c r="AG3"/>
  <c r="AB3"/>
  <c r="L3"/>
  <c r="I3"/>
  <c r="S42" i="40"/>
  <c r="M42"/>
  <c r="J40"/>
  <c r="K39" i="44" l="1"/>
  <c r="Z39"/>
  <c r="K45" i="43"/>
  <c r="Z45"/>
  <c r="Z25" i="42"/>
  <c r="K17"/>
  <c r="Y17"/>
  <c r="L41"/>
  <c r="Y9"/>
  <c r="AC41"/>
  <c r="AA41"/>
  <c r="AF41"/>
  <c r="I41"/>
  <c r="J41"/>
  <c r="K33"/>
  <c r="Z40"/>
  <c r="K9"/>
  <c r="Z9"/>
  <c r="Z17"/>
  <c r="AD38" i="41"/>
  <c r="AA3"/>
  <c r="AB38"/>
  <c r="Z38"/>
  <c r="AG38"/>
  <c r="L27"/>
  <c r="L33" s="1"/>
  <c r="AG33"/>
  <c r="AF39"/>
  <c r="L22"/>
  <c r="L25" s="1"/>
  <c r="R39"/>
  <c r="W39"/>
  <c r="G39"/>
  <c r="AC39"/>
  <c r="AE39"/>
  <c r="V39"/>
  <c r="Q39"/>
  <c r="P39"/>
  <c r="H39"/>
  <c r="E39"/>
  <c r="X39"/>
  <c r="U39"/>
  <c r="T39"/>
  <c r="S39"/>
  <c r="O39"/>
  <c r="N39"/>
  <c r="F39"/>
  <c r="D39"/>
  <c r="Z3"/>
  <c r="Z5"/>
  <c r="Z6"/>
  <c r="J9"/>
  <c r="AA7"/>
  <c r="M9"/>
  <c r="AG9"/>
  <c r="AA32"/>
  <c r="AA15"/>
  <c r="AA16"/>
  <c r="AB9"/>
  <c r="AA14"/>
  <c r="AB25"/>
  <c r="I19"/>
  <c r="I25" s="1"/>
  <c r="AA27"/>
  <c r="AA29"/>
  <c r="AA24"/>
  <c r="AD17"/>
  <c r="AD25"/>
  <c r="AD33"/>
  <c r="AA36"/>
  <c r="I17"/>
  <c r="AD9"/>
  <c r="M17"/>
  <c r="AG17"/>
  <c r="AA12"/>
  <c r="AA13"/>
  <c r="M25"/>
  <c r="AG25"/>
  <c r="AA21"/>
  <c r="Z26"/>
  <c r="Z33" s="1"/>
  <c r="I34"/>
  <c r="L2"/>
  <c r="AA2" s="1"/>
  <c r="AA28"/>
  <c r="AA30"/>
  <c r="L17"/>
  <c r="AB17"/>
  <c r="Z17"/>
  <c r="AA11"/>
  <c r="Z24"/>
  <c r="AB33"/>
  <c r="L34"/>
  <c r="L38" s="1"/>
  <c r="AA6"/>
  <c r="AA8"/>
  <c r="L9"/>
  <c r="AA10"/>
  <c r="J17"/>
  <c r="Z22"/>
  <c r="C25"/>
  <c r="C39" s="1"/>
  <c r="I26"/>
  <c r="I33" s="1"/>
  <c r="M33"/>
  <c r="I37"/>
  <c r="I9"/>
  <c r="AA20"/>
  <c r="J25"/>
  <c r="AA35"/>
  <c r="AA23"/>
  <c r="AA31"/>
  <c r="AA18"/>
  <c r="M40" i="40"/>
  <c r="J39"/>
  <c r="Z33" i="42" l="1"/>
  <c r="Z41" s="1"/>
  <c r="Y41"/>
  <c r="K41"/>
  <c r="AA37" i="41"/>
  <c r="I38"/>
  <c r="I39" s="1"/>
  <c r="AA34"/>
  <c r="AA22"/>
  <c r="AA19"/>
  <c r="J39"/>
  <c r="AD39"/>
  <c r="M39"/>
  <c r="L39"/>
  <c r="Z9"/>
  <c r="AG39"/>
  <c r="AB39"/>
  <c r="AA9"/>
  <c r="AA17"/>
  <c r="AA26"/>
  <c r="AA33" s="1"/>
  <c r="Z25"/>
  <c r="M39" i="40"/>
  <c r="J38"/>
  <c r="S38"/>
  <c r="D37"/>
  <c r="J35"/>
  <c r="C34"/>
  <c r="M38"/>
  <c r="M37"/>
  <c r="M36"/>
  <c r="M35"/>
  <c r="M34"/>
  <c r="M32"/>
  <c r="J31"/>
  <c r="M31"/>
  <c r="D19"/>
  <c r="AA38" i="41" l="1"/>
  <c r="AA25"/>
  <c r="AA39" s="1"/>
  <c r="Z39"/>
  <c r="J20" i="40"/>
  <c r="J21"/>
  <c r="J23"/>
  <c r="J22"/>
  <c r="D24"/>
  <c r="J24"/>
  <c r="L26"/>
  <c r="J26"/>
  <c r="D26"/>
  <c r="M30"/>
  <c r="M29"/>
  <c r="M28"/>
  <c r="M27"/>
  <c r="M26"/>
  <c r="M24"/>
  <c r="M23"/>
  <c r="M22"/>
  <c r="M21"/>
  <c r="M20"/>
  <c r="M19"/>
  <c r="M18"/>
  <c r="C18"/>
  <c r="J13"/>
  <c r="M16" l="1"/>
  <c r="M15"/>
  <c r="M14"/>
  <c r="M13"/>
  <c r="L13" s="1"/>
  <c r="M12"/>
  <c r="M11"/>
  <c r="M10"/>
  <c r="L10" s="1"/>
  <c r="X5"/>
  <c r="M8"/>
  <c r="L8" s="1"/>
  <c r="M7"/>
  <c r="L7" s="1"/>
  <c r="Z32" i="39"/>
  <c r="J31"/>
  <c r="O39"/>
  <c r="Y44" i="40"/>
  <c r="D43"/>
  <c r="E43"/>
  <c r="F43"/>
  <c r="G43"/>
  <c r="H43"/>
  <c r="J43"/>
  <c r="K43"/>
  <c r="M43"/>
  <c r="N43"/>
  <c r="O43"/>
  <c r="P43"/>
  <c r="Q43"/>
  <c r="R43"/>
  <c r="S43"/>
  <c r="T43"/>
  <c r="U43"/>
  <c r="V43"/>
  <c r="W43"/>
  <c r="X43"/>
  <c r="Y43"/>
  <c r="AC43"/>
  <c r="AE43"/>
  <c r="AF43"/>
  <c r="C43"/>
  <c r="AG42"/>
  <c r="AG43" s="1"/>
  <c r="AD42"/>
  <c r="AD43" s="1"/>
  <c r="AB42"/>
  <c r="AB43" s="1"/>
  <c r="Z42"/>
  <c r="Z43" s="1"/>
  <c r="L42"/>
  <c r="I42"/>
  <c r="I43" s="1"/>
  <c r="AG38"/>
  <c r="AD38"/>
  <c r="AB38"/>
  <c r="Z38"/>
  <c r="L38"/>
  <c r="I38"/>
  <c r="AG37"/>
  <c r="AD37"/>
  <c r="AB37"/>
  <c r="Z37"/>
  <c r="L37"/>
  <c r="I37"/>
  <c r="AG6"/>
  <c r="AD6"/>
  <c r="AB6"/>
  <c r="Z6"/>
  <c r="M6"/>
  <c r="L6"/>
  <c r="AA6" s="1"/>
  <c r="I6"/>
  <c r="AG5"/>
  <c r="AD5"/>
  <c r="AB5"/>
  <c r="Z5"/>
  <c r="M5"/>
  <c r="L5"/>
  <c r="AA5" s="1"/>
  <c r="I5"/>
  <c r="AG4"/>
  <c r="AD4"/>
  <c r="AB4"/>
  <c r="Z4"/>
  <c r="M4"/>
  <c r="L4"/>
  <c r="AA4" s="1"/>
  <c r="I4"/>
  <c r="AG3"/>
  <c r="AD3"/>
  <c r="AB3"/>
  <c r="Z3"/>
  <c r="M3"/>
  <c r="L3"/>
  <c r="AA3" s="1"/>
  <c r="I3"/>
  <c r="AG2"/>
  <c r="AD2"/>
  <c r="AB2"/>
  <c r="Z2"/>
  <c r="M2"/>
  <c r="L2"/>
  <c r="AA2" s="1"/>
  <c r="I2"/>
  <c r="AD27"/>
  <c r="I26"/>
  <c r="AF41"/>
  <c r="AE41"/>
  <c r="AC41"/>
  <c r="Y41"/>
  <c r="X41"/>
  <c r="W41"/>
  <c r="V41"/>
  <c r="U41"/>
  <c r="T41"/>
  <c r="S41"/>
  <c r="R41"/>
  <c r="Q41"/>
  <c r="P41"/>
  <c r="N41"/>
  <c r="K41"/>
  <c r="J41"/>
  <c r="H41"/>
  <c r="G41"/>
  <c r="F41"/>
  <c r="E41"/>
  <c r="D41"/>
  <c r="C41"/>
  <c r="AG40"/>
  <c r="AD40"/>
  <c r="AB40"/>
  <c r="Z40"/>
  <c r="L40"/>
  <c r="I40"/>
  <c r="AG39"/>
  <c r="AD39"/>
  <c r="AB39"/>
  <c r="Z39"/>
  <c r="L39"/>
  <c r="I39"/>
  <c r="AG36"/>
  <c r="AD36"/>
  <c r="AB36"/>
  <c r="Z36"/>
  <c r="L36"/>
  <c r="I36"/>
  <c r="AG35"/>
  <c r="AD35"/>
  <c r="AB35"/>
  <c r="Z35"/>
  <c r="L35"/>
  <c r="I35"/>
  <c r="AG34"/>
  <c r="AD34"/>
  <c r="AB34"/>
  <c r="Z34"/>
  <c r="L34"/>
  <c r="I34"/>
  <c r="AF33"/>
  <c r="AE33"/>
  <c r="AC33"/>
  <c r="Y33"/>
  <c r="X33"/>
  <c r="W33"/>
  <c r="V33"/>
  <c r="U33"/>
  <c r="T33"/>
  <c r="S33"/>
  <c r="R33"/>
  <c r="Q33"/>
  <c r="P33"/>
  <c r="O33"/>
  <c r="N33"/>
  <c r="K33"/>
  <c r="J33"/>
  <c r="H33"/>
  <c r="G33"/>
  <c r="F33"/>
  <c r="E33"/>
  <c r="D33"/>
  <c r="AG32"/>
  <c r="AD32"/>
  <c r="AB32"/>
  <c r="Z32"/>
  <c r="L32"/>
  <c r="I32"/>
  <c r="AG31"/>
  <c r="AD31"/>
  <c r="AB31"/>
  <c r="Z31"/>
  <c r="L31"/>
  <c r="AA31" s="1"/>
  <c r="I31"/>
  <c r="AG30"/>
  <c r="AD30"/>
  <c r="AB30"/>
  <c r="Z30"/>
  <c r="L30"/>
  <c r="I30"/>
  <c r="AG29"/>
  <c r="AD29"/>
  <c r="AB29"/>
  <c r="Z29"/>
  <c r="L29"/>
  <c r="I29"/>
  <c r="C33"/>
  <c r="AG28"/>
  <c r="AD28"/>
  <c r="AB28"/>
  <c r="Z28"/>
  <c r="L28"/>
  <c r="I28"/>
  <c r="AG27"/>
  <c r="AB27"/>
  <c r="Z27"/>
  <c r="L27"/>
  <c r="I27"/>
  <c r="AG26"/>
  <c r="AD26"/>
  <c r="AB26"/>
  <c r="Z26"/>
  <c r="M33"/>
  <c r="AF25"/>
  <c r="AE25"/>
  <c r="AC25"/>
  <c r="Y25"/>
  <c r="X25"/>
  <c r="W25"/>
  <c r="V25"/>
  <c r="U25"/>
  <c r="T25"/>
  <c r="R25"/>
  <c r="Q25"/>
  <c r="P25"/>
  <c r="O25"/>
  <c r="N25"/>
  <c r="K25"/>
  <c r="H25"/>
  <c r="G25"/>
  <c r="F25"/>
  <c r="E25"/>
  <c r="AG24"/>
  <c r="AD24"/>
  <c r="AB24"/>
  <c r="Z24"/>
  <c r="L24"/>
  <c r="I24"/>
  <c r="AG23"/>
  <c r="AD23"/>
  <c r="AB23"/>
  <c r="Z23"/>
  <c r="L23"/>
  <c r="I23"/>
  <c r="AG22"/>
  <c r="AD22"/>
  <c r="AB22"/>
  <c r="S25"/>
  <c r="L22"/>
  <c r="Z22"/>
  <c r="I22"/>
  <c r="AG21"/>
  <c r="AD21"/>
  <c r="AB21"/>
  <c r="Z21"/>
  <c r="L21"/>
  <c r="I21"/>
  <c r="D25"/>
  <c r="AG20"/>
  <c r="AD20"/>
  <c r="AB20"/>
  <c r="Z20"/>
  <c r="L20"/>
  <c r="C25"/>
  <c r="AG19"/>
  <c r="AD19"/>
  <c r="AB19"/>
  <c r="L19"/>
  <c r="Z19"/>
  <c r="I19"/>
  <c r="AG18"/>
  <c r="AD18"/>
  <c r="AB18"/>
  <c r="M25"/>
  <c r="I18"/>
  <c r="AF17"/>
  <c r="AE17"/>
  <c r="AC17"/>
  <c r="Y17"/>
  <c r="X17"/>
  <c r="W17"/>
  <c r="V17"/>
  <c r="U17"/>
  <c r="T17"/>
  <c r="S17"/>
  <c r="R17"/>
  <c r="Q17"/>
  <c r="P17"/>
  <c r="O17"/>
  <c r="N17"/>
  <c r="K17"/>
  <c r="H17"/>
  <c r="G17"/>
  <c r="F17"/>
  <c r="E17"/>
  <c r="C17"/>
  <c r="AG16"/>
  <c r="AD16"/>
  <c r="AB16"/>
  <c r="Z16"/>
  <c r="L16"/>
  <c r="I16"/>
  <c r="AG15"/>
  <c r="AD15"/>
  <c r="AB15"/>
  <c r="Z15"/>
  <c r="L15"/>
  <c r="I15"/>
  <c r="AG14"/>
  <c r="AD14"/>
  <c r="AB14"/>
  <c r="L14"/>
  <c r="I14"/>
  <c r="AG13"/>
  <c r="AD13"/>
  <c r="AB13"/>
  <c r="Z13"/>
  <c r="I13"/>
  <c r="AG12"/>
  <c r="AD12"/>
  <c r="AB12"/>
  <c r="L12"/>
  <c r="Z12"/>
  <c r="I12"/>
  <c r="AG11"/>
  <c r="AD11"/>
  <c r="AB11"/>
  <c r="L11"/>
  <c r="D17"/>
  <c r="AG10"/>
  <c r="AD10"/>
  <c r="AB10"/>
  <c r="Z10"/>
  <c r="I10"/>
  <c r="AE9"/>
  <c r="AC9"/>
  <c r="Y9"/>
  <c r="X9"/>
  <c r="W9"/>
  <c r="V9"/>
  <c r="U9"/>
  <c r="T9"/>
  <c r="S9"/>
  <c r="R9"/>
  <c r="Q9"/>
  <c r="P9"/>
  <c r="O9"/>
  <c r="N9"/>
  <c r="K9"/>
  <c r="J9"/>
  <c r="H9"/>
  <c r="G9"/>
  <c r="F9"/>
  <c r="E9"/>
  <c r="D9"/>
  <c r="AG8"/>
  <c r="AF9"/>
  <c r="AF44" s="1"/>
  <c r="AD8"/>
  <c r="AB8"/>
  <c r="Z8"/>
  <c r="I8"/>
  <c r="AG7"/>
  <c r="AD7"/>
  <c r="Z7"/>
  <c r="I7"/>
  <c r="C9"/>
  <c r="M38" i="39"/>
  <c r="M37"/>
  <c r="M36"/>
  <c r="M35"/>
  <c r="M34"/>
  <c r="AD26"/>
  <c r="M32"/>
  <c r="M31"/>
  <c r="L24"/>
  <c r="AA29"/>
  <c r="AA30"/>
  <c r="C29"/>
  <c r="D23"/>
  <c r="C23"/>
  <c r="AA42" i="40" l="1"/>
  <c r="AA43" s="1"/>
  <c r="L43"/>
  <c r="AA38"/>
  <c r="AA37"/>
  <c r="Z41"/>
  <c r="AA29"/>
  <c r="AB33"/>
  <c r="AA26"/>
  <c r="AA21"/>
  <c r="G44"/>
  <c r="AA16"/>
  <c r="U44"/>
  <c r="T44"/>
  <c r="Q44"/>
  <c r="F44"/>
  <c r="E44"/>
  <c r="W44"/>
  <c r="H44"/>
  <c r="AA13"/>
  <c r="AC44"/>
  <c r="AG17"/>
  <c r="C44"/>
  <c r="AE44"/>
  <c r="S44"/>
  <c r="O44"/>
  <c r="D44"/>
  <c r="X44"/>
  <c r="V44"/>
  <c r="R44"/>
  <c r="P44"/>
  <c r="N44"/>
  <c r="K44"/>
  <c r="AD9"/>
  <c r="AB41"/>
  <c r="AA8"/>
  <c r="AA7"/>
  <c r="AD33"/>
  <c r="AD41"/>
  <c r="AG25"/>
  <c r="AB17"/>
  <c r="AG9"/>
  <c r="I41"/>
  <c r="AA35"/>
  <c r="AA39"/>
  <c r="AG41"/>
  <c r="AA36"/>
  <c r="AA40"/>
  <c r="AA22"/>
  <c r="AA24"/>
  <c r="I33"/>
  <c r="Z33"/>
  <c r="AA30"/>
  <c r="AA32"/>
  <c r="AA28"/>
  <c r="AG33"/>
  <c r="AB25"/>
  <c r="AD25"/>
  <c r="AA19"/>
  <c r="AA12"/>
  <c r="AA15"/>
  <c r="AD17"/>
  <c r="Z9"/>
  <c r="AB9"/>
  <c r="L41"/>
  <c r="AA34"/>
  <c r="AA23"/>
  <c r="L9"/>
  <c r="L17"/>
  <c r="AA10"/>
  <c r="AA27"/>
  <c r="L33"/>
  <c r="AA14"/>
  <c r="I9"/>
  <c r="I11"/>
  <c r="AA11" s="1"/>
  <c r="Z11"/>
  <c r="Z14"/>
  <c r="J17"/>
  <c r="Z18"/>
  <c r="Z25" s="1"/>
  <c r="I20"/>
  <c r="I25" s="1"/>
  <c r="M17"/>
  <c r="J25"/>
  <c r="M9"/>
  <c r="L18"/>
  <c r="L25" s="1"/>
  <c r="M41"/>
  <c r="M30" i="39"/>
  <c r="M29"/>
  <c r="M28"/>
  <c r="M27"/>
  <c r="M26"/>
  <c r="AD20"/>
  <c r="M23"/>
  <c r="D21"/>
  <c r="J22"/>
  <c r="S22"/>
  <c r="Q19"/>
  <c r="J44" i="40" l="1"/>
  <c r="Z17"/>
  <c r="Z44" s="1"/>
  <c r="AB44"/>
  <c r="AG44"/>
  <c r="L44"/>
  <c r="AD44"/>
  <c r="M44"/>
  <c r="AA41"/>
  <c r="AA33"/>
  <c r="AA9"/>
  <c r="I17"/>
  <c r="I44" s="1"/>
  <c r="AA18"/>
  <c r="AA17"/>
  <c r="AA20"/>
  <c r="M22" i="39"/>
  <c r="M21"/>
  <c r="C20"/>
  <c r="M20"/>
  <c r="J19"/>
  <c r="M19"/>
  <c r="J18"/>
  <c r="AA14"/>
  <c r="AA16"/>
  <c r="J14"/>
  <c r="J13"/>
  <c r="I13"/>
  <c r="I18"/>
  <c r="J11"/>
  <c r="AA25" i="40" l="1"/>
  <c r="AA44" s="1"/>
  <c r="M18" i="39"/>
  <c r="M16"/>
  <c r="M15"/>
  <c r="M14"/>
  <c r="M13"/>
  <c r="J12"/>
  <c r="U12"/>
  <c r="D11"/>
  <c r="M12" l="1"/>
  <c r="L12" s="1"/>
  <c r="M11"/>
  <c r="M10"/>
  <c r="L10" s="1"/>
  <c r="AF8"/>
  <c r="AF9" s="1"/>
  <c r="AD6"/>
  <c r="AD7"/>
  <c r="AD8"/>
  <c r="AD5"/>
  <c r="M8"/>
  <c r="L8" s="1"/>
  <c r="M7"/>
  <c r="M6"/>
  <c r="L6" s="1"/>
  <c r="M5"/>
  <c r="Y40"/>
  <c r="I35"/>
  <c r="L35"/>
  <c r="Z35"/>
  <c r="AB35"/>
  <c r="AD35"/>
  <c r="AG35"/>
  <c r="I36"/>
  <c r="L36"/>
  <c r="Z36"/>
  <c r="AB36"/>
  <c r="AD36"/>
  <c r="AG36"/>
  <c r="I37"/>
  <c r="L37"/>
  <c r="Z37"/>
  <c r="AB37"/>
  <c r="AD37"/>
  <c r="AG37"/>
  <c r="I38"/>
  <c r="L38"/>
  <c r="Z38"/>
  <c r="AB38"/>
  <c r="AD38"/>
  <c r="AG38"/>
  <c r="AG4"/>
  <c r="AD4"/>
  <c r="AB4"/>
  <c r="Z4"/>
  <c r="M4"/>
  <c r="L4"/>
  <c r="AA4" s="1"/>
  <c r="I4"/>
  <c r="AG3"/>
  <c r="AD3"/>
  <c r="AB3"/>
  <c r="Z3"/>
  <c r="M3"/>
  <c r="L3"/>
  <c r="AA3" s="1"/>
  <c r="I3"/>
  <c r="AG2"/>
  <c r="AD2"/>
  <c r="AB2"/>
  <c r="Z2"/>
  <c r="M2"/>
  <c r="L2"/>
  <c r="AA2" s="1"/>
  <c r="C2"/>
  <c r="I2" s="1"/>
  <c r="D38" i="38"/>
  <c r="E38"/>
  <c r="F38"/>
  <c r="G38"/>
  <c r="H38"/>
  <c r="I38"/>
  <c r="J38"/>
  <c r="K38"/>
  <c r="M38"/>
  <c r="N38"/>
  <c r="O38"/>
  <c r="P38"/>
  <c r="Q38"/>
  <c r="R38"/>
  <c r="T38"/>
  <c r="U38"/>
  <c r="V38"/>
  <c r="W38"/>
  <c r="X38"/>
  <c r="Y38"/>
  <c r="Z38"/>
  <c r="AB38"/>
  <c r="AC38"/>
  <c r="AD38"/>
  <c r="AE38"/>
  <c r="AF38"/>
  <c r="AG38"/>
  <c r="C38"/>
  <c r="AF39" i="39"/>
  <c r="AE39"/>
  <c r="AC39"/>
  <c r="Y39"/>
  <c r="X39"/>
  <c r="W39"/>
  <c r="V39"/>
  <c r="U39"/>
  <c r="T39"/>
  <c r="S39"/>
  <c r="R39"/>
  <c r="Q39"/>
  <c r="P39"/>
  <c r="N39"/>
  <c r="K39"/>
  <c r="J39"/>
  <c r="H39"/>
  <c r="G39"/>
  <c r="F39"/>
  <c r="E39"/>
  <c r="D39"/>
  <c r="AG34"/>
  <c r="AD34"/>
  <c r="AB34"/>
  <c r="Z34"/>
  <c r="M39"/>
  <c r="L34"/>
  <c r="AF33"/>
  <c r="AE33"/>
  <c r="AC33"/>
  <c r="Y33"/>
  <c r="X33"/>
  <c r="W33"/>
  <c r="V33"/>
  <c r="U33"/>
  <c r="T33"/>
  <c r="S33"/>
  <c r="R33"/>
  <c r="Q33"/>
  <c r="P33"/>
  <c r="O33"/>
  <c r="N33"/>
  <c r="K33"/>
  <c r="J33"/>
  <c r="H33"/>
  <c r="G33"/>
  <c r="F33"/>
  <c r="E33"/>
  <c r="D33"/>
  <c r="AG32"/>
  <c r="AD32"/>
  <c r="AB32"/>
  <c r="L32"/>
  <c r="I32"/>
  <c r="AG31"/>
  <c r="AD31"/>
  <c r="AB31"/>
  <c r="Z31"/>
  <c r="L31"/>
  <c r="I31"/>
  <c r="AG30"/>
  <c r="AD30"/>
  <c r="AB30"/>
  <c r="Z30"/>
  <c r="L30"/>
  <c r="I30"/>
  <c r="AG29"/>
  <c r="AD29"/>
  <c r="AB29"/>
  <c r="Z29"/>
  <c r="L29"/>
  <c r="I29"/>
  <c r="AG28"/>
  <c r="AD28"/>
  <c r="AB28"/>
  <c r="Z28"/>
  <c r="L28"/>
  <c r="I28"/>
  <c r="AG27"/>
  <c r="AB27"/>
  <c r="Z27"/>
  <c r="L27"/>
  <c r="C33"/>
  <c r="AG26"/>
  <c r="AB26"/>
  <c r="Z26"/>
  <c r="AF25"/>
  <c r="AC25"/>
  <c r="Y25"/>
  <c r="X25"/>
  <c r="W25"/>
  <c r="V25"/>
  <c r="U25"/>
  <c r="T25"/>
  <c r="S25"/>
  <c r="R25"/>
  <c r="Q25"/>
  <c r="P25"/>
  <c r="O25"/>
  <c r="N25"/>
  <c r="K25"/>
  <c r="J25"/>
  <c r="H25"/>
  <c r="G25"/>
  <c r="F25"/>
  <c r="E25"/>
  <c r="D25"/>
  <c r="C25"/>
  <c r="AG24"/>
  <c r="AD24"/>
  <c r="AB24"/>
  <c r="Z24"/>
  <c r="I24"/>
  <c r="AG23"/>
  <c r="AD23"/>
  <c r="AB23"/>
  <c r="Z23"/>
  <c r="L23"/>
  <c r="I23"/>
  <c r="AA23" s="1"/>
  <c r="AG22"/>
  <c r="AD22"/>
  <c r="AB22"/>
  <c r="Z22"/>
  <c r="L22"/>
  <c r="I22"/>
  <c r="AG21"/>
  <c r="AE25"/>
  <c r="AD21"/>
  <c r="AB21"/>
  <c r="Z21"/>
  <c r="L21"/>
  <c r="I21"/>
  <c r="AG20"/>
  <c r="AB20"/>
  <c r="Z20"/>
  <c r="L20"/>
  <c r="I20"/>
  <c r="AG19"/>
  <c r="AD19"/>
  <c r="AB19"/>
  <c r="Z19"/>
  <c r="L19"/>
  <c r="I19"/>
  <c r="AG18"/>
  <c r="AD18"/>
  <c r="AB18"/>
  <c r="Z18"/>
  <c r="L18"/>
  <c r="AF17"/>
  <c r="AE17"/>
  <c r="AC17"/>
  <c r="Y17"/>
  <c r="X17"/>
  <c r="W17"/>
  <c r="V17"/>
  <c r="U17"/>
  <c r="T17"/>
  <c r="R17"/>
  <c r="Q17"/>
  <c r="P17"/>
  <c r="O17"/>
  <c r="N17"/>
  <c r="K17"/>
  <c r="J17"/>
  <c r="H17"/>
  <c r="G17"/>
  <c r="F17"/>
  <c r="E17"/>
  <c r="D17"/>
  <c r="AG16"/>
  <c r="AD16"/>
  <c r="AB16"/>
  <c r="Z16"/>
  <c r="L16"/>
  <c r="I16"/>
  <c r="AG15"/>
  <c r="AD15"/>
  <c r="AB15"/>
  <c r="Z15"/>
  <c r="L15"/>
  <c r="I15"/>
  <c r="AA15" s="1"/>
  <c r="AG14"/>
  <c r="AD14"/>
  <c r="AB14"/>
  <c r="Z14"/>
  <c r="L14"/>
  <c r="I14"/>
  <c r="AG13"/>
  <c r="AD13"/>
  <c r="AB13"/>
  <c r="Z13"/>
  <c r="L13"/>
  <c r="AG12"/>
  <c r="AD12"/>
  <c r="AB12"/>
  <c r="Z12"/>
  <c r="S17"/>
  <c r="I12"/>
  <c r="AG11"/>
  <c r="AD11"/>
  <c r="AB11"/>
  <c r="Z11"/>
  <c r="I11"/>
  <c r="AG10"/>
  <c r="AD10"/>
  <c r="AB10"/>
  <c r="Z10"/>
  <c r="C17"/>
  <c r="AE9"/>
  <c r="AC9"/>
  <c r="Y9"/>
  <c r="X9"/>
  <c r="W9"/>
  <c r="V9"/>
  <c r="U9"/>
  <c r="T9"/>
  <c r="S9"/>
  <c r="R9"/>
  <c r="Q9"/>
  <c r="P9"/>
  <c r="O9"/>
  <c r="N9"/>
  <c r="K9"/>
  <c r="J9"/>
  <c r="H9"/>
  <c r="G9"/>
  <c r="F9"/>
  <c r="E9"/>
  <c r="D9"/>
  <c r="C9"/>
  <c r="AG8"/>
  <c r="AB8"/>
  <c r="Z8"/>
  <c r="I8"/>
  <c r="AG7"/>
  <c r="Z7"/>
  <c r="L7"/>
  <c r="AA7" s="1"/>
  <c r="I7"/>
  <c r="AG6"/>
  <c r="AB6"/>
  <c r="Z6"/>
  <c r="I6"/>
  <c r="AG5"/>
  <c r="AB5"/>
  <c r="Z5"/>
  <c r="L5"/>
  <c r="I5"/>
  <c r="M36" i="38"/>
  <c r="M35"/>
  <c r="C34"/>
  <c r="M34"/>
  <c r="M32"/>
  <c r="M31"/>
  <c r="M30"/>
  <c r="M29"/>
  <c r="M28"/>
  <c r="C27"/>
  <c r="M27"/>
  <c r="M26"/>
  <c r="AE21"/>
  <c r="AA36" i="39" l="1"/>
  <c r="AA35"/>
  <c r="AA32"/>
  <c r="AA31"/>
  <c r="T40"/>
  <c r="Z33"/>
  <c r="H40"/>
  <c r="AE40"/>
  <c r="AC40"/>
  <c r="V40"/>
  <c r="AF40"/>
  <c r="J40"/>
  <c r="O40"/>
  <c r="D40"/>
  <c r="N40"/>
  <c r="G40"/>
  <c r="F40"/>
  <c r="M17"/>
  <c r="W40"/>
  <c r="S40"/>
  <c r="R40"/>
  <c r="Q40"/>
  <c r="P40"/>
  <c r="K40"/>
  <c r="E40"/>
  <c r="L11"/>
  <c r="L17" s="1"/>
  <c r="X40"/>
  <c r="U40"/>
  <c r="AD9"/>
  <c r="M9"/>
  <c r="AD39"/>
  <c r="AG33"/>
  <c r="AG17"/>
  <c r="AG9"/>
  <c r="AB33"/>
  <c r="AA28"/>
  <c r="AA19"/>
  <c r="AA21"/>
  <c r="AA20"/>
  <c r="Z17"/>
  <c r="AA13"/>
  <c r="AA5"/>
  <c r="Z25"/>
  <c r="AD33"/>
  <c r="AA22"/>
  <c r="AG25"/>
  <c r="AB25"/>
  <c r="I25"/>
  <c r="AD25"/>
  <c r="AA24"/>
  <c r="AB17"/>
  <c r="AA12"/>
  <c r="AD17"/>
  <c r="AA6"/>
  <c r="AG39"/>
  <c r="AA37"/>
  <c r="AA38"/>
  <c r="Z39"/>
  <c r="C39"/>
  <c r="C40" s="1"/>
  <c r="AB39"/>
  <c r="AB9"/>
  <c r="I9"/>
  <c r="Z9"/>
  <c r="AA8"/>
  <c r="L33"/>
  <c r="AA26"/>
  <c r="L25"/>
  <c r="AA18"/>
  <c r="M25"/>
  <c r="M33"/>
  <c r="L39"/>
  <c r="I10"/>
  <c r="I17" s="1"/>
  <c r="I27"/>
  <c r="AA27" s="1"/>
  <c r="I34"/>
  <c r="I39" s="1"/>
  <c r="M24" i="38"/>
  <c r="M23"/>
  <c r="M22"/>
  <c r="M21"/>
  <c r="M20"/>
  <c r="M19"/>
  <c r="M18"/>
  <c r="S16"/>
  <c r="M16"/>
  <c r="C15"/>
  <c r="M15"/>
  <c r="M14"/>
  <c r="M13"/>
  <c r="S12"/>
  <c r="M12"/>
  <c r="C12"/>
  <c r="M11"/>
  <c r="C10"/>
  <c r="M10"/>
  <c r="O33"/>
  <c r="P33"/>
  <c r="Q33"/>
  <c r="R33"/>
  <c r="S33"/>
  <c r="T33"/>
  <c r="U33"/>
  <c r="O25"/>
  <c r="P25"/>
  <c r="Q25"/>
  <c r="R25"/>
  <c r="S25"/>
  <c r="T25"/>
  <c r="O17"/>
  <c r="P17"/>
  <c r="Q17"/>
  <c r="R17"/>
  <c r="S17"/>
  <c r="T17"/>
  <c r="O9"/>
  <c r="T9"/>
  <c r="M40" i="39" l="1"/>
  <c r="AB40"/>
  <c r="AA11"/>
  <c r="Z40"/>
  <c r="AD40"/>
  <c r="AG40"/>
  <c r="I33"/>
  <c r="I40" s="1"/>
  <c r="AA25"/>
  <c r="AA10"/>
  <c r="AA33"/>
  <c r="L9"/>
  <c r="L40" s="1"/>
  <c r="AA9"/>
  <c r="AA34"/>
  <c r="AA39" s="1"/>
  <c r="M8" i="38"/>
  <c r="L8" s="1"/>
  <c r="M7"/>
  <c r="M6"/>
  <c r="M5"/>
  <c r="M4"/>
  <c r="M3"/>
  <c r="L3" s="1"/>
  <c r="M2"/>
  <c r="L32"/>
  <c r="L31"/>
  <c r="L30"/>
  <c r="L29"/>
  <c r="L28"/>
  <c r="L27"/>
  <c r="L26"/>
  <c r="L24"/>
  <c r="L23"/>
  <c r="L22"/>
  <c r="L21"/>
  <c r="L20"/>
  <c r="L19"/>
  <c r="L18"/>
  <c r="L16"/>
  <c r="L15"/>
  <c r="L14"/>
  <c r="L13"/>
  <c r="L12"/>
  <c r="L11"/>
  <c r="L10"/>
  <c r="L7"/>
  <c r="L6"/>
  <c r="L5"/>
  <c r="L4"/>
  <c r="L2"/>
  <c r="AF37"/>
  <c r="AE37"/>
  <c r="AC37"/>
  <c r="Y37"/>
  <c r="W37"/>
  <c r="V37"/>
  <c r="T37"/>
  <c r="S37"/>
  <c r="S38" s="1"/>
  <c r="R37"/>
  <c r="Q37"/>
  <c r="P37"/>
  <c r="N37"/>
  <c r="K37"/>
  <c r="J37"/>
  <c r="H37"/>
  <c r="G37"/>
  <c r="F37"/>
  <c r="E37"/>
  <c r="D37"/>
  <c r="U37"/>
  <c r="X37"/>
  <c r="AG36"/>
  <c r="AD36"/>
  <c r="AB36"/>
  <c r="Z36"/>
  <c r="L36"/>
  <c r="I36"/>
  <c r="AG35"/>
  <c r="AD35"/>
  <c r="AB35"/>
  <c r="Z35"/>
  <c r="L35"/>
  <c r="I35"/>
  <c r="C37"/>
  <c r="AG34"/>
  <c r="AD34"/>
  <c r="AB34"/>
  <c r="Z34"/>
  <c r="L34"/>
  <c r="I34"/>
  <c r="AF33"/>
  <c r="AE33"/>
  <c r="AC33"/>
  <c r="Y33"/>
  <c r="X33"/>
  <c r="W33"/>
  <c r="V33"/>
  <c r="N33"/>
  <c r="K33"/>
  <c r="J33"/>
  <c r="H33"/>
  <c r="G33"/>
  <c r="F33"/>
  <c r="E33"/>
  <c r="D33"/>
  <c r="C33"/>
  <c r="AG32"/>
  <c r="AD32"/>
  <c r="AB32"/>
  <c r="Z32"/>
  <c r="I32"/>
  <c r="AG31"/>
  <c r="AD31"/>
  <c r="AB31"/>
  <c r="Z31"/>
  <c r="I31"/>
  <c r="AG30"/>
  <c r="AD30"/>
  <c r="AB30"/>
  <c r="Z30"/>
  <c r="I30"/>
  <c r="AG29"/>
  <c r="AD29"/>
  <c r="AB29"/>
  <c r="Z29"/>
  <c r="I29"/>
  <c r="AG28"/>
  <c r="AD28"/>
  <c r="AB28"/>
  <c r="Z28"/>
  <c r="I28"/>
  <c r="AG27"/>
  <c r="AD27"/>
  <c r="AB27"/>
  <c r="Z27"/>
  <c r="I27"/>
  <c r="AG26"/>
  <c r="AD26"/>
  <c r="AB26"/>
  <c r="Z26"/>
  <c r="M33"/>
  <c r="I26"/>
  <c r="AF25"/>
  <c r="AE25"/>
  <c r="AC25"/>
  <c r="Y25"/>
  <c r="X25"/>
  <c r="W25"/>
  <c r="V25"/>
  <c r="U25"/>
  <c r="N25"/>
  <c r="K25"/>
  <c r="J25"/>
  <c r="H25"/>
  <c r="G25"/>
  <c r="F25"/>
  <c r="E25"/>
  <c r="D25"/>
  <c r="C25"/>
  <c r="AG24"/>
  <c r="AD24"/>
  <c r="AB24"/>
  <c r="Z24"/>
  <c r="I24"/>
  <c r="AG23"/>
  <c r="AD23"/>
  <c r="AB23"/>
  <c r="Z23"/>
  <c r="I23"/>
  <c r="AG22"/>
  <c r="AD22"/>
  <c r="AB22"/>
  <c r="Z22"/>
  <c r="I22"/>
  <c r="AG21"/>
  <c r="AD21"/>
  <c r="AB21"/>
  <c r="Z21"/>
  <c r="I21"/>
  <c r="AG20"/>
  <c r="AD20"/>
  <c r="AB20"/>
  <c r="Z20"/>
  <c r="I20"/>
  <c r="AG19"/>
  <c r="AD19"/>
  <c r="AB19"/>
  <c r="Z19"/>
  <c r="I19"/>
  <c r="AG18"/>
  <c r="AD18"/>
  <c r="AB18"/>
  <c r="Z18"/>
  <c r="I18"/>
  <c r="AF17"/>
  <c r="AE17"/>
  <c r="AC17"/>
  <c r="Y17"/>
  <c r="X17"/>
  <c r="W17"/>
  <c r="V17"/>
  <c r="U17"/>
  <c r="N17"/>
  <c r="K17"/>
  <c r="J17"/>
  <c r="H17"/>
  <c r="G17"/>
  <c r="F17"/>
  <c r="E17"/>
  <c r="D17"/>
  <c r="AG16"/>
  <c r="AD16"/>
  <c r="AB16"/>
  <c r="Z16"/>
  <c r="I16"/>
  <c r="AG15"/>
  <c r="AD15"/>
  <c r="AB15"/>
  <c r="Z15"/>
  <c r="I15"/>
  <c r="AG14"/>
  <c r="AD14"/>
  <c r="AB14"/>
  <c r="Z14"/>
  <c r="I14"/>
  <c r="AG13"/>
  <c r="AD13"/>
  <c r="AB13"/>
  <c r="Z13"/>
  <c r="I13"/>
  <c r="AG12"/>
  <c r="AD12"/>
  <c r="AB12"/>
  <c r="Z12"/>
  <c r="I12"/>
  <c r="AG11"/>
  <c r="AD11"/>
  <c r="AB11"/>
  <c r="Z11"/>
  <c r="I11"/>
  <c r="AG10"/>
  <c r="AD10"/>
  <c r="AB10"/>
  <c r="Z10"/>
  <c r="M17"/>
  <c r="I10"/>
  <c r="C17"/>
  <c r="AF9"/>
  <c r="AE9"/>
  <c r="AC9"/>
  <c r="Y9"/>
  <c r="X9"/>
  <c r="W9"/>
  <c r="V9"/>
  <c r="U9"/>
  <c r="S9"/>
  <c r="R9"/>
  <c r="Q9"/>
  <c r="P9"/>
  <c r="N9"/>
  <c r="K9"/>
  <c r="J9"/>
  <c r="H9"/>
  <c r="G9"/>
  <c r="F9"/>
  <c r="E9"/>
  <c r="D9"/>
  <c r="AG8"/>
  <c r="AD8"/>
  <c r="AB8"/>
  <c r="Z8"/>
  <c r="I8"/>
  <c r="AG7"/>
  <c r="AD7"/>
  <c r="AB7"/>
  <c r="Z7"/>
  <c r="I7"/>
  <c r="AG6"/>
  <c r="AD6"/>
  <c r="AB6"/>
  <c r="Z6"/>
  <c r="I6"/>
  <c r="AG5"/>
  <c r="AB5"/>
  <c r="Z5"/>
  <c r="I5"/>
  <c r="AA5" s="1"/>
  <c r="AG4"/>
  <c r="AD4"/>
  <c r="AB4"/>
  <c r="Z4"/>
  <c r="I4"/>
  <c r="AG3"/>
  <c r="AD3"/>
  <c r="AB3"/>
  <c r="Z3"/>
  <c r="I3"/>
  <c r="C9"/>
  <c r="AG2"/>
  <c r="AD2"/>
  <c r="AB2"/>
  <c r="Z2"/>
  <c r="I2"/>
  <c r="AD41" i="37"/>
  <c r="U40"/>
  <c r="U38"/>
  <c r="X37"/>
  <c r="AA17" i="39" l="1"/>
  <c r="AA40" s="1"/>
  <c r="AA32" i="38"/>
  <c r="AA28"/>
  <c r="AD33"/>
  <c r="Z25"/>
  <c r="AA12"/>
  <c r="AB17"/>
  <c r="AB25"/>
  <c r="AG33"/>
  <c r="AB37"/>
  <c r="AA14"/>
  <c r="AA36"/>
  <c r="AA7"/>
  <c r="AA31"/>
  <c r="I25"/>
  <c r="AA11"/>
  <c r="AA13"/>
  <c r="AA15"/>
  <c r="I9"/>
  <c r="Z9"/>
  <c r="Z37"/>
  <c r="Z33"/>
  <c r="Z17"/>
  <c r="AA29"/>
  <c r="AA26"/>
  <c r="AA30"/>
  <c r="I33"/>
  <c r="AB33"/>
  <c r="AA27"/>
  <c r="AG25"/>
  <c r="AA20"/>
  <c r="AA22"/>
  <c r="AA24"/>
  <c r="AD25"/>
  <c r="AA19"/>
  <c r="AA21"/>
  <c r="AA23"/>
  <c r="I17"/>
  <c r="AD17"/>
  <c r="AG17"/>
  <c r="AA16"/>
  <c r="AB9"/>
  <c r="AA8"/>
  <c r="AD9"/>
  <c r="AA3"/>
  <c r="AA6"/>
  <c r="AA4"/>
  <c r="AG9"/>
  <c r="AD37"/>
  <c r="AA35"/>
  <c r="I37"/>
  <c r="AG37"/>
  <c r="AA2"/>
  <c r="L9"/>
  <c r="L37"/>
  <c r="L38" s="1"/>
  <c r="AA34"/>
  <c r="L25"/>
  <c r="AA18"/>
  <c r="L33"/>
  <c r="M9"/>
  <c r="M37"/>
  <c r="M25"/>
  <c r="M40" i="37"/>
  <c r="L40" s="1"/>
  <c r="M39"/>
  <c r="C38"/>
  <c r="M38"/>
  <c r="M37"/>
  <c r="L37" s="1"/>
  <c r="M36"/>
  <c r="T42"/>
  <c r="T41"/>
  <c r="M34"/>
  <c r="L34" s="1"/>
  <c r="L36"/>
  <c r="L38"/>
  <c r="L39"/>
  <c r="L35"/>
  <c r="M35"/>
  <c r="C35"/>
  <c r="C32"/>
  <c r="M32"/>
  <c r="M31"/>
  <c r="M30"/>
  <c r="M29"/>
  <c r="M28"/>
  <c r="M27"/>
  <c r="C26"/>
  <c r="M26"/>
  <c r="M24"/>
  <c r="M23"/>
  <c r="M22"/>
  <c r="M21"/>
  <c r="M20"/>
  <c r="M19"/>
  <c r="M18"/>
  <c r="M16"/>
  <c r="M15"/>
  <c r="M14"/>
  <c r="M13"/>
  <c r="M12"/>
  <c r="M11"/>
  <c r="C10"/>
  <c r="M10"/>
  <c r="AD7"/>
  <c r="AE9"/>
  <c r="AA33" i="38" l="1"/>
  <c r="AA25"/>
  <c r="AA9"/>
  <c r="AA37"/>
  <c r="AA38" s="1"/>
  <c r="AA10"/>
  <c r="AA17" s="1"/>
  <c r="L17"/>
  <c r="M8" i="37"/>
  <c r="L8" s="1"/>
  <c r="M7"/>
  <c r="L7" s="1"/>
  <c r="AG40"/>
  <c r="AD40"/>
  <c r="AB40"/>
  <c r="Z40"/>
  <c r="I40"/>
  <c r="AG39"/>
  <c r="AD39"/>
  <c r="AB39"/>
  <c r="Z39"/>
  <c r="I39"/>
  <c r="AG38"/>
  <c r="AD38"/>
  <c r="AB38"/>
  <c r="Z38"/>
  <c r="I38"/>
  <c r="AG37"/>
  <c r="AD37"/>
  <c r="AB37"/>
  <c r="Z37"/>
  <c r="I37"/>
  <c r="AG36"/>
  <c r="AD36"/>
  <c r="AB36"/>
  <c r="Z36"/>
  <c r="I36"/>
  <c r="AG35"/>
  <c r="AD35"/>
  <c r="AB35"/>
  <c r="Z35"/>
  <c r="AA35"/>
  <c r="I35"/>
  <c r="AG34"/>
  <c r="AD34"/>
  <c r="AB34"/>
  <c r="Z34"/>
  <c r="I34"/>
  <c r="AG6"/>
  <c r="AD6"/>
  <c r="AB6"/>
  <c r="Z6"/>
  <c r="M6"/>
  <c r="L6"/>
  <c r="AA6" s="1"/>
  <c r="I6"/>
  <c r="AG5"/>
  <c r="AB5"/>
  <c r="Z5"/>
  <c r="M5"/>
  <c r="L5" s="1"/>
  <c r="AA5" s="1"/>
  <c r="I5"/>
  <c r="AG4"/>
  <c r="AD4"/>
  <c r="AB4"/>
  <c r="Z4"/>
  <c r="M4"/>
  <c r="L4" s="1"/>
  <c r="AA4" s="1"/>
  <c r="I4"/>
  <c r="AG3"/>
  <c r="AD3"/>
  <c r="AB3"/>
  <c r="Z3"/>
  <c r="M3"/>
  <c r="L3" s="1"/>
  <c r="I3"/>
  <c r="C3"/>
  <c r="AG2"/>
  <c r="AD2"/>
  <c r="AB2"/>
  <c r="Z2"/>
  <c r="M2"/>
  <c r="L2"/>
  <c r="AA2" s="1"/>
  <c r="I2"/>
  <c r="AF41"/>
  <c r="AE41"/>
  <c r="AC41"/>
  <c r="Y41"/>
  <c r="X41"/>
  <c r="W41"/>
  <c r="V41"/>
  <c r="U41"/>
  <c r="S41"/>
  <c r="R41"/>
  <c r="Q41"/>
  <c r="P41"/>
  <c r="N41"/>
  <c r="K41"/>
  <c r="J41"/>
  <c r="H41"/>
  <c r="G41"/>
  <c r="F41"/>
  <c r="E41"/>
  <c r="D41"/>
  <c r="C41"/>
  <c r="M41"/>
  <c r="AF33"/>
  <c r="AE33"/>
  <c r="AC33"/>
  <c r="Y33"/>
  <c r="X33"/>
  <c r="W33"/>
  <c r="V33"/>
  <c r="U33"/>
  <c r="S33"/>
  <c r="R33"/>
  <c r="Q33"/>
  <c r="P33"/>
  <c r="N33"/>
  <c r="K33"/>
  <c r="J33"/>
  <c r="H33"/>
  <c r="G33"/>
  <c r="F33"/>
  <c r="E33"/>
  <c r="D33"/>
  <c r="C33"/>
  <c r="AG32"/>
  <c r="AD32"/>
  <c r="AB32"/>
  <c r="Z32"/>
  <c r="L32"/>
  <c r="I32"/>
  <c r="AG31"/>
  <c r="AD31"/>
  <c r="AB31"/>
  <c r="Z31"/>
  <c r="L31"/>
  <c r="I31"/>
  <c r="AA31" s="1"/>
  <c r="AG30"/>
  <c r="AD30"/>
  <c r="AB30"/>
  <c r="Z30"/>
  <c r="L30"/>
  <c r="I30"/>
  <c r="AG29"/>
  <c r="AD29"/>
  <c r="AB29"/>
  <c r="Z29"/>
  <c r="L29"/>
  <c r="I29"/>
  <c r="AG28"/>
  <c r="AD28"/>
  <c r="AB28"/>
  <c r="Z28"/>
  <c r="L28"/>
  <c r="I28"/>
  <c r="AG27"/>
  <c r="AD27"/>
  <c r="AB27"/>
  <c r="Z27"/>
  <c r="L27"/>
  <c r="I27"/>
  <c r="AG26"/>
  <c r="AG33" s="1"/>
  <c r="AD26"/>
  <c r="AB26"/>
  <c r="Z26"/>
  <c r="M33"/>
  <c r="L26"/>
  <c r="AA26" s="1"/>
  <c r="I26"/>
  <c r="AF25"/>
  <c r="AE25"/>
  <c r="AC25"/>
  <c r="Y25"/>
  <c r="X25"/>
  <c r="W25"/>
  <c r="V25"/>
  <c r="U25"/>
  <c r="S25"/>
  <c r="R25"/>
  <c r="Q25"/>
  <c r="P25"/>
  <c r="N25"/>
  <c r="K25"/>
  <c r="J25"/>
  <c r="H25"/>
  <c r="G25"/>
  <c r="F25"/>
  <c r="E25"/>
  <c r="D25"/>
  <c r="AG24"/>
  <c r="AD24"/>
  <c r="AB24"/>
  <c r="Z24"/>
  <c r="L24"/>
  <c r="I24"/>
  <c r="AG23"/>
  <c r="AD23"/>
  <c r="AB23"/>
  <c r="Z23"/>
  <c r="L23"/>
  <c r="C25"/>
  <c r="AG22"/>
  <c r="AD22"/>
  <c r="AB22"/>
  <c r="Z22"/>
  <c r="L22"/>
  <c r="I22"/>
  <c r="AG21"/>
  <c r="AD21"/>
  <c r="AB21"/>
  <c r="Z21"/>
  <c r="L21"/>
  <c r="I21"/>
  <c r="AG20"/>
  <c r="AD20"/>
  <c r="AB20"/>
  <c r="Z20"/>
  <c r="L20"/>
  <c r="I20"/>
  <c r="AG19"/>
  <c r="AD19"/>
  <c r="AB19"/>
  <c r="Z19"/>
  <c r="L19"/>
  <c r="I19"/>
  <c r="AG18"/>
  <c r="AD18"/>
  <c r="AB18"/>
  <c r="Z18"/>
  <c r="L18"/>
  <c r="I18"/>
  <c r="AF17"/>
  <c r="AE17"/>
  <c r="AC17"/>
  <c r="Y17"/>
  <c r="X17"/>
  <c r="W17"/>
  <c r="V17"/>
  <c r="U17"/>
  <c r="S17"/>
  <c r="R17"/>
  <c r="P17"/>
  <c r="N17"/>
  <c r="K17"/>
  <c r="J17"/>
  <c r="H17"/>
  <c r="G17"/>
  <c r="F17"/>
  <c r="E17"/>
  <c r="D17"/>
  <c r="C17"/>
  <c r="AG16"/>
  <c r="AD16"/>
  <c r="AB16"/>
  <c r="Z16"/>
  <c r="L16"/>
  <c r="I16"/>
  <c r="AG15"/>
  <c r="AD15"/>
  <c r="AB15"/>
  <c r="Z15"/>
  <c r="L15"/>
  <c r="I15"/>
  <c r="AG14"/>
  <c r="AD14"/>
  <c r="AB14"/>
  <c r="Z14"/>
  <c r="Q17"/>
  <c r="L14"/>
  <c r="I14"/>
  <c r="AG13"/>
  <c r="AD13"/>
  <c r="AB13"/>
  <c r="Z13"/>
  <c r="L13"/>
  <c r="I13"/>
  <c r="AG12"/>
  <c r="AD12"/>
  <c r="AB12"/>
  <c r="Z12"/>
  <c r="L12"/>
  <c r="I12"/>
  <c r="AG11"/>
  <c r="AD11"/>
  <c r="AB11"/>
  <c r="Z11"/>
  <c r="L11"/>
  <c r="I11"/>
  <c r="AG10"/>
  <c r="AD10"/>
  <c r="AB10"/>
  <c r="Z10"/>
  <c r="L10"/>
  <c r="I10"/>
  <c r="AF9"/>
  <c r="AC9"/>
  <c r="Y9"/>
  <c r="X9"/>
  <c r="W9"/>
  <c r="V9"/>
  <c r="U9"/>
  <c r="S9"/>
  <c r="R9"/>
  <c r="Q9"/>
  <c r="P9"/>
  <c r="N9"/>
  <c r="K9"/>
  <c r="J9"/>
  <c r="H9"/>
  <c r="G9"/>
  <c r="F9"/>
  <c r="E9"/>
  <c r="D9"/>
  <c r="AG8"/>
  <c r="AD8"/>
  <c r="AB8"/>
  <c r="Z8"/>
  <c r="I8"/>
  <c r="AG7"/>
  <c r="AB7"/>
  <c r="Z7"/>
  <c r="I7"/>
  <c r="C9"/>
  <c r="M38" i="36"/>
  <c r="M37"/>
  <c r="M36"/>
  <c r="M35"/>
  <c r="C35"/>
  <c r="M34"/>
  <c r="M32"/>
  <c r="C31"/>
  <c r="M31"/>
  <c r="M30"/>
  <c r="M29"/>
  <c r="M28"/>
  <c r="M27"/>
  <c r="M26"/>
  <c r="M24"/>
  <c r="C23"/>
  <c r="M23"/>
  <c r="M22"/>
  <c r="M21"/>
  <c r="M20"/>
  <c r="M19"/>
  <c r="M18"/>
  <c r="AB16"/>
  <c r="C15"/>
  <c r="AG41" i="37" l="1"/>
  <c r="AA30"/>
  <c r="Z33"/>
  <c r="AD33"/>
  <c r="AA24"/>
  <c r="AA22"/>
  <c r="AA21"/>
  <c r="AA20"/>
  <c r="Z25"/>
  <c r="AB25"/>
  <c r="AA19"/>
  <c r="AA15"/>
  <c r="AA13"/>
  <c r="AA11"/>
  <c r="AB17"/>
  <c r="M9"/>
  <c r="AG25"/>
  <c r="AD17"/>
  <c r="AA34"/>
  <c r="AA36"/>
  <c r="AA38"/>
  <c r="Z41"/>
  <c r="AA29"/>
  <c r="I17"/>
  <c r="AA16"/>
  <c r="AA28"/>
  <c r="AA32"/>
  <c r="I33"/>
  <c r="AB33"/>
  <c r="AA27"/>
  <c r="AD25"/>
  <c r="AG17"/>
  <c r="AA12"/>
  <c r="AA14"/>
  <c r="Z17"/>
  <c r="AA37"/>
  <c r="AA40"/>
  <c r="AB41"/>
  <c r="AA39"/>
  <c r="L41"/>
  <c r="AA7"/>
  <c r="L9"/>
  <c r="AA3"/>
  <c r="Y42"/>
  <c r="AE42"/>
  <c r="G42"/>
  <c r="R42"/>
  <c r="W42"/>
  <c r="K42"/>
  <c r="AC42"/>
  <c r="AF42"/>
  <c r="AB9"/>
  <c r="Z9"/>
  <c r="P42"/>
  <c r="U42"/>
  <c r="N42"/>
  <c r="S42"/>
  <c r="X42"/>
  <c r="AA8"/>
  <c r="V42"/>
  <c r="J42"/>
  <c r="AD9"/>
  <c r="D42"/>
  <c r="H42"/>
  <c r="F42"/>
  <c r="AG9"/>
  <c r="E42"/>
  <c r="L17"/>
  <c r="AA10"/>
  <c r="L25"/>
  <c r="C42"/>
  <c r="Q42"/>
  <c r="I9"/>
  <c r="M17"/>
  <c r="I23"/>
  <c r="I25" s="1"/>
  <c r="I41"/>
  <c r="AA18"/>
  <c r="L33"/>
  <c r="M25"/>
  <c r="M16" i="36"/>
  <c r="L16" s="1"/>
  <c r="M15"/>
  <c r="P14"/>
  <c r="L14" s="1"/>
  <c r="M14"/>
  <c r="M13"/>
  <c r="L13" s="1"/>
  <c r="M12"/>
  <c r="L12" s="1"/>
  <c r="M11"/>
  <c r="L11" s="1"/>
  <c r="M10"/>
  <c r="M8"/>
  <c r="L8" s="1"/>
  <c r="M7"/>
  <c r="L7" s="1"/>
  <c r="M6"/>
  <c r="L6" s="1"/>
  <c r="M5"/>
  <c r="M4"/>
  <c r="I35"/>
  <c r="L35"/>
  <c r="X35"/>
  <c r="Z35"/>
  <c r="AB35"/>
  <c r="AE35"/>
  <c r="I36"/>
  <c r="L36"/>
  <c r="X36"/>
  <c r="Z36"/>
  <c r="AB36"/>
  <c r="AE36"/>
  <c r="I37"/>
  <c r="L37"/>
  <c r="X37"/>
  <c r="Z37"/>
  <c r="AE37"/>
  <c r="I38"/>
  <c r="L38"/>
  <c r="X38"/>
  <c r="Z38"/>
  <c r="AB38"/>
  <c r="AE38"/>
  <c r="AE3"/>
  <c r="AB3"/>
  <c r="Z3"/>
  <c r="X3"/>
  <c r="M3"/>
  <c r="L3"/>
  <c r="Y3" s="1"/>
  <c r="I3"/>
  <c r="C3"/>
  <c r="AE2"/>
  <c r="AB2"/>
  <c r="Z2"/>
  <c r="X2"/>
  <c r="M2"/>
  <c r="L2" s="1"/>
  <c r="I2"/>
  <c r="AD39"/>
  <c r="AC39"/>
  <c r="AA39"/>
  <c r="W39"/>
  <c r="V39"/>
  <c r="U39"/>
  <c r="T39"/>
  <c r="S39"/>
  <c r="R39"/>
  <c r="Q39"/>
  <c r="P39"/>
  <c r="O39"/>
  <c r="N39"/>
  <c r="K39"/>
  <c r="J39"/>
  <c r="H39"/>
  <c r="G39"/>
  <c r="F39"/>
  <c r="E39"/>
  <c r="D39"/>
  <c r="C39"/>
  <c r="AE34"/>
  <c r="AB34"/>
  <c r="Z34"/>
  <c r="X34"/>
  <c r="I34"/>
  <c r="AD33"/>
  <c r="AA33"/>
  <c r="W33"/>
  <c r="U33"/>
  <c r="T33"/>
  <c r="S33"/>
  <c r="R33"/>
  <c r="Q33"/>
  <c r="O33"/>
  <c r="N33"/>
  <c r="K33"/>
  <c r="J33"/>
  <c r="H33"/>
  <c r="G33"/>
  <c r="F33"/>
  <c r="E33"/>
  <c r="D33"/>
  <c r="AE32"/>
  <c r="AB32"/>
  <c r="Z32"/>
  <c r="X32"/>
  <c r="P33"/>
  <c r="I32"/>
  <c r="AE31"/>
  <c r="AB31"/>
  <c r="Z31"/>
  <c r="X31"/>
  <c r="L31"/>
  <c r="I31"/>
  <c r="AE30"/>
  <c r="AB30"/>
  <c r="Z30"/>
  <c r="X30"/>
  <c r="L30"/>
  <c r="I30"/>
  <c r="AE29"/>
  <c r="AB29"/>
  <c r="Z29"/>
  <c r="X29"/>
  <c r="L29"/>
  <c r="I29"/>
  <c r="AE28"/>
  <c r="AC33"/>
  <c r="AB28"/>
  <c r="Z28"/>
  <c r="X28"/>
  <c r="L28"/>
  <c r="I28"/>
  <c r="AE27"/>
  <c r="AB27"/>
  <c r="Z27"/>
  <c r="X27"/>
  <c r="L27"/>
  <c r="I27"/>
  <c r="AE26"/>
  <c r="AB26"/>
  <c r="Z26"/>
  <c r="X26"/>
  <c r="M33"/>
  <c r="C33"/>
  <c r="AD25"/>
  <c r="AC25"/>
  <c r="AA25"/>
  <c r="W25"/>
  <c r="V25"/>
  <c r="U25"/>
  <c r="T25"/>
  <c r="S25"/>
  <c r="R25"/>
  <c r="Q25"/>
  <c r="P25"/>
  <c r="O25"/>
  <c r="N25"/>
  <c r="K25"/>
  <c r="J25"/>
  <c r="H25"/>
  <c r="G25"/>
  <c r="F25"/>
  <c r="E25"/>
  <c r="D25"/>
  <c r="C25"/>
  <c r="AE24"/>
  <c r="AB24"/>
  <c r="Z24"/>
  <c r="X24"/>
  <c r="L24"/>
  <c r="I24"/>
  <c r="AE23"/>
  <c r="AB23"/>
  <c r="Z23"/>
  <c r="X23"/>
  <c r="L23"/>
  <c r="I23"/>
  <c r="AE22"/>
  <c r="AB22"/>
  <c r="Z22"/>
  <c r="X22"/>
  <c r="L22"/>
  <c r="I22"/>
  <c r="AE21"/>
  <c r="AB21"/>
  <c r="Z21"/>
  <c r="X21"/>
  <c r="L21"/>
  <c r="I21"/>
  <c r="AE20"/>
  <c r="AB20"/>
  <c r="Z20"/>
  <c r="X20"/>
  <c r="L20"/>
  <c r="I20"/>
  <c r="AE19"/>
  <c r="AB19"/>
  <c r="Z19"/>
  <c r="X19"/>
  <c r="L19"/>
  <c r="I19"/>
  <c r="AE18"/>
  <c r="AB18"/>
  <c r="Z18"/>
  <c r="X18"/>
  <c r="M25"/>
  <c r="I18"/>
  <c r="AD17"/>
  <c r="AC17"/>
  <c r="AA17"/>
  <c r="W17"/>
  <c r="V17"/>
  <c r="U17"/>
  <c r="T17"/>
  <c r="S17"/>
  <c r="R17"/>
  <c r="Q17"/>
  <c r="P17"/>
  <c r="O17"/>
  <c r="N17"/>
  <c r="K17"/>
  <c r="J17"/>
  <c r="H17"/>
  <c r="G17"/>
  <c r="F17"/>
  <c r="E17"/>
  <c r="D17"/>
  <c r="AE16"/>
  <c r="Z16"/>
  <c r="X16"/>
  <c r="I16"/>
  <c r="AE15"/>
  <c r="AB15"/>
  <c r="Z15"/>
  <c r="X15"/>
  <c r="L15"/>
  <c r="I15"/>
  <c r="AE14"/>
  <c r="AB14"/>
  <c r="Z14"/>
  <c r="X14"/>
  <c r="I14"/>
  <c r="AE13"/>
  <c r="AB13"/>
  <c r="Z13"/>
  <c r="X13"/>
  <c r="I13"/>
  <c r="AE12"/>
  <c r="AB12"/>
  <c r="Z12"/>
  <c r="X12"/>
  <c r="I12"/>
  <c r="AE11"/>
  <c r="AB11"/>
  <c r="Z11"/>
  <c r="X11"/>
  <c r="I11"/>
  <c r="AE10"/>
  <c r="AB10"/>
  <c r="Z10"/>
  <c r="X10"/>
  <c r="L10"/>
  <c r="I10"/>
  <c r="C17"/>
  <c r="AD9"/>
  <c r="AA9"/>
  <c r="W9"/>
  <c r="V9"/>
  <c r="U9"/>
  <c r="T9"/>
  <c r="S9"/>
  <c r="R9"/>
  <c r="Q9"/>
  <c r="P9"/>
  <c r="O9"/>
  <c r="N9"/>
  <c r="K9"/>
  <c r="J9"/>
  <c r="H9"/>
  <c r="F9"/>
  <c r="E9"/>
  <c r="D9"/>
  <c r="C9"/>
  <c r="AE8"/>
  <c r="AB8"/>
  <c r="Z8"/>
  <c r="X8"/>
  <c r="I8"/>
  <c r="AE7"/>
  <c r="Z7"/>
  <c r="X7"/>
  <c r="I7"/>
  <c r="AE6"/>
  <c r="AB6"/>
  <c r="Z6"/>
  <c r="X6"/>
  <c r="I6"/>
  <c r="AE5"/>
  <c r="AB5"/>
  <c r="Z5"/>
  <c r="X5"/>
  <c r="L5"/>
  <c r="I5"/>
  <c r="AE4"/>
  <c r="AB4"/>
  <c r="X4"/>
  <c r="L4"/>
  <c r="I4"/>
  <c r="D37" i="35"/>
  <c r="E37"/>
  <c r="F37"/>
  <c r="G37"/>
  <c r="H37"/>
  <c r="I37"/>
  <c r="J37"/>
  <c r="K37"/>
  <c r="L37"/>
  <c r="M37"/>
  <c r="N37"/>
  <c r="O37"/>
  <c r="P37"/>
  <c r="Q37"/>
  <c r="R37"/>
  <c r="S37"/>
  <c r="T37"/>
  <c r="U37"/>
  <c r="V37"/>
  <c r="W37"/>
  <c r="X37"/>
  <c r="Y37"/>
  <c r="Z37"/>
  <c r="AA37"/>
  <c r="AB37"/>
  <c r="AC37"/>
  <c r="AD37"/>
  <c r="AE37"/>
  <c r="C37"/>
  <c r="C35"/>
  <c r="I35" s="1"/>
  <c r="M35"/>
  <c r="L35" s="1"/>
  <c r="M34"/>
  <c r="L34" s="1"/>
  <c r="AC28"/>
  <c r="AB28" s="1"/>
  <c r="V28"/>
  <c r="V31"/>
  <c r="X31" s="1"/>
  <c r="P32"/>
  <c r="P33" s="1"/>
  <c r="M32"/>
  <c r="M31"/>
  <c r="M30"/>
  <c r="L30" s="1"/>
  <c r="M29"/>
  <c r="L29" s="1"/>
  <c r="I28"/>
  <c r="M28"/>
  <c r="L28" s="1"/>
  <c r="M27"/>
  <c r="C26"/>
  <c r="I26" s="1"/>
  <c r="M26"/>
  <c r="L26" s="1"/>
  <c r="M24"/>
  <c r="L24" s="1"/>
  <c r="M23"/>
  <c r="L23" s="1"/>
  <c r="M22"/>
  <c r="M21"/>
  <c r="L21" s="1"/>
  <c r="M20"/>
  <c r="L20" s="1"/>
  <c r="M19"/>
  <c r="L19" s="1"/>
  <c r="M18"/>
  <c r="M16"/>
  <c r="M15"/>
  <c r="L15" s="1"/>
  <c r="M14"/>
  <c r="L14" s="1"/>
  <c r="M13"/>
  <c r="L13" s="1"/>
  <c r="M12"/>
  <c r="L12" s="1"/>
  <c r="M11"/>
  <c r="L11" s="1"/>
  <c r="C10"/>
  <c r="I10" s="1"/>
  <c r="M10"/>
  <c r="L10" s="1"/>
  <c r="AI19"/>
  <c r="AE12"/>
  <c r="AE13"/>
  <c r="AE14"/>
  <c r="AE15"/>
  <c r="AE16"/>
  <c r="AC5"/>
  <c r="AB5" s="1"/>
  <c r="M8"/>
  <c r="AE3"/>
  <c r="AB3"/>
  <c r="Z3"/>
  <c r="X3"/>
  <c r="M3"/>
  <c r="L3"/>
  <c r="I3"/>
  <c r="AE2"/>
  <c r="AB2"/>
  <c r="Z2"/>
  <c r="X2"/>
  <c r="M2"/>
  <c r="L2" s="1"/>
  <c r="Y2" s="1"/>
  <c r="I2"/>
  <c r="M7"/>
  <c r="L7" s="1"/>
  <c r="M6"/>
  <c r="M5"/>
  <c r="L5" s="1"/>
  <c r="M4"/>
  <c r="L4" s="1"/>
  <c r="G4"/>
  <c r="I4" s="1"/>
  <c r="M37" i="34"/>
  <c r="M36"/>
  <c r="AB31" i="35"/>
  <c r="L31"/>
  <c r="AD36"/>
  <c r="AC36"/>
  <c r="AA36"/>
  <c r="W36"/>
  <c r="V36"/>
  <c r="U36"/>
  <c r="T36"/>
  <c r="S36"/>
  <c r="R36"/>
  <c r="Q36"/>
  <c r="P36"/>
  <c r="O36"/>
  <c r="N36"/>
  <c r="K36"/>
  <c r="J36"/>
  <c r="H36"/>
  <c r="G36"/>
  <c r="F36"/>
  <c r="E36"/>
  <c r="D36"/>
  <c r="AE35"/>
  <c r="AB35"/>
  <c r="Z35"/>
  <c r="X35"/>
  <c r="AE34"/>
  <c r="AB34"/>
  <c r="AB36" s="1"/>
  <c r="Z34"/>
  <c r="X34"/>
  <c r="I34"/>
  <c r="AD33"/>
  <c r="AA33"/>
  <c r="W33"/>
  <c r="U33"/>
  <c r="T33"/>
  <c r="R33"/>
  <c r="Q33"/>
  <c r="O33"/>
  <c r="N33"/>
  <c r="K33"/>
  <c r="J33"/>
  <c r="H33"/>
  <c r="G33"/>
  <c r="F33"/>
  <c r="E33"/>
  <c r="D33"/>
  <c r="AE32"/>
  <c r="AB32"/>
  <c r="Z32"/>
  <c r="X32"/>
  <c r="I32"/>
  <c r="AE31"/>
  <c r="Z31"/>
  <c r="AE30"/>
  <c r="AB30"/>
  <c r="Z30"/>
  <c r="S33"/>
  <c r="I30"/>
  <c r="AE29"/>
  <c r="AB29"/>
  <c r="Z29"/>
  <c r="X29"/>
  <c r="I29"/>
  <c r="AE28"/>
  <c r="Z28"/>
  <c r="X28"/>
  <c r="AE27"/>
  <c r="AB27"/>
  <c r="Z27"/>
  <c r="X27"/>
  <c r="L27"/>
  <c r="I27"/>
  <c r="AE26"/>
  <c r="AB26"/>
  <c r="Z26"/>
  <c r="X26"/>
  <c r="AD25"/>
  <c r="AC25"/>
  <c r="AA25"/>
  <c r="W25"/>
  <c r="V25"/>
  <c r="U25"/>
  <c r="T25"/>
  <c r="S25"/>
  <c r="R25"/>
  <c r="Q25"/>
  <c r="P25"/>
  <c r="O25"/>
  <c r="N25"/>
  <c r="K25"/>
  <c r="H25"/>
  <c r="G25"/>
  <c r="F25"/>
  <c r="E25"/>
  <c r="D25"/>
  <c r="C25"/>
  <c r="AE24"/>
  <c r="AB24"/>
  <c r="Z24"/>
  <c r="X24"/>
  <c r="I24"/>
  <c r="AE23"/>
  <c r="AB23"/>
  <c r="Z23"/>
  <c r="X23"/>
  <c r="I23"/>
  <c r="AE22"/>
  <c r="AB22"/>
  <c r="Z22"/>
  <c r="X22"/>
  <c r="L22"/>
  <c r="I22"/>
  <c r="AE21"/>
  <c r="AB21"/>
  <c r="Z21"/>
  <c r="X21"/>
  <c r="I21"/>
  <c r="AE20"/>
  <c r="AB20"/>
  <c r="Z20"/>
  <c r="J25"/>
  <c r="I20"/>
  <c r="AE19"/>
  <c r="AB19"/>
  <c r="Z19"/>
  <c r="X19"/>
  <c r="I19"/>
  <c r="AE18"/>
  <c r="AB18"/>
  <c r="Z18"/>
  <c r="X18"/>
  <c r="L18"/>
  <c r="I18"/>
  <c r="AD17"/>
  <c r="AA17"/>
  <c r="W17"/>
  <c r="V17"/>
  <c r="U17"/>
  <c r="T17"/>
  <c r="S17"/>
  <c r="R17"/>
  <c r="Q17"/>
  <c r="P17"/>
  <c r="O17"/>
  <c r="N17"/>
  <c r="K17"/>
  <c r="J17"/>
  <c r="H17"/>
  <c r="G17"/>
  <c r="F17"/>
  <c r="E17"/>
  <c r="D17"/>
  <c r="Z16"/>
  <c r="X16"/>
  <c r="L16"/>
  <c r="C17"/>
  <c r="AB15"/>
  <c r="Z15"/>
  <c r="X15"/>
  <c r="I15"/>
  <c r="AB14"/>
  <c r="Z14"/>
  <c r="X14"/>
  <c r="I14"/>
  <c r="AB13"/>
  <c r="Z13"/>
  <c r="X13"/>
  <c r="I13"/>
  <c r="AB12"/>
  <c r="Z12"/>
  <c r="X12"/>
  <c r="I12"/>
  <c r="AE11"/>
  <c r="AB11"/>
  <c r="Z11"/>
  <c r="X11"/>
  <c r="I11"/>
  <c r="AE10"/>
  <c r="AB10"/>
  <c r="Z10"/>
  <c r="X10"/>
  <c r="AD9"/>
  <c r="AA9"/>
  <c r="W9"/>
  <c r="V9"/>
  <c r="U9"/>
  <c r="T9"/>
  <c r="S9"/>
  <c r="Q9"/>
  <c r="P9"/>
  <c r="O9"/>
  <c r="N9"/>
  <c r="K9"/>
  <c r="J9"/>
  <c r="H9"/>
  <c r="F9"/>
  <c r="E9"/>
  <c r="D9"/>
  <c r="C9"/>
  <c r="AE8"/>
  <c r="AB8"/>
  <c r="Z8"/>
  <c r="X8"/>
  <c r="L8"/>
  <c r="I8"/>
  <c r="AE7"/>
  <c r="AB7"/>
  <c r="Z7"/>
  <c r="X7"/>
  <c r="I7"/>
  <c r="AE6"/>
  <c r="AB6"/>
  <c r="Z6"/>
  <c r="X6"/>
  <c r="R9"/>
  <c r="I6"/>
  <c r="AE5"/>
  <c r="Z5"/>
  <c r="X5"/>
  <c r="I5"/>
  <c r="AE4"/>
  <c r="AB4"/>
  <c r="Z4"/>
  <c r="X4"/>
  <c r="I33" i="34"/>
  <c r="I34"/>
  <c r="M34"/>
  <c r="S32"/>
  <c r="S35" s="1"/>
  <c r="Y33"/>
  <c r="X33"/>
  <c r="M33"/>
  <c r="Z33"/>
  <c r="AE33"/>
  <c r="C33"/>
  <c r="C35" s="1"/>
  <c r="M32"/>
  <c r="L32" s="1"/>
  <c r="M31"/>
  <c r="M30"/>
  <c r="L30" s="1"/>
  <c r="M29"/>
  <c r="L29" s="1"/>
  <c r="M28"/>
  <c r="J22"/>
  <c r="J27" s="1"/>
  <c r="M26"/>
  <c r="L26" s="1"/>
  <c r="M25"/>
  <c r="M24"/>
  <c r="L24" s="1"/>
  <c r="M23"/>
  <c r="M22"/>
  <c r="L22" s="1"/>
  <c r="M21"/>
  <c r="L21" s="1"/>
  <c r="M20"/>
  <c r="L20" s="1"/>
  <c r="AG19"/>
  <c r="AC14"/>
  <c r="AC19" s="1"/>
  <c r="M18"/>
  <c r="C18"/>
  <c r="I18" s="1"/>
  <c r="X17"/>
  <c r="M17"/>
  <c r="L17" s="1"/>
  <c r="M16"/>
  <c r="L16" s="1"/>
  <c r="M15"/>
  <c r="L15" s="1"/>
  <c r="M14"/>
  <c r="L14" s="1"/>
  <c r="M13"/>
  <c r="M12"/>
  <c r="M10"/>
  <c r="L10" s="1"/>
  <c r="M9"/>
  <c r="R8"/>
  <c r="M8"/>
  <c r="M7"/>
  <c r="M6"/>
  <c r="L6" s="1"/>
  <c r="M5"/>
  <c r="L5" s="1"/>
  <c r="M4"/>
  <c r="V2"/>
  <c r="M39" i="33"/>
  <c r="M38"/>
  <c r="M37"/>
  <c r="C36"/>
  <c r="M36"/>
  <c r="M35"/>
  <c r="D38" i="34"/>
  <c r="E38"/>
  <c r="F38"/>
  <c r="G38"/>
  <c r="H38"/>
  <c r="J38"/>
  <c r="K38"/>
  <c r="N38"/>
  <c r="O38"/>
  <c r="P38"/>
  <c r="Q38"/>
  <c r="R38"/>
  <c r="S38"/>
  <c r="S39" s="1"/>
  <c r="T38"/>
  <c r="U38"/>
  <c r="V38"/>
  <c r="W38"/>
  <c r="W39" s="1"/>
  <c r="AA38"/>
  <c r="AC38"/>
  <c r="AC39" s="1"/>
  <c r="AD38"/>
  <c r="AD39" s="1"/>
  <c r="C38"/>
  <c r="C39" s="1"/>
  <c r="AE37"/>
  <c r="AB37"/>
  <c r="Z37"/>
  <c r="X37"/>
  <c r="L37"/>
  <c r="I37"/>
  <c r="AE36"/>
  <c r="AB36"/>
  <c r="Z36"/>
  <c r="I36"/>
  <c r="AD35"/>
  <c r="AC35"/>
  <c r="AA35"/>
  <c r="W35"/>
  <c r="V35"/>
  <c r="U35"/>
  <c r="T35"/>
  <c r="R35"/>
  <c r="Q35"/>
  <c r="P35"/>
  <c r="O35"/>
  <c r="N35"/>
  <c r="K35"/>
  <c r="J35"/>
  <c r="H35"/>
  <c r="G35"/>
  <c r="F35"/>
  <c r="E35"/>
  <c r="D35"/>
  <c r="AE34"/>
  <c r="AB34"/>
  <c r="Z34"/>
  <c r="X34"/>
  <c r="L34"/>
  <c r="AE32"/>
  <c r="AB32"/>
  <c r="Z32"/>
  <c r="X32"/>
  <c r="I32"/>
  <c r="AE31"/>
  <c r="AB31"/>
  <c r="Z31"/>
  <c r="X31"/>
  <c r="L31"/>
  <c r="I31"/>
  <c r="AE30"/>
  <c r="AB30"/>
  <c r="Z30"/>
  <c r="X30"/>
  <c r="I30"/>
  <c r="AE29"/>
  <c r="AB29"/>
  <c r="Z29"/>
  <c r="X29"/>
  <c r="I29"/>
  <c r="AE28"/>
  <c r="AB28"/>
  <c r="Z28"/>
  <c r="X28"/>
  <c r="L28"/>
  <c r="I28"/>
  <c r="AD27"/>
  <c r="AC27"/>
  <c r="AA27"/>
  <c r="W27"/>
  <c r="V27"/>
  <c r="U27"/>
  <c r="T27"/>
  <c r="S27"/>
  <c r="R27"/>
  <c r="Q27"/>
  <c r="P27"/>
  <c r="O27"/>
  <c r="N27"/>
  <c r="K27"/>
  <c r="H27"/>
  <c r="G27"/>
  <c r="F27"/>
  <c r="E27"/>
  <c r="D27"/>
  <c r="C27"/>
  <c r="AE26"/>
  <c r="AB26"/>
  <c r="Z26"/>
  <c r="X26"/>
  <c r="I26"/>
  <c r="AE25"/>
  <c r="AB25"/>
  <c r="Z25"/>
  <c r="X25"/>
  <c r="L25"/>
  <c r="I25"/>
  <c r="AE24"/>
  <c r="AB24"/>
  <c r="Z24"/>
  <c r="X24"/>
  <c r="I24"/>
  <c r="AE23"/>
  <c r="AB23"/>
  <c r="Z23"/>
  <c r="X23"/>
  <c r="L23"/>
  <c r="I23"/>
  <c r="AE22"/>
  <c r="AB22"/>
  <c r="Z22"/>
  <c r="I22"/>
  <c r="AE21"/>
  <c r="AB21"/>
  <c r="Z21"/>
  <c r="X21"/>
  <c r="I21"/>
  <c r="AE20"/>
  <c r="AB20"/>
  <c r="Z20"/>
  <c r="X20"/>
  <c r="I20"/>
  <c r="AD19"/>
  <c r="AA19"/>
  <c r="W19"/>
  <c r="V19"/>
  <c r="U19"/>
  <c r="T19"/>
  <c r="S19"/>
  <c r="R19"/>
  <c r="Q19"/>
  <c r="P19"/>
  <c r="O19"/>
  <c r="N19"/>
  <c r="K19"/>
  <c r="H19"/>
  <c r="G19"/>
  <c r="F19"/>
  <c r="E19"/>
  <c r="D19"/>
  <c r="C19"/>
  <c r="AE18"/>
  <c r="AB18"/>
  <c r="Z18"/>
  <c r="X18"/>
  <c r="L18"/>
  <c r="AE17"/>
  <c r="AB17"/>
  <c r="Z17"/>
  <c r="I17"/>
  <c r="AE16"/>
  <c r="AB16"/>
  <c r="Z16"/>
  <c r="X16"/>
  <c r="I16"/>
  <c r="AE15"/>
  <c r="AB15"/>
  <c r="Z15"/>
  <c r="X15"/>
  <c r="I15"/>
  <c r="Z14"/>
  <c r="X14"/>
  <c r="I14"/>
  <c r="AE13"/>
  <c r="AB13"/>
  <c r="Z13"/>
  <c r="X13"/>
  <c r="L13"/>
  <c r="I13"/>
  <c r="AE12"/>
  <c r="AB12"/>
  <c r="Z12"/>
  <c r="X12"/>
  <c r="L12"/>
  <c r="I12"/>
  <c r="AD11"/>
  <c r="AC11"/>
  <c r="AA11"/>
  <c r="W11"/>
  <c r="V11"/>
  <c r="T11"/>
  <c r="R11"/>
  <c r="Q11"/>
  <c r="P11"/>
  <c r="O11"/>
  <c r="N11"/>
  <c r="K11"/>
  <c r="J11"/>
  <c r="H11"/>
  <c r="G11"/>
  <c r="F11"/>
  <c r="E11"/>
  <c r="D11"/>
  <c r="AE10"/>
  <c r="AB10"/>
  <c r="Z10"/>
  <c r="X10"/>
  <c r="I10"/>
  <c r="AE9"/>
  <c r="AB9"/>
  <c r="Z9"/>
  <c r="X9"/>
  <c r="L9"/>
  <c r="I9"/>
  <c r="AE8"/>
  <c r="AB8"/>
  <c r="Z8"/>
  <c r="X8"/>
  <c r="L8"/>
  <c r="C11"/>
  <c r="AE7"/>
  <c r="AB7"/>
  <c r="Z7"/>
  <c r="X7"/>
  <c r="L7"/>
  <c r="Y7" s="1"/>
  <c r="I7"/>
  <c r="AE6"/>
  <c r="AB6"/>
  <c r="Z6"/>
  <c r="X6"/>
  <c r="I6"/>
  <c r="AE5"/>
  <c r="AB5"/>
  <c r="Z5"/>
  <c r="X5"/>
  <c r="I5"/>
  <c r="AE4"/>
  <c r="AB4"/>
  <c r="Z4"/>
  <c r="U11"/>
  <c r="S11"/>
  <c r="L4"/>
  <c r="I4"/>
  <c r="AD3"/>
  <c r="AC3"/>
  <c r="W3"/>
  <c r="V3"/>
  <c r="T3"/>
  <c r="S3"/>
  <c r="Q3"/>
  <c r="P3"/>
  <c r="O3"/>
  <c r="N3"/>
  <c r="K3"/>
  <c r="J3"/>
  <c r="H3"/>
  <c r="G3"/>
  <c r="F3"/>
  <c r="E3"/>
  <c r="D3"/>
  <c r="AE2"/>
  <c r="AE3" s="1"/>
  <c r="AB2"/>
  <c r="Z2"/>
  <c r="U3"/>
  <c r="L2"/>
  <c r="I2"/>
  <c r="R3"/>
  <c r="AA3"/>
  <c r="C3"/>
  <c r="J31" i="33"/>
  <c r="AD42" i="37" l="1"/>
  <c r="AA17"/>
  <c r="AG42"/>
  <c r="AA41"/>
  <c r="AA33"/>
  <c r="Z42"/>
  <c r="M42"/>
  <c r="AB42"/>
  <c r="L42"/>
  <c r="AA9"/>
  <c r="I42"/>
  <c r="AA23"/>
  <c r="AA25" s="1"/>
  <c r="Y35" i="36"/>
  <c r="AE9"/>
  <c r="Y8"/>
  <c r="AE33"/>
  <c r="Y27"/>
  <c r="Y28"/>
  <c r="AB17"/>
  <c r="Y38"/>
  <c r="Y37"/>
  <c r="Y36"/>
  <c r="M17"/>
  <c r="Y31"/>
  <c r="M39"/>
  <c r="Y2"/>
  <c r="L32"/>
  <c r="Y32" s="1"/>
  <c r="X17"/>
  <c r="AB25"/>
  <c r="X39"/>
  <c r="Y7"/>
  <c r="Y6"/>
  <c r="L9"/>
  <c r="X9"/>
  <c r="AE17"/>
  <c r="Y12"/>
  <c r="Y16"/>
  <c r="X25"/>
  <c r="Y19"/>
  <c r="Y20"/>
  <c r="Y24"/>
  <c r="Z33"/>
  <c r="Z39"/>
  <c r="AE39"/>
  <c r="N40"/>
  <c r="R40"/>
  <c r="AD40"/>
  <c r="Y4"/>
  <c r="L17"/>
  <c r="Y13"/>
  <c r="Y21"/>
  <c r="Q40"/>
  <c r="U40"/>
  <c r="C40"/>
  <c r="F40"/>
  <c r="K40"/>
  <c r="AB9"/>
  <c r="Y10"/>
  <c r="Z17"/>
  <c r="Y14"/>
  <c r="L18"/>
  <c r="L25" s="1"/>
  <c r="AE25"/>
  <c r="Y22"/>
  <c r="Y29"/>
  <c r="E40"/>
  <c r="J40"/>
  <c r="P40"/>
  <c r="T40"/>
  <c r="AA40"/>
  <c r="Y11"/>
  <c r="Y15"/>
  <c r="I25"/>
  <c r="Z25"/>
  <c r="Y23"/>
  <c r="L26"/>
  <c r="L33" s="1"/>
  <c r="AB33"/>
  <c r="Y30"/>
  <c r="L34"/>
  <c r="L39" s="1"/>
  <c r="AB39"/>
  <c r="D40"/>
  <c r="H40"/>
  <c r="O40"/>
  <c r="S40"/>
  <c r="W40"/>
  <c r="I9"/>
  <c r="X33"/>
  <c r="Z4"/>
  <c r="Z9" s="1"/>
  <c r="G9"/>
  <c r="G40" s="1"/>
  <c r="V33"/>
  <c r="V40" s="1"/>
  <c r="Y5"/>
  <c r="I17"/>
  <c r="I39"/>
  <c r="M9"/>
  <c r="AC9"/>
  <c r="AC40" s="1"/>
  <c r="Y18"/>
  <c r="I26"/>
  <c r="I33" s="1"/>
  <c r="C36" i="35"/>
  <c r="M36"/>
  <c r="AC33"/>
  <c r="V33"/>
  <c r="L32"/>
  <c r="Y32" s="1"/>
  <c r="C33"/>
  <c r="Y22"/>
  <c r="Y24"/>
  <c r="Y27"/>
  <c r="Y3"/>
  <c r="Y13"/>
  <c r="Y5"/>
  <c r="AC9"/>
  <c r="G9"/>
  <c r="M38" i="34"/>
  <c r="Y4" i="35"/>
  <c r="I9"/>
  <c r="Y7"/>
  <c r="AE17"/>
  <c r="Y12"/>
  <c r="I25"/>
  <c r="Y19"/>
  <c r="Y28"/>
  <c r="Y30"/>
  <c r="L36"/>
  <c r="AE36"/>
  <c r="AE9"/>
  <c r="Z9"/>
  <c r="L6"/>
  <c r="Y6" s="1"/>
  <c r="X17"/>
  <c r="Y15"/>
  <c r="AB9"/>
  <c r="X9"/>
  <c r="Y8"/>
  <c r="X36"/>
  <c r="Y35"/>
  <c r="Z17"/>
  <c r="Z25"/>
  <c r="AE25"/>
  <c r="Z36"/>
  <c r="Y11"/>
  <c r="Y18"/>
  <c r="AB25"/>
  <c r="Y21"/>
  <c r="Y23"/>
  <c r="AB33"/>
  <c r="Y29"/>
  <c r="Z33"/>
  <c r="I31"/>
  <c r="Y31" s="1"/>
  <c r="AB17"/>
  <c r="Y14"/>
  <c r="M25"/>
  <c r="AE33"/>
  <c r="I36"/>
  <c r="Y26"/>
  <c r="L17"/>
  <c r="Y10"/>
  <c r="M9"/>
  <c r="I16"/>
  <c r="I17" s="1"/>
  <c r="L25"/>
  <c r="X30"/>
  <c r="X33" s="1"/>
  <c r="Y34"/>
  <c r="Y20"/>
  <c r="M17"/>
  <c r="AC17"/>
  <c r="X20"/>
  <c r="X25" s="1"/>
  <c r="M33"/>
  <c r="G39" i="34"/>
  <c r="N39"/>
  <c r="R39"/>
  <c r="F39"/>
  <c r="K39"/>
  <c r="Q39"/>
  <c r="V39"/>
  <c r="E39"/>
  <c r="P39"/>
  <c r="U39"/>
  <c r="AE19"/>
  <c r="H39"/>
  <c r="O39"/>
  <c r="T39"/>
  <c r="AA39"/>
  <c r="Z38"/>
  <c r="D39"/>
  <c r="Y34"/>
  <c r="Y30"/>
  <c r="M35"/>
  <c r="X22"/>
  <c r="X27" s="1"/>
  <c r="J19"/>
  <c r="J39" s="1"/>
  <c r="Y17"/>
  <c r="Y15"/>
  <c r="AB14"/>
  <c r="AB19" s="1"/>
  <c r="Y14"/>
  <c r="M19"/>
  <c r="Y9"/>
  <c r="Y5"/>
  <c r="Y2"/>
  <c r="AB3"/>
  <c r="L11"/>
  <c r="Y22"/>
  <c r="Y32"/>
  <c r="AE35"/>
  <c r="AB38"/>
  <c r="Y21"/>
  <c r="Y23"/>
  <c r="Y25"/>
  <c r="Y31"/>
  <c r="AE38"/>
  <c r="AB11"/>
  <c r="I19"/>
  <c r="L19"/>
  <c r="Y18"/>
  <c r="Y10"/>
  <c r="X19"/>
  <c r="I27"/>
  <c r="X35"/>
  <c r="Y29"/>
  <c r="L35"/>
  <c r="I38"/>
  <c r="Y37"/>
  <c r="Z35"/>
  <c r="I35"/>
  <c r="AB35"/>
  <c r="AE27"/>
  <c r="Y24"/>
  <c r="AB27"/>
  <c r="Z27"/>
  <c r="Y26"/>
  <c r="Z19"/>
  <c r="Y16"/>
  <c r="AE11"/>
  <c r="Y6"/>
  <c r="Z11"/>
  <c r="I3"/>
  <c r="X36"/>
  <c r="X38" s="1"/>
  <c r="L36"/>
  <c r="L38" s="1"/>
  <c r="L27"/>
  <c r="Y20"/>
  <c r="L3"/>
  <c r="Z3"/>
  <c r="X2"/>
  <c r="X3" s="1"/>
  <c r="Y4"/>
  <c r="Y28"/>
  <c r="M3"/>
  <c r="X4"/>
  <c r="X11" s="1"/>
  <c r="M11"/>
  <c r="Y13"/>
  <c r="Y12"/>
  <c r="M27"/>
  <c r="I8"/>
  <c r="I11" s="1"/>
  <c r="M31" i="33"/>
  <c r="M30"/>
  <c r="M29"/>
  <c r="M28"/>
  <c r="M27"/>
  <c r="M26"/>
  <c r="AE22"/>
  <c r="AE23"/>
  <c r="AE24"/>
  <c r="V22"/>
  <c r="M22"/>
  <c r="J19"/>
  <c r="AA42" i="37" l="1"/>
  <c r="M40" i="36"/>
  <c r="Y17"/>
  <c r="AE40"/>
  <c r="Y25"/>
  <c r="I40"/>
  <c r="Y9"/>
  <c r="X40"/>
  <c r="AB40"/>
  <c r="L40"/>
  <c r="Y34"/>
  <c r="Z40"/>
  <c r="Y26"/>
  <c r="Y33" s="1"/>
  <c r="L33" i="35"/>
  <c r="X39" i="34"/>
  <c r="I33" i="35"/>
  <c r="L9"/>
  <c r="Y9"/>
  <c r="Y36"/>
  <c r="Y25"/>
  <c r="Y16"/>
  <c r="Y17" s="1"/>
  <c r="Y33"/>
  <c r="Z39" i="34"/>
  <c r="L39"/>
  <c r="AE39"/>
  <c r="AB39"/>
  <c r="M39"/>
  <c r="I39"/>
  <c r="Y35"/>
  <c r="Y3"/>
  <c r="Y27"/>
  <c r="Y36"/>
  <c r="Y38" s="1"/>
  <c r="Y19"/>
  <c r="Y8"/>
  <c r="Y11" s="1"/>
  <c r="M24" i="33"/>
  <c r="M23"/>
  <c r="M21"/>
  <c r="M20"/>
  <c r="M19"/>
  <c r="M18"/>
  <c r="M16"/>
  <c r="M15"/>
  <c r="C14"/>
  <c r="M14"/>
  <c r="M13"/>
  <c r="M12"/>
  <c r="M11"/>
  <c r="S10"/>
  <c r="U10"/>
  <c r="M10"/>
  <c r="C5"/>
  <c r="R5"/>
  <c r="M5"/>
  <c r="M3"/>
  <c r="C3"/>
  <c r="U8"/>
  <c r="R8"/>
  <c r="M8"/>
  <c r="M7"/>
  <c r="Y39" i="36" l="1"/>
  <c r="Y40" s="1"/>
  <c r="Y39" i="34"/>
  <c r="M6" i="33"/>
  <c r="L6" s="1"/>
  <c r="X35"/>
  <c r="Z35"/>
  <c r="AB35"/>
  <c r="AE35"/>
  <c r="X36"/>
  <c r="Z36"/>
  <c r="AB36"/>
  <c r="AE36"/>
  <c r="X37"/>
  <c r="Z37"/>
  <c r="AB37"/>
  <c r="AE37"/>
  <c r="X38"/>
  <c r="Z38"/>
  <c r="AB38"/>
  <c r="AE38"/>
  <c r="X39"/>
  <c r="Z39"/>
  <c r="AB39"/>
  <c r="AE39"/>
  <c r="I35"/>
  <c r="L35"/>
  <c r="I36"/>
  <c r="L36"/>
  <c r="I37"/>
  <c r="Y37" s="1"/>
  <c r="L37"/>
  <c r="I38"/>
  <c r="L38"/>
  <c r="I39"/>
  <c r="L39"/>
  <c r="AE4"/>
  <c r="AB4"/>
  <c r="Z4"/>
  <c r="X4"/>
  <c r="M4"/>
  <c r="L4"/>
  <c r="I4"/>
  <c r="AE3"/>
  <c r="AB3"/>
  <c r="AA3"/>
  <c r="Z3" s="1"/>
  <c r="X3"/>
  <c r="L3"/>
  <c r="Y3" s="1"/>
  <c r="I3"/>
  <c r="AE2"/>
  <c r="AB2"/>
  <c r="Z2"/>
  <c r="X2"/>
  <c r="M2"/>
  <c r="L2" s="1"/>
  <c r="Y2" s="1"/>
  <c r="C2"/>
  <c r="I2" s="1"/>
  <c r="AD40"/>
  <c r="AC40"/>
  <c r="W40"/>
  <c r="V40"/>
  <c r="U40"/>
  <c r="T40"/>
  <c r="S40"/>
  <c r="R40"/>
  <c r="Q40"/>
  <c r="P40"/>
  <c r="O40"/>
  <c r="N40"/>
  <c r="K40"/>
  <c r="J40"/>
  <c r="H40"/>
  <c r="G40"/>
  <c r="F40"/>
  <c r="E40"/>
  <c r="D40"/>
  <c r="AA40"/>
  <c r="AE34"/>
  <c r="AB34"/>
  <c r="Z34"/>
  <c r="X34"/>
  <c r="L34"/>
  <c r="I34"/>
  <c r="AD33"/>
  <c r="AC33"/>
  <c r="W33"/>
  <c r="V33"/>
  <c r="U33"/>
  <c r="T33"/>
  <c r="S33"/>
  <c r="R33"/>
  <c r="Q33"/>
  <c r="P33"/>
  <c r="O33"/>
  <c r="N33"/>
  <c r="K33"/>
  <c r="J33"/>
  <c r="H33"/>
  <c r="G33"/>
  <c r="F33"/>
  <c r="E33"/>
  <c r="D33"/>
  <c r="AE32"/>
  <c r="AB32"/>
  <c r="Z32"/>
  <c r="X32"/>
  <c r="L32"/>
  <c r="I32"/>
  <c r="AE31"/>
  <c r="AB31"/>
  <c r="Z31"/>
  <c r="X31"/>
  <c r="L31"/>
  <c r="I31"/>
  <c r="AE30"/>
  <c r="AB30"/>
  <c r="Z30"/>
  <c r="X30"/>
  <c r="L30"/>
  <c r="I30"/>
  <c r="AE29"/>
  <c r="AB29"/>
  <c r="Z29"/>
  <c r="X29"/>
  <c r="L29"/>
  <c r="I29"/>
  <c r="AE28"/>
  <c r="AB28"/>
  <c r="Z28"/>
  <c r="X28"/>
  <c r="I28"/>
  <c r="AE27"/>
  <c r="AB27"/>
  <c r="X27"/>
  <c r="L27"/>
  <c r="I27"/>
  <c r="AE26"/>
  <c r="AB26"/>
  <c r="Z26"/>
  <c r="X26"/>
  <c r="L26"/>
  <c r="C33"/>
  <c r="AD25"/>
  <c r="AC25"/>
  <c r="AA25"/>
  <c r="W25"/>
  <c r="V25"/>
  <c r="U25"/>
  <c r="T25"/>
  <c r="S25"/>
  <c r="Q25"/>
  <c r="P25"/>
  <c r="O25"/>
  <c r="N25"/>
  <c r="K25"/>
  <c r="H25"/>
  <c r="G25"/>
  <c r="F25"/>
  <c r="E25"/>
  <c r="D25"/>
  <c r="C25"/>
  <c r="AB24"/>
  <c r="Z24"/>
  <c r="X24"/>
  <c r="L24"/>
  <c r="I24"/>
  <c r="AB23"/>
  <c r="Z23"/>
  <c r="X23"/>
  <c r="L23"/>
  <c r="I23"/>
  <c r="AB22"/>
  <c r="Z22"/>
  <c r="X22"/>
  <c r="R25"/>
  <c r="L22"/>
  <c r="I22"/>
  <c r="AE21"/>
  <c r="AB21"/>
  <c r="Z21"/>
  <c r="X21"/>
  <c r="L21"/>
  <c r="I21"/>
  <c r="AB20"/>
  <c r="Z20"/>
  <c r="X20"/>
  <c r="L20"/>
  <c r="I20"/>
  <c r="AE19"/>
  <c r="AB19"/>
  <c r="Z19"/>
  <c r="L19"/>
  <c r="I19"/>
  <c r="AE18"/>
  <c r="AB18"/>
  <c r="Z18"/>
  <c r="X18"/>
  <c r="L18"/>
  <c r="I18"/>
  <c r="AD17"/>
  <c r="AC17"/>
  <c r="AA17"/>
  <c r="W17"/>
  <c r="V17"/>
  <c r="U17"/>
  <c r="T17"/>
  <c r="S17"/>
  <c r="Q17"/>
  <c r="O17"/>
  <c r="N17"/>
  <c r="K17"/>
  <c r="J17"/>
  <c r="H17"/>
  <c r="G17"/>
  <c r="F17"/>
  <c r="E17"/>
  <c r="D17"/>
  <c r="C17"/>
  <c r="AE16"/>
  <c r="AB16"/>
  <c r="Z16"/>
  <c r="X16"/>
  <c r="L16"/>
  <c r="I16"/>
  <c r="AE15"/>
  <c r="AB15"/>
  <c r="Z15"/>
  <c r="X15"/>
  <c r="L15"/>
  <c r="I15"/>
  <c r="AE14"/>
  <c r="AB14"/>
  <c r="Z14"/>
  <c r="X14"/>
  <c r="L14"/>
  <c r="I14"/>
  <c r="AE13"/>
  <c r="AB13"/>
  <c r="Z13"/>
  <c r="X13"/>
  <c r="P17"/>
  <c r="I13"/>
  <c r="AE12"/>
  <c r="AB12"/>
  <c r="Z12"/>
  <c r="X12"/>
  <c r="L12"/>
  <c r="I12"/>
  <c r="AE11"/>
  <c r="AB11"/>
  <c r="Z11"/>
  <c r="X11"/>
  <c r="L11"/>
  <c r="I11"/>
  <c r="AE10"/>
  <c r="AB10"/>
  <c r="Z10"/>
  <c r="X10"/>
  <c r="R17"/>
  <c r="I10"/>
  <c r="AD9"/>
  <c r="AC9"/>
  <c r="AA9"/>
  <c r="W9"/>
  <c r="V9"/>
  <c r="U9"/>
  <c r="T9"/>
  <c r="S9"/>
  <c r="R9"/>
  <c r="Q9"/>
  <c r="P9"/>
  <c r="O9"/>
  <c r="N9"/>
  <c r="K9"/>
  <c r="H9"/>
  <c r="G9"/>
  <c r="F9"/>
  <c r="E9"/>
  <c r="D9"/>
  <c r="AE8"/>
  <c r="AB8"/>
  <c r="Z8"/>
  <c r="X8"/>
  <c r="L8"/>
  <c r="I8"/>
  <c r="AE7"/>
  <c r="AB7"/>
  <c r="Z7"/>
  <c r="X7"/>
  <c r="L7"/>
  <c r="I7"/>
  <c r="C9"/>
  <c r="AE6"/>
  <c r="AB6"/>
  <c r="Z6"/>
  <c r="X6"/>
  <c r="I6"/>
  <c r="AE5"/>
  <c r="AB5"/>
  <c r="Z5"/>
  <c r="X5"/>
  <c r="L5"/>
  <c r="I5"/>
  <c r="J9"/>
  <c r="M36" i="32"/>
  <c r="AA35"/>
  <c r="C35"/>
  <c r="M35"/>
  <c r="C34"/>
  <c r="M34"/>
  <c r="AE26"/>
  <c r="Y39" i="33" l="1"/>
  <c r="Y38"/>
  <c r="Y36"/>
  <c r="Y35"/>
  <c r="AE33"/>
  <c r="Y22"/>
  <c r="Y12"/>
  <c r="Y5"/>
  <c r="AE40"/>
  <c r="AB40"/>
  <c r="Y29"/>
  <c r="Y31"/>
  <c r="Y20"/>
  <c r="Y24"/>
  <c r="X33"/>
  <c r="Y30"/>
  <c r="Y32"/>
  <c r="Y21"/>
  <c r="Y23"/>
  <c r="I25"/>
  <c r="Y14"/>
  <c r="X17"/>
  <c r="Y11"/>
  <c r="Y16"/>
  <c r="Y15"/>
  <c r="AB9"/>
  <c r="AE9"/>
  <c r="X9"/>
  <c r="I17"/>
  <c r="L13"/>
  <c r="Y13" s="1"/>
  <c r="AE25"/>
  <c r="I26"/>
  <c r="I33" s="1"/>
  <c r="AA33"/>
  <c r="AA41" s="1"/>
  <c r="M33"/>
  <c r="M40"/>
  <c r="D41"/>
  <c r="H41"/>
  <c r="Y8"/>
  <c r="Z17"/>
  <c r="AB25"/>
  <c r="Y27"/>
  <c r="Z27"/>
  <c r="Z33" s="1"/>
  <c r="X40"/>
  <c r="Y4"/>
  <c r="Y19"/>
  <c r="Z25"/>
  <c r="Y7"/>
  <c r="M17"/>
  <c r="AB17"/>
  <c r="AE17"/>
  <c r="X19"/>
  <c r="X25" s="1"/>
  <c r="J25"/>
  <c r="J41" s="1"/>
  <c r="AB33"/>
  <c r="I9"/>
  <c r="Z9"/>
  <c r="Y6"/>
  <c r="K41"/>
  <c r="F41"/>
  <c r="Q41"/>
  <c r="U41"/>
  <c r="AC41"/>
  <c r="E41"/>
  <c r="P41"/>
  <c r="T41"/>
  <c r="O41"/>
  <c r="G41"/>
  <c r="S41"/>
  <c r="W41"/>
  <c r="N41"/>
  <c r="V41"/>
  <c r="AD41"/>
  <c r="L9"/>
  <c r="Y18"/>
  <c r="L25"/>
  <c r="I40"/>
  <c r="Y34"/>
  <c r="R41"/>
  <c r="M9"/>
  <c r="L10"/>
  <c r="M25"/>
  <c r="L28"/>
  <c r="Z40"/>
  <c r="C40"/>
  <c r="C41" s="1"/>
  <c r="M32" i="32"/>
  <c r="M31"/>
  <c r="M30"/>
  <c r="M29"/>
  <c r="AA28"/>
  <c r="M28"/>
  <c r="AA27"/>
  <c r="C27"/>
  <c r="M27"/>
  <c r="C26"/>
  <c r="M26"/>
  <c r="M24"/>
  <c r="M23"/>
  <c r="R22"/>
  <c r="M22"/>
  <c r="M21"/>
  <c r="M20"/>
  <c r="J19"/>
  <c r="Y26" i="33" l="1"/>
  <c r="Y25"/>
  <c r="AB41"/>
  <c r="X41"/>
  <c r="AE41"/>
  <c r="Y9"/>
  <c r="Z41"/>
  <c r="M41"/>
  <c r="Y28"/>
  <c r="L33"/>
  <c r="L40"/>
  <c r="L17"/>
  <c r="Y10"/>
  <c r="Y17" s="1"/>
  <c r="Y40"/>
  <c r="I41"/>
  <c r="M19" i="32"/>
  <c r="M18"/>
  <c r="M16"/>
  <c r="AE11"/>
  <c r="AE12"/>
  <c r="AE13"/>
  <c r="AE14"/>
  <c r="AE15"/>
  <c r="AE16"/>
  <c r="Y33" i="33" l="1"/>
  <c r="Y41" s="1"/>
  <c r="L41"/>
  <c r="M15" i="32"/>
  <c r="M14"/>
  <c r="P13"/>
  <c r="L13" s="1"/>
  <c r="M13"/>
  <c r="J17"/>
  <c r="M12"/>
  <c r="L12" s="1"/>
  <c r="M11"/>
  <c r="R10"/>
  <c r="R17" s="1"/>
  <c r="M10"/>
  <c r="M8"/>
  <c r="M7"/>
  <c r="L7" s="1"/>
  <c r="C7"/>
  <c r="M6"/>
  <c r="M5"/>
  <c r="M4"/>
  <c r="L4" s="1"/>
  <c r="M3"/>
  <c r="L3" s="1"/>
  <c r="W38"/>
  <c r="J2"/>
  <c r="J9" s="1"/>
  <c r="AB26"/>
  <c r="AE2"/>
  <c r="AB2"/>
  <c r="Z2"/>
  <c r="M2"/>
  <c r="L2" s="1"/>
  <c r="I2"/>
  <c r="AD37"/>
  <c r="AC37"/>
  <c r="AA37"/>
  <c r="W37"/>
  <c r="V37"/>
  <c r="U37"/>
  <c r="T37"/>
  <c r="Q37"/>
  <c r="P37"/>
  <c r="O37"/>
  <c r="N37"/>
  <c r="K37"/>
  <c r="J37"/>
  <c r="H37"/>
  <c r="G37"/>
  <c r="F37"/>
  <c r="E37"/>
  <c r="D37"/>
  <c r="C37"/>
  <c r="AE36"/>
  <c r="AB36"/>
  <c r="Z36"/>
  <c r="X36"/>
  <c r="L36"/>
  <c r="I36"/>
  <c r="AE35"/>
  <c r="AB35"/>
  <c r="Z35"/>
  <c r="X35"/>
  <c r="L35"/>
  <c r="I35"/>
  <c r="AE34"/>
  <c r="AB34"/>
  <c r="Z34"/>
  <c r="S37"/>
  <c r="R37"/>
  <c r="I34"/>
  <c r="AD33"/>
  <c r="AC33"/>
  <c r="AA33"/>
  <c r="W33"/>
  <c r="V33"/>
  <c r="U33"/>
  <c r="T33"/>
  <c r="S33"/>
  <c r="R33"/>
  <c r="Q33"/>
  <c r="P33"/>
  <c r="O33"/>
  <c r="N33"/>
  <c r="K33"/>
  <c r="J33"/>
  <c r="H33"/>
  <c r="G33"/>
  <c r="F33"/>
  <c r="E33"/>
  <c r="D33"/>
  <c r="AE32"/>
  <c r="AB32"/>
  <c r="Z32"/>
  <c r="X32"/>
  <c r="L32"/>
  <c r="I32"/>
  <c r="AE31"/>
  <c r="AB31"/>
  <c r="Z31"/>
  <c r="X31"/>
  <c r="L31"/>
  <c r="I31"/>
  <c r="AE30"/>
  <c r="AB30"/>
  <c r="Z30"/>
  <c r="X30"/>
  <c r="L30"/>
  <c r="I30"/>
  <c r="AE29"/>
  <c r="AB29"/>
  <c r="Z29"/>
  <c r="X29"/>
  <c r="L29"/>
  <c r="I29"/>
  <c r="AE28"/>
  <c r="AB28"/>
  <c r="Z28"/>
  <c r="X28"/>
  <c r="L28"/>
  <c r="I28"/>
  <c r="C33"/>
  <c r="AE27"/>
  <c r="AB27"/>
  <c r="Z27"/>
  <c r="X27"/>
  <c r="L27"/>
  <c r="I27"/>
  <c r="Z26"/>
  <c r="X26"/>
  <c r="M33"/>
  <c r="I26"/>
  <c r="AD25"/>
  <c r="AC25"/>
  <c r="AA25"/>
  <c r="W25"/>
  <c r="V25"/>
  <c r="U25"/>
  <c r="T25"/>
  <c r="S25"/>
  <c r="Q25"/>
  <c r="P25"/>
  <c r="O25"/>
  <c r="N25"/>
  <c r="K25"/>
  <c r="H25"/>
  <c r="G25"/>
  <c r="F25"/>
  <c r="E25"/>
  <c r="AE24"/>
  <c r="AB24"/>
  <c r="Z24"/>
  <c r="L24"/>
  <c r="J25"/>
  <c r="I24"/>
  <c r="AE23"/>
  <c r="AB23"/>
  <c r="Z23"/>
  <c r="X23"/>
  <c r="L23"/>
  <c r="I23"/>
  <c r="AB22"/>
  <c r="Z22"/>
  <c r="X22"/>
  <c r="L22"/>
  <c r="I22"/>
  <c r="AE21"/>
  <c r="AB21"/>
  <c r="Z21"/>
  <c r="X21"/>
  <c r="L21"/>
  <c r="I21"/>
  <c r="AB20"/>
  <c r="Z20"/>
  <c r="X20"/>
  <c r="R25"/>
  <c r="I20"/>
  <c r="AE19"/>
  <c r="AB19"/>
  <c r="Z19"/>
  <c r="X19"/>
  <c r="L19"/>
  <c r="I19"/>
  <c r="AE18"/>
  <c r="AB18"/>
  <c r="Z18"/>
  <c r="X18"/>
  <c r="L18"/>
  <c r="D25"/>
  <c r="I18"/>
  <c r="AD17"/>
  <c r="AD38" s="1"/>
  <c r="AC17"/>
  <c r="W17"/>
  <c r="V17"/>
  <c r="T17"/>
  <c r="S17"/>
  <c r="Q17"/>
  <c r="O17"/>
  <c r="N17"/>
  <c r="K17"/>
  <c r="H17"/>
  <c r="F17"/>
  <c r="E17"/>
  <c r="AB16"/>
  <c r="Z16"/>
  <c r="X16"/>
  <c r="L16"/>
  <c r="I16"/>
  <c r="AB15"/>
  <c r="Z15"/>
  <c r="X15"/>
  <c r="L15"/>
  <c r="I15"/>
  <c r="AB14"/>
  <c r="Z14"/>
  <c r="L14"/>
  <c r="I14"/>
  <c r="AB13"/>
  <c r="Z13"/>
  <c r="X13"/>
  <c r="I13"/>
  <c r="AB12"/>
  <c r="Z12"/>
  <c r="U17"/>
  <c r="I12"/>
  <c r="AB11"/>
  <c r="X11"/>
  <c r="G17"/>
  <c r="AE10"/>
  <c r="AB10"/>
  <c r="Z10"/>
  <c r="X10"/>
  <c r="D17"/>
  <c r="AD9"/>
  <c r="AC9"/>
  <c r="AA9"/>
  <c r="W9"/>
  <c r="V9"/>
  <c r="U9"/>
  <c r="T9"/>
  <c r="S9"/>
  <c r="R9"/>
  <c r="Q9"/>
  <c r="P9"/>
  <c r="O9"/>
  <c r="N9"/>
  <c r="K9"/>
  <c r="H9"/>
  <c r="G9"/>
  <c r="F9"/>
  <c r="E9"/>
  <c r="AE8"/>
  <c r="AB8"/>
  <c r="Z8"/>
  <c r="X8"/>
  <c r="L8"/>
  <c r="I8"/>
  <c r="AE7"/>
  <c r="AB7"/>
  <c r="Z7"/>
  <c r="X7"/>
  <c r="I7"/>
  <c r="D9"/>
  <c r="C9"/>
  <c r="AE6"/>
  <c r="AB6"/>
  <c r="Z6"/>
  <c r="X6"/>
  <c r="L6"/>
  <c r="I6"/>
  <c r="AE5"/>
  <c r="AB5"/>
  <c r="Z5"/>
  <c r="X5"/>
  <c r="L5"/>
  <c r="I5"/>
  <c r="AE4"/>
  <c r="AB4"/>
  <c r="Z4"/>
  <c r="X4"/>
  <c r="I4"/>
  <c r="AE3"/>
  <c r="AB3"/>
  <c r="Z3"/>
  <c r="X3"/>
  <c r="I3"/>
  <c r="J42" i="31"/>
  <c r="M42"/>
  <c r="C38"/>
  <c r="S34"/>
  <c r="Y36" i="32" l="1"/>
  <c r="Y22"/>
  <c r="AC38"/>
  <c r="Q38"/>
  <c r="N38"/>
  <c r="K38"/>
  <c r="O38"/>
  <c r="F38"/>
  <c r="G38"/>
  <c r="E38"/>
  <c r="R38"/>
  <c r="V38"/>
  <c r="U38"/>
  <c r="T38"/>
  <c r="S38"/>
  <c r="J38"/>
  <c r="H38"/>
  <c r="D38"/>
  <c r="AB33"/>
  <c r="I37"/>
  <c r="Z37"/>
  <c r="AE37"/>
  <c r="I33"/>
  <c r="AE33"/>
  <c r="AE9"/>
  <c r="Y5"/>
  <c r="Y8"/>
  <c r="M9"/>
  <c r="Y7"/>
  <c r="L11"/>
  <c r="Y15"/>
  <c r="AB25"/>
  <c r="Y32"/>
  <c r="Y12"/>
  <c r="Y19"/>
  <c r="Y28"/>
  <c r="I11"/>
  <c r="Y13"/>
  <c r="M25"/>
  <c r="AE25"/>
  <c r="Y23"/>
  <c r="Z9"/>
  <c r="Y4"/>
  <c r="Y6"/>
  <c r="X12"/>
  <c r="C17"/>
  <c r="I25"/>
  <c r="L20"/>
  <c r="Y20" s="1"/>
  <c r="X33"/>
  <c r="Y30"/>
  <c r="M37"/>
  <c r="AB37"/>
  <c r="AE17"/>
  <c r="Y21"/>
  <c r="Y27"/>
  <c r="Y31"/>
  <c r="Y35"/>
  <c r="P17"/>
  <c r="P38" s="1"/>
  <c r="AB9"/>
  <c r="L10"/>
  <c r="AB17"/>
  <c r="Y16"/>
  <c r="AA17"/>
  <c r="AA38" s="1"/>
  <c r="Z25"/>
  <c r="Z33"/>
  <c r="Y29"/>
  <c r="Y2"/>
  <c r="X2"/>
  <c r="X9" s="1"/>
  <c r="Y3"/>
  <c r="Y18"/>
  <c r="Y14"/>
  <c r="I9"/>
  <c r="I10"/>
  <c r="M17"/>
  <c r="L26"/>
  <c r="L34"/>
  <c r="X34"/>
  <c r="X37" s="1"/>
  <c r="Z11"/>
  <c r="Z17" s="1"/>
  <c r="Y24"/>
  <c r="C25"/>
  <c r="X14"/>
  <c r="X24"/>
  <c r="X25" s="1"/>
  <c r="M40" i="31"/>
  <c r="M39"/>
  <c r="M38"/>
  <c r="M37"/>
  <c r="M36"/>
  <c r="M35"/>
  <c r="R34"/>
  <c r="M34"/>
  <c r="Z29"/>
  <c r="Z30"/>
  <c r="Z31"/>
  <c r="Z32"/>
  <c r="M32"/>
  <c r="M31"/>
  <c r="M30"/>
  <c r="M29"/>
  <c r="C28"/>
  <c r="M28"/>
  <c r="M27"/>
  <c r="M26"/>
  <c r="J24"/>
  <c r="M24"/>
  <c r="M23"/>
  <c r="M22"/>
  <c r="M21"/>
  <c r="R20"/>
  <c r="M20"/>
  <c r="M19"/>
  <c r="D18"/>
  <c r="C18"/>
  <c r="M18"/>
  <c r="M16"/>
  <c r="J14"/>
  <c r="C14"/>
  <c r="M14"/>
  <c r="AA12"/>
  <c r="Y11"/>
  <c r="Y12"/>
  <c r="Y13"/>
  <c r="Y15"/>
  <c r="M11"/>
  <c r="R11"/>
  <c r="D11"/>
  <c r="C11"/>
  <c r="M15"/>
  <c r="M13"/>
  <c r="M12"/>
  <c r="U12"/>
  <c r="C38" i="32" l="1"/>
  <c r="M38"/>
  <c r="Y11"/>
  <c r="AE38"/>
  <c r="AB38"/>
  <c r="Z38"/>
  <c r="L17"/>
  <c r="I17"/>
  <c r="I38" s="1"/>
  <c r="X17"/>
  <c r="X38" s="1"/>
  <c r="Y25"/>
  <c r="L25"/>
  <c r="L9"/>
  <c r="Y9"/>
  <c r="L33"/>
  <c r="Y26"/>
  <c r="Y33" s="1"/>
  <c r="Y34"/>
  <c r="Y37" s="1"/>
  <c r="L37"/>
  <c r="Y10"/>
  <c r="P11" i="31"/>
  <c r="G11"/>
  <c r="G17" s="1"/>
  <c r="M10"/>
  <c r="O9"/>
  <c r="O17"/>
  <c r="O25"/>
  <c r="O33"/>
  <c r="O41"/>
  <c r="P10"/>
  <c r="D10"/>
  <c r="D17" s="1"/>
  <c r="AE10"/>
  <c r="AB10"/>
  <c r="Z10"/>
  <c r="X10"/>
  <c r="E17"/>
  <c r="F17"/>
  <c r="H17"/>
  <c r="J17"/>
  <c r="K17"/>
  <c r="N17"/>
  <c r="Q17"/>
  <c r="R17"/>
  <c r="S17"/>
  <c r="T17"/>
  <c r="U17"/>
  <c r="V17"/>
  <c r="W17"/>
  <c r="AA17"/>
  <c r="AC17"/>
  <c r="AD17"/>
  <c r="C17"/>
  <c r="AE8"/>
  <c r="AE7"/>
  <c r="D7"/>
  <c r="I7" s="1"/>
  <c r="C7"/>
  <c r="AB6"/>
  <c r="AB7"/>
  <c r="AB8"/>
  <c r="X6"/>
  <c r="X7"/>
  <c r="X8"/>
  <c r="X3"/>
  <c r="X4"/>
  <c r="X5"/>
  <c r="D3"/>
  <c r="I3" s="1"/>
  <c r="J2"/>
  <c r="S2"/>
  <c r="Z7"/>
  <c r="Z8"/>
  <c r="M8"/>
  <c r="M7"/>
  <c r="X37"/>
  <c r="Z37"/>
  <c r="AB37"/>
  <c r="AE37"/>
  <c r="X38"/>
  <c r="Z38"/>
  <c r="AB38"/>
  <c r="AE38"/>
  <c r="X39"/>
  <c r="Z39"/>
  <c r="AB39"/>
  <c r="AE39"/>
  <c r="X40"/>
  <c r="Z40"/>
  <c r="AB40"/>
  <c r="AE40"/>
  <c r="L21"/>
  <c r="I38"/>
  <c r="L38"/>
  <c r="I39"/>
  <c r="L39"/>
  <c r="I40"/>
  <c r="Y40" s="1"/>
  <c r="L40"/>
  <c r="AE42"/>
  <c r="AB42"/>
  <c r="Z42"/>
  <c r="X42"/>
  <c r="L42"/>
  <c r="I42"/>
  <c r="L8"/>
  <c r="Y8" s="1"/>
  <c r="AE6"/>
  <c r="Z6"/>
  <c r="M6"/>
  <c r="L6" s="1"/>
  <c r="Y6" s="1"/>
  <c r="I6"/>
  <c r="AE5"/>
  <c r="AB5"/>
  <c r="Z5"/>
  <c r="M5"/>
  <c r="L5" s="1"/>
  <c r="Y5" s="1"/>
  <c r="I5"/>
  <c r="AE4"/>
  <c r="AB4"/>
  <c r="Z4"/>
  <c r="M4"/>
  <c r="L4" s="1"/>
  <c r="Y4" s="1"/>
  <c r="I4"/>
  <c r="AE3"/>
  <c r="AB3"/>
  <c r="Z3"/>
  <c r="M3"/>
  <c r="L3" s="1"/>
  <c r="Y3" s="1"/>
  <c r="AE2"/>
  <c r="AB2"/>
  <c r="Z2"/>
  <c r="R2"/>
  <c r="M2"/>
  <c r="D2"/>
  <c r="I2" s="1"/>
  <c r="AD41"/>
  <c r="AC41"/>
  <c r="AA41"/>
  <c r="W41"/>
  <c r="V41"/>
  <c r="U41"/>
  <c r="T41"/>
  <c r="S41"/>
  <c r="Q41"/>
  <c r="P41"/>
  <c r="N41"/>
  <c r="K41"/>
  <c r="J41"/>
  <c r="H41"/>
  <c r="G41"/>
  <c r="F41"/>
  <c r="E41"/>
  <c r="D41"/>
  <c r="C41"/>
  <c r="L37"/>
  <c r="Y37" s="1"/>
  <c r="I37"/>
  <c r="AE36"/>
  <c r="AB36"/>
  <c r="Z36"/>
  <c r="X36"/>
  <c r="L36"/>
  <c r="I36"/>
  <c r="AE35"/>
  <c r="AB35"/>
  <c r="Z35"/>
  <c r="X35"/>
  <c r="L35"/>
  <c r="Y35" s="1"/>
  <c r="I35"/>
  <c r="AE34"/>
  <c r="AB34"/>
  <c r="Z34"/>
  <c r="X34"/>
  <c r="R41"/>
  <c r="L34"/>
  <c r="I34"/>
  <c r="AD33"/>
  <c r="AC33"/>
  <c r="AA33"/>
  <c r="W33"/>
  <c r="V33"/>
  <c r="U33"/>
  <c r="T33"/>
  <c r="S33"/>
  <c r="Q33"/>
  <c r="N33"/>
  <c r="K33"/>
  <c r="H33"/>
  <c r="G33"/>
  <c r="F33"/>
  <c r="E33"/>
  <c r="AE32"/>
  <c r="AB32"/>
  <c r="X32"/>
  <c r="L32"/>
  <c r="I32"/>
  <c r="AE31"/>
  <c r="AB31"/>
  <c r="P33"/>
  <c r="L31"/>
  <c r="I31"/>
  <c r="AE30"/>
  <c r="AB30"/>
  <c r="X30"/>
  <c r="L30"/>
  <c r="I30"/>
  <c r="AE29"/>
  <c r="AB29"/>
  <c r="L29"/>
  <c r="X29"/>
  <c r="I29"/>
  <c r="AE28"/>
  <c r="AB28"/>
  <c r="Z28"/>
  <c r="X28"/>
  <c r="L28"/>
  <c r="I28"/>
  <c r="AE27"/>
  <c r="AB27"/>
  <c r="Z27"/>
  <c r="X27"/>
  <c r="R33"/>
  <c r="M33"/>
  <c r="I27"/>
  <c r="Z26"/>
  <c r="X26"/>
  <c r="L26"/>
  <c r="Y26" s="1"/>
  <c r="I26"/>
  <c r="C33"/>
  <c r="AD25"/>
  <c r="AC25"/>
  <c r="AA25"/>
  <c r="W25"/>
  <c r="U25"/>
  <c r="T25"/>
  <c r="S25"/>
  <c r="Q25"/>
  <c r="P25"/>
  <c r="N25"/>
  <c r="K25"/>
  <c r="H25"/>
  <c r="G25"/>
  <c r="F25"/>
  <c r="E25"/>
  <c r="C25"/>
  <c r="AE24"/>
  <c r="AB24"/>
  <c r="Z24"/>
  <c r="X24"/>
  <c r="L24"/>
  <c r="I24"/>
  <c r="AE23"/>
  <c r="AB23"/>
  <c r="Z23"/>
  <c r="X23"/>
  <c r="L23"/>
  <c r="I23"/>
  <c r="AE22"/>
  <c r="AB22"/>
  <c r="Z22"/>
  <c r="X22"/>
  <c r="L22"/>
  <c r="I22"/>
  <c r="AE21"/>
  <c r="AB21"/>
  <c r="Z21"/>
  <c r="X21"/>
  <c r="I21"/>
  <c r="AB20"/>
  <c r="Z20"/>
  <c r="X20"/>
  <c r="V25"/>
  <c r="L20"/>
  <c r="I20"/>
  <c r="AE19"/>
  <c r="AB19"/>
  <c r="Z19"/>
  <c r="X19"/>
  <c r="L19"/>
  <c r="I19"/>
  <c r="AE18"/>
  <c r="AB18"/>
  <c r="Z18"/>
  <c r="X18"/>
  <c r="R25"/>
  <c r="M25"/>
  <c r="L18"/>
  <c r="I18"/>
  <c r="AE16"/>
  <c r="AB16"/>
  <c r="Z16"/>
  <c r="X16"/>
  <c r="L16"/>
  <c r="I16"/>
  <c r="AE15"/>
  <c r="AB15"/>
  <c r="Z15"/>
  <c r="L15"/>
  <c r="X15"/>
  <c r="I15"/>
  <c r="AE14"/>
  <c r="AB14"/>
  <c r="Z14"/>
  <c r="L14"/>
  <c r="I14"/>
  <c r="AE13"/>
  <c r="AB13"/>
  <c r="Z13"/>
  <c r="L13"/>
  <c r="X13"/>
  <c r="I13"/>
  <c r="AE12"/>
  <c r="AB12"/>
  <c r="Z12"/>
  <c r="X12"/>
  <c r="L12"/>
  <c r="AE11"/>
  <c r="AB11"/>
  <c r="X11"/>
  <c r="I11"/>
  <c r="L7"/>
  <c r="AD9"/>
  <c r="AC9"/>
  <c r="AA9"/>
  <c r="W9"/>
  <c r="V9"/>
  <c r="U9"/>
  <c r="T9"/>
  <c r="R9"/>
  <c r="Q9"/>
  <c r="P9"/>
  <c r="N9"/>
  <c r="K9"/>
  <c r="J9"/>
  <c r="H9"/>
  <c r="G9"/>
  <c r="F9"/>
  <c r="E9"/>
  <c r="D9"/>
  <c r="C9"/>
  <c r="I8"/>
  <c r="Z9"/>
  <c r="M9"/>
  <c r="M38" i="30"/>
  <c r="Y38"/>
  <c r="M37"/>
  <c r="M36"/>
  <c r="M35"/>
  <c r="D34"/>
  <c r="Q34"/>
  <c r="M34"/>
  <c r="J31"/>
  <c r="D30"/>
  <c r="D29"/>
  <c r="R29"/>
  <c r="J29"/>
  <c r="Q28"/>
  <c r="M28"/>
  <c r="C28"/>
  <c r="Q27"/>
  <c r="D27"/>
  <c r="Y17" i="32" l="1"/>
  <c r="Y38" s="1"/>
  <c r="L38"/>
  <c r="Y42" i="31"/>
  <c r="Y39"/>
  <c r="Y38"/>
  <c r="Y36"/>
  <c r="Y34"/>
  <c r="Y32"/>
  <c r="Y31"/>
  <c r="Y30"/>
  <c r="Y29"/>
  <c r="Y28"/>
  <c r="Y24"/>
  <c r="Y23"/>
  <c r="Y22"/>
  <c r="Y21"/>
  <c r="Y20"/>
  <c r="Y19"/>
  <c r="Y18"/>
  <c r="Y16"/>
  <c r="Y14"/>
  <c r="T43"/>
  <c r="L11"/>
  <c r="AB17"/>
  <c r="P17"/>
  <c r="P43" s="1"/>
  <c r="O43"/>
  <c r="AE17"/>
  <c r="Z11"/>
  <c r="Z17" s="1"/>
  <c r="Y7"/>
  <c r="L10"/>
  <c r="N43"/>
  <c r="I10"/>
  <c r="M17"/>
  <c r="AE9"/>
  <c r="AB9"/>
  <c r="X2"/>
  <c r="X9" s="1"/>
  <c r="S9"/>
  <c r="S43" s="1"/>
  <c r="AA43"/>
  <c r="G43"/>
  <c r="H43"/>
  <c r="Q43"/>
  <c r="V43"/>
  <c r="AD43"/>
  <c r="AE25"/>
  <c r="L2"/>
  <c r="Y2" s="1"/>
  <c r="U43"/>
  <c r="AC43"/>
  <c r="F43"/>
  <c r="R43"/>
  <c r="E43"/>
  <c r="K43"/>
  <c r="W43"/>
  <c r="AE41"/>
  <c r="AB41"/>
  <c r="AB33"/>
  <c r="X41"/>
  <c r="I41"/>
  <c r="Z41"/>
  <c r="L25"/>
  <c r="I25"/>
  <c r="X25"/>
  <c r="AE33"/>
  <c r="Z33"/>
  <c r="Z25"/>
  <c r="AB25"/>
  <c r="I9"/>
  <c r="I33"/>
  <c r="L41"/>
  <c r="X14"/>
  <c r="X17" s="1"/>
  <c r="J33"/>
  <c r="C43"/>
  <c r="J25"/>
  <c r="L27"/>
  <c r="Y27" s="1"/>
  <c r="D33"/>
  <c r="D25"/>
  <c r="X31"/>
  <c r="X33" s="1"/>
  <c r="I12"/>
  <c r="M41"/>
  <c r="M32" i="30"/>
  <c r="O31"/>
  <c r="M31"/>
  <c r="M30"/>
  <c r="M29"/>
  <c r="M27"/>
  <c r="C26"/>
  <c r="M26"/>
  <c r="Z39"/>
  <c r="Z33"/>
  <c r="Y37"/>
  <c r="Y36"/>
  <c r="Y35"/>
  <c r="Y34"/>
  <c r="Y32"/>
  <c r="Y31"/>
  <c r="Y30"/>
  <c r="Y28"/>
  <c r="Y27"/>
  <c r="Y26"/>
  <c r="D24"/>
  <c r="D22"/>
  <c r="D21"/>
  <c r="J20"/>
  <c r="X20" s="1"/>
  <c r="U20"/>
  <c r="J19"/>
  <c r="AA19"/>
  <c r="AA20"/>
  <c r="AA21"/>
  <c r="AA22"/>
  <c r="AA23"/>
  <c r="AA24"/>
  <c r="Z25"/>
  <c r="Y17"/>
  <c r="Z17"/>
  <c r="Y24"/>
  <c r="Y23"/>
  <c r="Y22"/>
  <c r="Y21"/>
  <c r="Y20"/>
  <c r="Y19"/>
  <c r="Y18"/>
  <c r="Y16"/>
  <c r="Y15"/>
  <c r="Y14"/>
  <c r="Y13"/>
  <c r="Y12"/>
  <c r="Y11"/>
  <c r="Y10"/>
  <c r="Y9"/>
  <c r="Z9"/>
  <c r="Y3"/>
  <c r="Y4"/>
  <c r="Y5"/>
  <c r="Y6"/>
  <c r="Y7"/>
  <c r="Y8"/>
  <c r="Y2"/>
  <c r="L23"/>
  <c r="X23" s="1"/>
  <c r="M24"/>
  <c r="Q24"/>
  <c r="M23"/>
  <c r="M22"/>
  <c r="M21"/>
  <c r="Q20"/>
  <c r="M20"/>
  <c r="M19"/>
  <c r="Q18"/>
  <c r="M18"/>
  <c r="C18"/>
  <c r="M16"/>
  <c r="C13"/>
  <c r="U12"/>
  <c r="J15"/>
  <c r="M15"/>
  <c r="J14"/>
  <c r="U14"/>
  <c r="M14"/>
  <c r="J13"/>
  <c r="M13"/>
  <c r="Q13"/>
  <c r="D13"/>
  <c r="L17" i="31" l="1"/>
  <c r="I17"/>
  <c r="I43" s="1"/>
  <c r="Y10"/>
  <c r="Y17" s="1"/>
  <c r="X43"/>
  <c r="J43"/>
  <c r="AE43"/>
  <c r="Y41"/>
  <c r="AB43"/>
  <c r="D43"/>
  <c r="M43"/>
  <c r="Z43"/>
  <c r="Y25"/>
  <c r="Y33"/>
  <c r="L33"/>
  <c r="Y9"/>
  <c r="L9"/>
  <c r="Z40" i="30"/>
  <c r="Y39"/>
  <c r="Y33"/>
  <c r="Y25"/>
  <c r="Q12"/>
  <c r="M12"/>
  <c r="D12"/>
  <c r="L43" i="31" l="1"/>
  <c r="Y43"/>
  <c r="Y40" i="30"/>
  <c r="J11"/>
  <c r="T11"/>
  <c r="T17" s="1"/>
  <c r="M11"/>
  <c r="M17" s="1"/>
  <c r="D11"/>
  <c r="J10"/>
  <c r="J17" s="1"/>
  <c r="U10"/>
  <c r="U17" s="1"/>
  <c r="Q10"/>
  <c r="M10"/>
  <c r="D10"/>
  <c r="M8"/>
  <c r="M7"/>
  <c r="L7" s="1"/>
  <c r="M6"/>
  <c r="L6" s="1"/>
  <c r="M5"/>
  <c r="L5" s="1"/>
  <c r="L38"/>
  <c r="L36"/>
  <c r="L35"/>
  <c r="L34"/>
  <c r="L32"/>
  <c r="L31"/>
  <c r="L30"/>
  <c r="L29"/>
  <c r="L28"/>
  <c r="L27"/>
  <c r="L26"/>
  <c r="X26" s="1"/>
  <c r="L24"/>
  <c r="L22"/>
  <c r="L20"/>
  <c r="L19"/>
  <c r="X19" s="1"/>
  <c r="L18"/>
  <c r="L16"/>
  <c r="L15"/>
  <c r="L14"/>
  <c r="L13"/>
  <c r="L12"/>
  <c r="I35"/>
  <c r="X35" s="1"/>
  <c r="I36"/>
  <c r="I37"/>
  <c r="I38"/>
  <c r="AA29"/>
  <c r="AD35"/>
  <c r="AD36"/>
  <c r="AD37"/>
  <c r="AD38"/>
  <c r="W35"/>
  <c r="AA35"/>
  <c r="W36"/>
  <c r="AA36"/>
  <c r="W37"/>
  <c r="AA37"/>
  <c r="W38"/>
  <c r="AA38"/>
  <c r="K39"/>
  <c r="K33"/>
  <c r="K25"/>
  <c r="K17"/>
  <c r="K9"/>
  <c r="J4"/>
  <c r="W4" s="1"/>
  <c r="M2"/>
  <c r="L2" s="1"/>
  <c r="X2" s="1"/>
  <c r="AD4"/>
  <c r="AA4"/>
  <c r="M4"/>
  <c r="L4" s="1"/>
  <c r="I4"/>
  <c r="AD3"/>
  <c r="AA3"/>
  <c r="W3"/>
  <c r="M3"/>
  <c r="L3" s="1"/>
  <c r="X3" s="1"/>
  <c r="I3"/>
  <c r="AD2"/>
  <c r="AA2"/>
  <c r="W2"/>
  <c r="I2"/>
  <c r="AC39"/>
  <c r="AB39"/>
  <c r="V39"/>
  <c r="U39"/>
  <c r="T39"/>
  <c r="S39"/>
  <c r="R39"/>
  <c r="Q39"/>
  <c r="P39"/>
  <c r="O39"/>
  <c r="N39"/>
  <c r="J39"/>
  <c r="H39"/>
  <c r="G39"/>
  <c r="F39"/>
  <c r="E39"/>
  <c r="D39"/>
  <c r="C39"/>
  <c r="AD34"/>
  <c r="AA34"/>
  <c r="W34"/>
  <c r="I34"/>
  <c r="AC33"/>
  <c r="AB33"/>
  <c r="V33"/>
  <c r="U33"/>
  <c r="T33"/>
  <c r="S33"/>
  <c r="R33"/>
  <c r="Q33"/>
  <c r="P33"/>
  <c r="O33"/>
  <c r="N33"/>
  <c r="J33"/>
  <c r="H33"/>
  <c r="G33"/>
  <c r="F33"/>
  <c r="E33"/>
  <c r="D33"/>
  <c r="C33"/>
  <c r="AD32"/>
  <c r="AA32"/>
  <c r="W32"/>
  <c r="I32"/>
  <c r="AD31"/>
  <c r="AA31"/>
  <c r="W31"/>
  <c r="I31"/>
  <c r="AD30"/>
  <c r="AA30"/>
  <c r="W30"/>
  <c r="I30"/>
  <c r="AD29"/>
  <c r="W29"/>
  <c r="I29"/>
  <c r="AD28"/>
  <c r="AA28"/>
  <c r="W28"/>
  <c r="I28"/>
  <c r="X28" s="1"/>
  <c r="AD27"/>
  <c r="AA27"/>
  <c r="W27"/>
  <c r="I27"/>
  <c r="AD26"/>
  <c r="AA26"/>
  <c r="W26"/>
  <c r="I26"/>
  <c r="AC25"/>
  <c r="V25"/>
  <c r="U25"/>
  <c r="T25"/>
  <c r="S25"/>
  <c r="R25"/>
  <c r="Q25"/>
  <c r="P25"/>
  <c r="O25"/>
  <c r="N25"/>
  <c r="J25"/>
  <c r="G25"/>
  <c r="F25"/>
  <c r="E25"/>
  <c r="D25"/>
  <c r="C25"/>
  <c r="AD24"/>
  <c r="AB25"/>
  <c r="W24"/>
  <c r="I24"/>
  <c r="AD23"/>
  <c r="W23"/>
  <c r="I23"/>
  <c r="AD22"/>
  <c r="W22"/>
  <c r="I22"/>
  <c r="AD21"/>
  <c r="W21"/>
  <c r="I21"/>
  <c r="X21" s="1"/>
  <c r="AD20"/>
  <c r="W20"/>
  <c r="I20"/>
  <c r="H25"/>
  <c r="AD19"/>
  <c r="W19"/>
  <c r="I19"/>
  <c r="AD18"/>
  <c r="AA18"/>
  <c r="W18"/>
  <c r="M25"/>
  <c r="I18"/>
  <c r="AC17"/>
  <c r="AB17"/>
  <c r="V17"/>
  <c r="S17"/>
  <c r="R17"/>
  <c r="Q17"/>
  <c r="P17"/>
  <c r="O17"/>
  <c r="N17"/>
  <c r="H17"/>
  <c r="G17"/>
  <c r="F17"/>
  <c r="E17"/>
  <c r="C17"/>
  <c r="AD16"/>
  <c r="AA16"/>
  <c r="W16"/>
  <c r="I16"/>
  <c r="AD15"/>
  <c r="AA15"/>
  <c r="W15"/>
  <c r="I15"/>
  <c r="AD14"/>
  <c r="AA14"/>
  <c r="W14"/>
  <c r="I14"/>
  <c r="AD13"/>
  <c r="AA13"/>
  <c r="W13"/>
  <c r="I13"/>
  <c r="X13" s="1"/>
  <c r="AD12"/>
  <c r="AA12"/>
  <c r="W12"/>
  <c r="I12"/>
  <c r="AD11"/>
  <c r="AA11"/>
  <c r="W11"/>
  <c r="I11"/>
  <c r="AD10"/>
  <c r="AA10"/>
  <c r="W10"/>
  <c r="AC9"/>
  <c r="AB9"/>
  <c r="V9"/>
  <c r="U9"/>
  <c r="T9"/>
  <c r="S9"/>
  <c r="R9"/>
  <c r="Q9"/>
  <c r="P9"/>
  <c r="O9"/>
  <c r="N9"/>
  <c r="H9"/>
  <c r="G9"/>
  <c r="F9"/>
  <c r="E9"/>
  <c r="D9"/>
  <c r="C9"/>
  <c r="AD8"/>
  <c r="AA8"/>
  <c r="W8"/>
  <c r="I8"/>
  <c r="X8" s="1"/>
  <c r="AD7"/>
  <c r="AA7"/>
  <c r="W7"/>
  <c r="I7"/>
  <c r="AD6"/>
  <c r="AA6"/>
  <c r="W6"/>
  <c r="I6"/>
  <c r="AD5"/>
  <c r="AA5"/>
  <c r="W5"/>
  <c r="I5"/>
  <c r="X32" l="1"/>
  <c r="X31"/>
  <c r="X30"/>
  <c r="X22"/>
  <c r="X24"/>
  <c r="X29"/>
  <c r="X27"/>
  <c r="X36"/>
  <c r="X38"/>
  <c r="I39"/>
  <c r="X4"/>
  <c r="X18"/>
  <c r="X16"/>
  <c r="X15"/>
  <c r="X14"/>
  <c r="X12"/>
  <c r="AA17"/>
  <c r="L11"/>
  <c r="D17"/>
  <c r="D40" s="1"/>
  <c r="L10"/>
  <c r="I10"/>
  <c r="I17" s="1"/>
  <c r="X7"/>
  <c r="X6"/>
  <c r="X5"/>
  <c r="K40"/>
  <c r="J9"/>
  <c r="J40" s="1"/>
  <c r="W39"/>
  <c r="W33"/>
  <c r="I33"/>
  <c r="W25"/>
  <c r="W17"/>
  <c r="P40"/>
  <c r="T40"/>
  <c r="AA39"/>
  <c r="AD33"/>
  <c r="AD39"/>
  <c r="O40"/>
  <c r="S40"/>
  <c r="M9"/>
  <c r="V40"/>
  <c r="C40"/>
  <c r="AC40"/>
  <c r="AA33"/>
  <c r="I25"/>
  <c r="AD25"/>
  <c r="AD17"/>
  <c r="G40"/>
  <c r="N40"/>
  <c r="R40"/>
  <c r="Q40"/>
  <c r="U40"/>
  <c r="W9"/>
  <c r="F40"/>
  <c r="AD9"/>
  <c r="E40"/>
  <c r="I9"/>
  <c r="AA9"/>
  <c r="H40"/>
  <c r="L33"/>
  <c r="AB40"/>
  <c r="X34"/>
  <c r="L25"/>
  <c r="L9"/>
  <c r="M33"/>
  <c r="AA25"/>
  <c r="X33" l="1"/>
  <c r="L17"/>
  <c r="X11"/>
  <c r="X25"/>
  <c r="W40"/>
  <c r="X10"/>
  <c r="AD40"/>
  <c r="I40"/>
  <c r="X9"/>
  <c r="AA40"/>
  <c r="X17" l="1"/>
  <c r="L36" i="28" l="1"/>
  <c r="L35"/>
  <c r="L34"/>
  <c r="L32"/>
  <c r="L31"/>
  <c r="L30"/>
  <c r="L29"/>
  <c r="L28"/>
  <c r="L27"/>
  <c r="L26"/>
  <c r="H20"/>
  <c r="X24"/>
  <c r="Y24"/>
  <c r="L24"/>
  <c r="L23"/>
  <c r="P9"/>
  <c r="P17"/>
  <c r="P25"/>
  <c r="P33"/>
  <c r="P37"/>
  <c r="L22"/>
  <c r="L21"/>
  <c r="L20"/>
  <c r="L19"/>
  <c r="L18"/>
  <c r="P38" l="1"/>
  <c r="L16"/>
  <c r="K16" s="1"/>
  <c r="L15"/>
  <c r="K15" s="1"/>
  <c r="L14"/>
  <c r="K14" s="1"/>
  <c r="L13"/>
  <c r="K13" s="1"/>
  <c r="L12"/>
  <c r="K12" s="1"/>
  <c r="L11"/>
  <c r="L10"/>
  <c r="L8"/>
  <c r="G37"/>
  <c r="G33"/>
  <c r="G25"/>
  <c r="G17"/>
  <c r="G9"/>
  <c r="L7"/>
  <c r="K7" s="1"/>
  <c r="L6"/>
  <c r="K6" s="1"/>
  <c r="L5"/>
  <c r="K5" s="1"/>
  <c r="L4"/>
  <c r="K4" s="1"/>
  <c r="L3"/>
  <c r="K3" s="1"/>
  <c r="L2"/>
  <c r="X12"/>
  <c r="X3"/>
  <c r="Z37"/>
  <c r="Y37"/>
  <c r="U37"/>
  <c r="T37"/>
  <c r="S37"/>
  <c r="R37"/>
  <c r="Q37"/>
  <c r="O37"/>
  <c r="N37"/>
  <c r="M37"/>
  <c r="J37"/>
  <c r="H37"/>
  <c r="F37"/>
  <c r="E37"/>
  <c r="D37"/>
  <c r="C37"/>
  <c r="AA36"/>
  <c r="X36"/>
  <c r="V36"/>
  <c r="K36"/>
  <c r="I36"/>
  <c r="AA35"/>
  <c r="X35"/>
  <c r="V35"/>
  <c r="K35"/>
  <c r="I35"/>
  <c r="AA34"/>
  <c r="X34"/>
  <c r="V34"/>
  <c r="K34"/>
  <c r="I34"/>
  <c r="Z33"/>
  <c r="Y33"/>
  <c r="U33"/>
  <c r="T33"/>
  <c r="S33"/>
  <c r="R33"/>
  <c r="Q33"/>
  <c r="O33"/>
  <c r="N33"/>
  <c r="M33"/>
  <c r="H33"/>
  <c r="F33"/>
  <c r="E33"/>
  <c r="D33"/>
  <c r="C33"/>
  <c r="AA32"/>
  <c r="X32"/>
  <c r="V32"/>
  <c r="K32"/>
  <c r="I32"/>
  <c r="AA31"/>
  <c r="X31"/>
  <c r="V31"/>
  <c r="K31"/>
  <c r="I31"/>
  <c r="AA30"/>
  <c r="X30"/>
  <c r="V30"/>
  <c r="K30"/>
  <c r="I30"/>
  <c r="AA29"/>
  <c r="V29"/>
  <c r="K29"/>
  <c r="I29"/>
  <c r="AA28"/>
  <c r="X28"/>
  <c r="V28"/>
  <c r="K28"/>
  <c r="J33"/>
  <c r="I28"/>
  <c r="AA27"/>
  <c r="X27"/>
  <c r="V27"/>
  <c r="K27"/>
  <c r="I27"/>
  <c r="AA26"/>
  <c r="X26"/>
  <c r="V26"/>
  <c r="K26"/>
  <c r="I26"/>
  <c r="Z25"/>
  <c r="Y25"/>
  <c r="U25"/>
  <c r="T25"/>
  <c r="S25"/>
  <c r="R25"/>
  <c r="Q25"/>
  <c r="O25"/>
  <c r="N25"/>
  <c r="M25"/>
  <c r="J25"/>
  <c r="H25"/>
  <c r="F25"/>
  <c r="E25"/>
  <c r="D25"/>
  <c r="C25"/>
  <c r="AA24"/>
  <c r="V24"/>
  <c r="K24"/>
  <c r="I24"/>
  <c r="AA23"/>
  <c r="X23"/>
  <c r="V23"/>
  <c r="K23"/>
  <c r="I23"/>
  <c r="AA22"/>
  <c r="X22"/>
  <c r="V22"/>
  <c r="K22"/>
  <c r="W22" s="1"/>
  <c r="I22"/>
  <c r="AA21"/>
  <c r="X21"/>
  <c r="V21"/>
  <c r="K21"/>
  <c r="I21"/>
  <c r="AA20"/>
  <c r="X20"/>
  <c r="V20"/>
  <c r="K20"/>
  <c r="I20"/>
  <c r="AA19"/>
  <c r="X19"/>
  <c r="V19"/>
  <c r="K19"/>
  <c r="I19"/>
  <c r="AA18"/>
  <c r="X18"/>
  <c r="V18"/>
  <c r="I18"/>
  <c r="Z17"/>
  <c r="Y17"/>
  <c r="U17"/>
  <c r="T17"/>
  <c r="S17"/>
  <c r="R17"/>
  <c r="Q17"/>
  <c r="O17"/>
  <c r="N17"/>
  <c r="M17"/>
  <c r="H17"/>
  <c r="F17"/>
  <c r="E17"/>
  <c r="D17"/>
  <c r="C17"/>
  <c r="AA16"/>
  <c r="X16"/>
  <c r="V16"/>
  <c r="I16"/>
  <c r="AA15"/>
  <c r="X15"/>
  <c r="V15"/>
  <c r="I15"/>
  <c r="AA14"/>
  <c r="X14"/>
  <c r="V14"/>
  <c r="I14"/>
  <c r="AA13"/>
  <c r="X13"/>
  <c r="V13"/>
  <c r="I13"/>
  <c r="AA12"/>
  <c r="V12"/>
  <c r="I12"/>
  <c r="AA11"/>
  <c r="X11"/>
  <c r="V11"/>
  <c r="I11"/>
  <c r="AA10"/>
  <c r="X10"/>
  <c r="K10"/>
  <c r="V10"/>
  <c r="I10"/>
  <c r="Z9"/>
  <c r="Y9"/>
  <c r="U9"/>
  <c r="T9"/>
  <c r="S9"/>
  <c r="R9"/>
  <c r="Q9"/>
  <c r="O9"/>
  <c r="N9"/>
  <c r="M9"/>
  <c r="J9"/>
  <c r="F9"/>
  <c r="E9"/>
  <c r="D9"/>
  <c r="C9"/>
  <c r="AA8"/>
  <c r="X8"/>
  <c r="V8"/>
  <c r="K8"/>
  <c r="I8"/>
  <c r="AA7"/>
  <c r="X7"/>
  <c r="V7"/>
  <c r="I7"/>
  <c r="AA6"/>
  <c r="X6"/>
  <c r="V6"/>
  <c r="I6"/>
  <c r="AA5"/>
  <c r="X5"/>
  <c r="V5"/>
  <c r="I5"/>
  <c r="AA4"/>
  <c r="X4"/>
  <c r="V4"/>
  <c r="I4"/>
  <c r="V3"/>
  <c r="I3"/>
  <c r="AA2"/>
  <c r="X2"/>
  <c r="V2"/>
  <c r="I2"/>
  <c r="K36" i="27"/>
  <c r="J36" s="1"/>
  <c r="K35"/>
  <c r="J35" s="1"/>
  <c r="K34"/>
  <c r="K33"/>
  <c r="J33" s="1"/>
  <c r="K32"/>
  <c r="J32" s="1"/>
  <c r="K31"/>
  <c r="J31" s="1"/>
  <c r="K30"/>
  <c r="J30" s="1"/>
  <c r="K28"/>
  <c r="J28" s="1"/>
  <c r="K27"/>
  <c r="J27" s="1"/>
  <c r="K26"/>
  <c r="J26" s="1"/>
  <c r="K25"/>
  <c r="J25" s="1"/>
  <c r="K24"/>
  <c r="J24" s="1"/>
  <c r="I24"/>
  <c r="I29" s="1"/>
  <c r="K23"/>
  <c r="J23" s="1"/>
  <c r="K22"/>
  <c r="K20"/>
  <c r="K19"/>
  <c r="J19" s="1"/>
  <c r="K18"/>
  <c r="K17"/>
  <c r="J17" s="1"/>
  <c r="K16"/>
  <c r="K15"/>
  <c r="J15" s="1"/>
  <c r="K14"/>
  <c r="J14" s="1"/>
  <c r="K12"/>
  <c r="J12" s="1"/>
  <c r="K11"/>
  <c r="J11" s="1"/>
  <c r="K10"/>
  <c r="J10" s="1"/>
  <c r="K9"/>
  <c r="K8"/>
  <c r="J8" s="1"/>
  <c r="K7"/>
  <c r="J7" s="1"/>
  <c r="K6"/>
  <c r="J6" s="1"/>
  <c r="I6"/>
  <c r="T6" s="1"/>
  <c r="K4"/>
  <c r="J4" s="1"/>
  <c r="K3"/>
  <c r="K2"/>
  <c r="V25"/>
  <c r="J34"/>
  <c r="H31"/>
  <c r="H32"/>
  <c r="H33"/>
  <c r="H34"/>
  <c r="H35"/>
  <c r="T31"/>
  <c r="V31"/>
  <c r="T32"/>
  <c r="V32"/>
  <c r="T33"/>
  <c r="V33"/>
  <c r="T34"/>
  <c r="V34"/>
  <c r="T35"/>
  <c r="V35"/>
  <c r="T36"/>
  <c r="V36"/>
  <c r="Y36"/>
  <c r="Y35"/>
  <c r="Y34"/>
  <c r="Y33"/>
  <c r="Y32"/>
  <c r="Y31"/>
  <c r="Y30"/>
  <c r="Y28"/>
  <c r="Y27"/>
  <c r="Y26"/>
  <c r="Y25"/>
  <c r="Y24"/>
  <c r="Y23"/>
  <c r="Y22"/>
  <c r="Y20"/>
  <c r="Y19"/>
  <c r="Y18"/>
  <c r="Y17"/>
  <c r="Y16"/>
  <c r="Y15"/>
  <c r="Y14"/>
  <c r="Y12"/>
  <c r="Y11"/>
  <c r="Y10"/>
  <c r="Y9"/>
  <c r="Y8"/>
  <c r="Y7"/>
  <c r="Y6"/>
  <c r="Y2"/>
  <c r="Y3"/>
  <c r="Y4"/>
  <c r="X37"/>
  <c r="W37"/>
  <c r="S37"/>
  <c r="R37"/>
  <c r="Q37"/>
  <c r="P37"/>
  <c r="O37"/>
  <c r="N37"/>
  <c r="M37"/>
  <c r="L37"/>
  <c r="I37"/>
  <c r="F37"/>
  <c r="E37"/>
  <c r="D37"/>
  <c r="C37"/>
  <c r="H36"/>
  <c r="G37"/>
  <c r="V30"/>
  <c r="T30"/>
  <c r="H30"/>
  <c r="X29"/>
  <c r="W29"/>
  <c r="S29"/>
  <c r="R29"/>
  <c r="Q29"/>
  <c r="P29"/>
  <c r="O29"/>
  <c r="N29"/>
  <c r="M29"/>
  <c r="L29"/>
  <c r="G29"/>
  <c r="F29"/>
  <c r="E29"/>
  <c r="D29"/>
  <c r="C29"/>
  <c r="V28"/>
  <c r="T28"/>
  <c r="H28"/>
  <c r="V27"/>
  <c r="T27"/>
  <c r="H27"/>
  <c r="V26"/>
  <c r="T26"/>
  <c r="H26"/>
  <c r="T25"/>
  <c r="H25"/>
  <c r="V24"/>
  <c r="H24"/>
  <c r="V23"/>
  <c r="T23"/>
  <c r="H23"/>
  <c r="V22"/>
  <c r="T22"/>
  <c r="J22"/>
  <c r="H22"/>
  <c r="X21"/>
  <c r="S21"/>
  <c r="R21"/>
  <c r="Q21"/>
  <c r="P21"/>
  <c r="O21"/>
  <c r="N21"/>
  <c r="M21"/>
  <c r="L21"/>
  <c r="I21"/>
  <c r="G21"/>
  <c r="F21"/>
  <c r="E21"/>
  <c r="D21"/>
  <c r="C21"/>
  <c r="V20"/>
  <c r="T20"/>
  <c r="J20"/>
  <c r="H20"/>
  <c r="V19"/>
  <c r="T19"/>
  <c r="H19"/>
  <c r="V18"/>
  <c r="T18"/>
  <c r="J18"/>
  <c r="H18"/>
  <c r="W21"/>
  <c r="T17"/>
  <c r="H17"/>
  <c r="V16"/>
  <c r="T16"/>
  <c r="J16"/>
  <c r="H16"/>
  <c r="V15"/>
  <c r="T15"/>
  <c r="H15"/>
  <c r="V14"/>
  <c r="T14"/>
  <c r="H14"/>
  <c r="X13"/>
  <c r="W13"/>
  <c r="S13"/>
  <c r="Q13"/>
  <c r="P13"/>
  <c r="O13"/>
  <c r="N13"/>
  <c r="M13"/>
  <c r="L13"/>
  <c r="I13"/>
  <c r="G13"/>
  <c r="F13"/>
  <c r="E13"/>
  <c r="D13"/>
  <c r="C13"/>
  <c r="V12"/>
  <c r="T12"/>
  <c r="H12"/>
  <c r="V11"/>
  <c r="T11"/>
  <c r="H11"/>
  <c r="V10"/>
  <c r="T10"/>
  <c r="H10"/>
  <c r="V9"/>
  <c r="T9"/>
  <c r="J9"/>
  <c r="H9"/>
  <c r="R13"/>
  <c r="H8"/>
  <c r="V7"/>
  <c r="T7"/>
  <c r="H7"/>
  <c r="V6"/>
  <c r="H6"/>
  <c r="X5"/>
  <c r="W5"/>
  <c r="S5"/>
  <c r="R5"/>
  <c r="Q5"/>
  <c r="P5"/>
  <c r="O5"/>
  <c r="N5"/>
  <c r="M5"/>
  <c r="L5"/>
  <c r="I5"/>
  <c r="F5"/>
  <c r="E5"/>
  <c r="D5"/>
  <c r="C5"/>
  <c r="V4"/>
  <c r="T4"/>
  <c r="H4"/>
  <c r="V3"/>
  <c r="T3"/>
  <c r="J3"/>
  <c r="H3"/>
  <c r="V2"/>
  <c r="T2"/>
  <c r="H2"/>
  <c r="K37" i="26"/>
  <c r="K36"/>
  <c r="K35"/>
  <c r="G35"/>
  <c r="Y37"/>
  <c r="Y36"/>
  <c r="Y35"/>
  <c r="Y34"/>
  <c r="K34"/>
  <c r="K32"/>
  <c r="K31"/>
  <c r="K30"/>
  <c r="K29"/>
  <c r="K28"/>
  <c r="K27"/>
  <c r="K26"/>
  <c r="Y32"/>
  <c r="Y31"/>
  <c r="Y30"/>
  <c r="Y29"/>
  <c r="Y28"/>
  <c r="Y27"/>
  <c r="Y26"/>
  <c r="Y24"/>
  <c r="Y23"/>
  <c r="Y22"/>
  <c r="Y21"/>
  <c r="Y20"/>
  <c r="Y19"/>
  <c r="Y18"/>
  <c r="Y11"/>
  <c r="Y12"/>
  <c r="Y13"/>
  <c r="Y14"/>
  <c r="Y15"/>
  <c r="Y16"/>
  <c r="Y10"/>
  <c r="Y25"/>
  <c r="Y9"/>
  <c r="W21" i="28" l="1"/>
  <c r="U17" i="27"/>
  <c r="U19"/>
  <c r="G38" i="28"/>
  <c r="W7"/>
  <c r="W5"/>
  <c r="W4"/>
  <c r="W31"/>
  <c r="AA37"/>
  <c r="W36"/>
  <c r="W29"/>
  <c r="W32"/>
  <c r="W14"/>
  <c r="X25"/>
  <c r="W19"/>
  <c r="I25"/>
  <c r="W13"/>
  <c r="W6"/>
  <c r="W3"/>
  <c r="X9"/>
  <c r="V9"/>
  <c r="X17"/>
  <c r="W12"/>
  <c r="AA25"/>
  <c r="X33"/>
  <c r="E38"/>
  <c r="N38"/>
  <c r="S38"/>
  <c r="Z38"/>
  <c r="V37"/>
  <c r="W35"/>
  <c r="W8"/>
  <c r="L17"/>
  <c r="W15"/>
  <c r="I17"/>
  <c r="V25"/>
  <c r="W20"/>
  <c r="W23"/>
  <c r="W24"/>
  <c r="M38"/>
  <c r="R38"/>
  <c r="V33"/>
  <c r="W27"/>
  <c r="W30"/>
  <c r="Y38"/>
  <c r="I9"/>
  <c r="D38"/>
  <c r="C38"/>
  <c r="Q38"/>
  <c r="U38"/>
  <c r="L9"/>
  <c r="AA9"/>
  <c r="AA3"/>
  <c r="V17"/>
  <c r="AA17"/>
  <c r="L25"/>
  <c r="I33"/>
  <c r="AA33"/>
  <c r="F38"/>
  <c r="O38"/>
  <c r="T38"/>
  <c r="I37"/>
  <c r="X37"/>
  <c r="W26"/>
  <c r="K33"/>
  <c r="K37"/>
  <c r="J17"/>
  <c r="J38" s="1"/>
  <c r="W28"/>
  <c r="W16"/>
  <c r="L33"/>
  <c r="L37"/>
  <c r="K2"/>
  <c r="H9"/>
  <c r="H38" s="1"/>
  <c r="W10"/>
  <c r="K11"/>
  <c r="W11" s="1"/>
  <c r="K18"/>
  <c r="W34"/>
  <c r="U36" i="27"/>
  <c r="U35"/>
  <c r="U32"/>
  <c r="U31"/>
  <c r="U26"/>
  <c r="U25"/>
  <c r="T24"/>
  <c r="T29" s="1"/>
  <c r="H29"/>
  <c r="U24"/>
  <c r="Y29"/>
  <c r="U18"/>
  <c r="U16"/>
  <c r="K21"/>
  <c r="U12"/>
  <c r="U11"/>
  <c r="U8"/>
  <c r="V13"/>
  <c r="K13"/>
  <c r="Y13"/>
  <c r="U7"/>
  <c r="K5"/>
  <c r="J2"/>
  <c r="U2" s="1"/>
  <c r="U34"/>
  <c r="T5"/>
  <c r="G5"/>
  <c r="G38" s="1"/>
  <c r="U23"/>
  <c r="J21"/>
  <c r="U20"/>
  <c r="U10"/>
  <c r="H13"/>
  <c r="T21"/>
  <c r="U27"/>
  <c r="U28"/>
  <c r="U15"/>
  <c r="Y21"/>
  <c r="H21"/>
  <c r="U6"/>
  <c r="U9"/>
  <c r="V29"/>
  <c r="U33"/>
  <c r="Y5"/>
  <c r="U30"/>
  <c r="T37"/>
  <c r="V37"/>
  <c r="H5"/>
  <c r="V5"/>
  <c r="U4"/>
  <c r="N38"/>
  <c r="U3"/>
  <c r="I38"/>
  <c r="C38"/>
  <c r="E38"/>
  <c r="W38"/>
  <c r="L38"/>
  <c r="P38"/>
  <c r="X38"/>
  <c r="D38"/>
  <c r="O38"/>
  <c r="S38"/>
  <c r="F38"/>
  <c r="M38"/>
  <c r="Q38"/>
  <c r="J29"/>
  <c r="U22"/>
  <c r="R38"/>
  <c r="J37"/>
  <c r="T8"/>
  <c r="T13" s="1"/>
  <c r="K29"/>
  <c r="Y37"/>
  <c r="J13"/>
  <c r="U14"/>
  <c r="K37"/>
  <c r="V17"/>
  <c r="V21" s="1"/>
  <c r="Y38" i="26"/>
  <c r="Y33"/>
  <c r="Y17"/>
  <c r="W37" i="28" l="1"/>
  <c r="V38"/>
  <c r="AA38"/>
  <c r="X38"/>
  <c r="I38"/>
  <c r="K17"/>
  <c r="L38"/>
  <c r="W17"/>
  <c r="W33"/>
  <c r="K25"/>
  <c r="W18"/>
  <c r="W25" s="1"/>
  <c r="K9"/>
  <c r="W2"/>
  <c r="W9" s="1"/>
  <c r="Y38" i="27"/>
  <c r="U21"/>
  <c r="U13"/>
  <c r="U29"/>
  <c r="T38"/>
  <c r="U37"/>
  <c r="V38"/>
  <c r="H37"/>
  <c r="H38" s="1"/>
  <c r="K38"/>
  <c r="U5"/>
  <c r="J5"/>
  <c r="J38" s="1"/>
  <c r="Y39" i="26"/>
  <c r="K38" i="28" l="1"/>
  <c r="W38"/>
  <c r="U38" i="27"/>
  <c r="K24" i="26"/>
  <c r="U23"/>
  <c r="U22"/>
  <c r="U21"/>
  <c r="U20"/>
  <c r="U19"/>
  <c r="U18"/>
  <c r="U16"/>
  <c r="U15"/>
  <c r="U14"/>
  <c r="U13"/>
  <c r="U12"/>
  <c r="U11"/>
  <c r="U10"/>
  <c r="U3"/>
  <c r="U4"/>
  <c r="U5"/>
  <c r="U6"/>
  <c r="U7"/>
  <c r="U8"/>
  <c r="U2"/>
  <c r="V37"/>
  <c r="V36"/>
  <c r="V34"/>
  <c r="V32"/>
  <c r="V31"/>
  <c r="V30"/>
  <c r="V28"/>
  <c r="V27"/>
  <c r="V26"/>
  <c r="V24"/>
  <c r="V23"/>
  <c r="V22"/>
  <c r="V21"/>
  <c r="V20"/>
  <c r="V19"/>
  <c r="V18"/>
  <c r="V16"/>
  <c r="V15"/>
  <c r="V14"/>
  <c r="V13"/>
  <c r="V12"/>
  <c r="V11"/>
  <c r="V10"/>
  <c r="V3"/>
  <c r="V4"/>
  <c r="V5"/>
  <c r="V6"/>
  <c r="V7"/>
  <c r="V8"/>
  <c r="V2"/>
  <c r="W38"/>
  <c r="W33"/>
  <c r="W21"/>
  <c r="W25" s="1"/>
  <c r="W17"/>
  <c r="W9"/>
  <c r="W39" l="1"/>
  <c r="K23"/>
  <c r="K22"/>
  <c r="K21" l="1"/>
  <c r="J21" s="1"/>
  <c r="K20"/>
  <c r="J20" s="1"/>
  <c r="K19"/>
  <c r="K18"/>
  <c r="K16"/>
  <c r="J16" s="1"/>
  <c r="K15"/>
  <c r="J15" s="1"/>
  <c r="K14"/>
  <c r="K13"/>
  <c r="J13" s="1"/>
  <c r="R12"/>
  <c r="K12"/>
  <c r="J12" s="1"/>
  <c r="K11"/>
  <c r="J11" s="1"/>
  <c r="K10"/>
  <c r="J10" s="1"/>
  <c r="K8"/>
  <c r="K7"/>
  <c r="K6"/>
  <c r="K5"/>
  <c r="J5" s="1"/>
  <c r="K4"/>
  <c r="J4" s="1"/>
  <c r="D38"/>
  <c r="E38"/>
  <c r="F38"/>
  <c r="G38"/>
  <c r="I38"/>
  <c r="K38"/>
  <c r="L38"/>
  <c r="M38"/>
  <c r="N38"/>
  <c r="O38"/>
  <c r="P38"/>
  <c r="Q38"/>
  <c r="R38"/>
  <c r="S38"/>
  <c r="V38"/>
  <c r="X38"/>
  <c r="C38"/>
  <c r="S39"/>
  <c r="T3"/>
  <c r="K3"/>
  <c r="J3" s="1"/>
  <c r="H3"/>
  <c r="T2"/>
  <c r="K2"/>
  <c r="J2"/>
  <c r="H2"/>
  <c r="T37"/>
  <c r="J37"/>
  <c r="H37"/>
  <c r="U37" s="1"/>
  <c r="T36"/>
  <c r="J36"/>
  <c r="H36"/>
  <c r="T35"/>
  <c r="J35"/>
  <c r="H35"/>
  <c r="T34"/>
  <c r="J34"/>
  <c r="H34"/>
  <c r="X33"/>
  <c r="S33"/>
  <c r="R33"/>
  <c r="Q33"/>
  <c r="P33"/>
  <c r="O33"/>
  <c r="N33"/>
  <c r="M33"/>
  <c r="L33"/>
  <c r="I33"/>
  <c r="G33"/>
  <c r="F33"/>
  <c r="E33"/>
  <c r="D33"/>
  <c r="C33"/>
  <c r="T32"/>
  <c r="J32"/>
  <c r="H32"/>
  <c r="T31"/>
  <c r="J31"/>
  <c r="H31"/>
  <c r="T30"/>
  <c r="J30"/>
  <c r="H30"/>
  <c r="T29"/>
  <c r="J29"/>
  <c r="H29"/>
  <c r="T28"/>
  <c r="J28"/>
  <c r="H28"/>
  <c r="T27"/>
  <c r="J27"/>
  <c r="H27"/>
  <c r="V33"/>
  <c r="T26"/>
  <c r="K33"/>
  <c r="J26"/>
  <c r="H26"/>
  <c r="X25"/>
  <c r="S25"/>
  <c r="R25"/>
  <c r="Q25"/>
  <c r="P25"/>
  <c r="O25"/>
  <c r="N25"/>
  <c r="M25"/>
  <c r="L25"/>
  <c r="I25"/>
  <c r="G25"/>
  <c r="F25"/>
  <c r="E25"/>
  <c r="C25"/>
  <c r="T24"/>
  <c r="J24"/>
  <c r="H24"/>
  <c r="T23"/>
  <c r="J23"/>
  <c r="H23"/>
  <c r="T22"/>
  <c r="J22"/>
  <c r="H22"/>
  <c r="T21"/>
  <c r="H21"/>
  <c r="T20"/>
  <c r="H20"/>
  <c r="T19"/>
  <c r="J19"/>
  <c r="H19"/>
  <c r="T18"/>
  <c r="J18"/>
  <c r="H18"/>
  <c r="X17"/>
  <c r="S17"/>
  <c r="R17"/>
  <c r="Q17"/>
  <c r="P17"/>
  <c r="O17"/>
  <c r="N17"/>
  <c r="M17"/>
  <c r="L17"/>
  <c r="I17"/>
  <c r="G17"/>
  <c r="F17"/>
  <c r="E17"/>
  <c r="D17"/>
  <c r="C17"/>
  <c r="T16"/>
  <c r="H16"/>
  <c r="T15"/>
  <c r="H15"/>
  <c r="T14"/>
  <c r="J14"/>
  <c r="H14"/>
  <c r="T13"/>
  <c r="H13"/>
  <c r="T12"/>
  <c r="H12"/>
  <c r="T11"/>
  <c r="H11"/>
  <c r="T10"/>
  <c r="H10"/>
  <c r="X9"/>
  <c r="S9"/>
  <c r="R9"/>
  <c r="Q9"/>
  <c r="P9"/>
  <c r="O9"/>
  <c r="N9"/>
  <c r="M9"/>
  <c r="L9"/>
  <c r="I9"/>
  <c r="G9"/>
  <c r="F9"/>
  <c r="E9"/>
  <c r="D9"/>
  <c r="C9"/>
  <c r="T8"/>
  <c r="J8"/>
  <c r="H8"/>
  <c r="T7"/>
  <c r="J7"/>
  <c r="H7"/>
  <c r="T6"/>
  <c r="J6"/>
  <c r="H6"/>
  <c r="T5"/>
  <c r="H5"/>
  <c r="T4"/>
  <c r="H4"/>
  <c r="K43" i="25"/>
  <c r="K42"/>
  <c r="K40"/>
  <c r="K39"/>
  <c r="K38"/>
  <c r="K37"/>
  <c r="K36"/>
  <c r="K35"/>
  <c r="K34"/>
  <c r="K32"/>
  <c r="K31"/>
  <c r="K30"/>
  <c r="K29"/>
  <c r="K28"/>
  <c r="K27"/>
  <c r="J38" i="26" l="1"/>
  <c r="U36"/>
  <c r="T38"/>
  <c r="U35"/>
  <c r="H38"/>
  <c r="U34"/>
  <c r="U32"/>
  <c r="U31"/>
  <c r="U30"/>
  <c r="U29"/>
  <c r="U28"/>
  <c r="U27"/>
  <c r="U26"/>
  <c r="U24"/>
  <c r="K25"/>
  <c r="V25"/>
  <c r="L39"/>
  <c r="X39"/>
  <c r="P39"/>
  <c r="K17"/>
  <c r="I39"/>
  <c r="E39"/>
  <c r="Q39"/>
  <c r="O39"/>
  <c r="M39"/>
  <c r="N39"/>
  <c r="G39"/>
  <c r="R39"/>
  <c r="H9"/>
  <c r="F39"/>
  <c r="C39"/>
  <c r="D25"/>
  <c r="D39" s="1"/>
  <c r="J25"/>
  <c r="V9"/>
  <c r="J33"/>
  <c r="H33"/>
  <c r="H25"/>
  <c r="H17"/>
  <c r="T9"/>
  <c r="T33"/>
  <c r="T25"/>
  <c r="T17"/>
  <c r="V17"/>
  <c r="J17"/>
  <c r="J9"/>
  <c r="K9"/>
  <c r="K39" s="1"/>
  <c r="K26" i="25"/>
  <c r="K21"/>
  <c r="U38" i="26" l="1"/>
  <c r="V39"/>
  <c r="J39"/>
  <c r="T39"/>
  <c r="H39"/>
  <c r="U25"/>
  <c r="U33"/>
  <c r="U17"/>
  <c r="U9"/>
  <c r="K24" i="25"/>
  <c r="D21"/>
  <c r="K23"/>
  <c r="J23" s="1"/>
  <c r="K22"/>
  <c r="K20"/>
  <c r="K19"/>
  <c r="K18"/>
  <c r="J18" s="1"/>
  <c r="K16"/>
  <c r="K15"/>
  <c r="J15" s="1"/>
  <c r="K14"/>
  <c r="J14" s="1"/>
  <c r="K13"/>
  <c r="K12"/>
  <c r="K11"/>
  <c r="J11" s="1"/>
  <c r="K10"/>
  <c r="K2"/>
  <c r="J2" s="1"/>
  <c r="U2" s="1"/>
  <c r="K8"/>
  <c r="S44"/>
  <c r="W41"/>
  <c r="S41"/>
  <c r="R41"/>
  <c r="Q41"/>
  <c r="P41"/>
  <c r="O41"/>
  <c r="N41"/>
  <c r="M41"/>
  <c r="L41"/>
  <c r="K41"/>
  <c r="I41"/>
  <c r="G41"/>
  <c r="F41"/>
  <c r="E41"/>
  <c r="D41"/>
  <c r="C41"/>
  <c r="V43"/>
  <c r="T43"/>
  <c r="J43"/>
  <c r="H43"/>
  <c r="V42"/>
  <c r="T42"/>
  <c r="J42"/>
  <c r="H42"/>
  <c r="H38"/>
  <c r="J38"/>
  <c r="T38"/>
  <c r="V38"/>
  <c r="V7"/>
  <c r="T7"/>
  <c r="K7"/>
  <c r="J7" s="1"/>
  <c r="U7" s="1"/>
  <c r="H7"/>
  <c r="V6"/>
  <c r="T6"/>
  <c r="K6"/>
  <c r="J6" s="1"/>
  <c r="U6" s="1"/>
  <c r="H6"/>
  <c r="V5"/>
  <c r="T5"/>
  <c r="K5"/>
  <c r="J5"/>
  <c r="H5"/>
  <c r="U5" s="1"/>
  <c r="V4"/>
  <c r="T4"/>
  <c r="K4"/>
  <c r="J4" s="1"/>
  <c r="U4" s="1"/>
  <c r="H4"/>
  <c r="V3"/>
  <c r="T3"/>
  <c r="K3"/>
  <c r="J3"/>
  <c r="H3"/>
  <c r="U3" s="1"/>
  <c r="V2"/>
  <c r="T2"/>
  <c r="H2"/>
  <c r="V40"/>
  <c r="T40"/>
  <c r="J40"/>
  <c r="U40" s="1"/>
  <c r="H40"/>
  <c r="V39"/>
  <c r="T39"/>
  <c r="J39"/>
  <c r="U39" s="1"/>
  <c r="H39"/>
  <c r="V37"/>
  <c r="T37"/>
  <c r="J37"/>
  <c r="U37" s="1"/>
  <c r="H37"/>
  <c r="V36"/>
  <c r="T36"/>
  <c r="J36"/>
  <c r="H36"/>
  <c r="V35"/>
  <c r="T35"/>
  <c r="J35"/>
  <c r="H35"/>
  <c r="V34"/>
  <c r="T34"/>
  <c r="J34"/>
  <c r="H34"/>
  <c r="W33"/>
  <c r="S33"/>
  <c r="R33"/>
  <c r="Q33"/>
  <c r="P33"/>
  <c r="O33"/>
  <c r="N33"/>
  <c r="M33"/>
  <c r="L33"/>
  <c r="I33"/>
  <c r="G33"/>
  <c r="F33"/>
  <c r="E33"/>
  <c r="D33"/>
  <c r="C33"/>
  <c r="V32"/>
  <c r="T32"/>
  <c r="J32"/>
  <c r="H32"/>
  <c r="V31"/>
  <c r="T31"/>
  <c r="J31"/>
  <c r="H31"/>
  <c r="V30"/>
  <c r="T30"/>
  <c r="J30"/>
  <c r="H30"/>
  <c r="V29"/>
  <c r="T29"/>
  <c r="J29"/>
  <c r="H29"/>
  <c r="V28"/>
  <c r="T28"/>
  <c r="J28"/>
  <c r="U28" s="1"/>
  <c r="H28"/>
  <c r="V27"/>
  <c r="T27"/>
  <c r="J27"/>
  <c r="U27" s="1"/>
  <c r="H27"/>
  <c r="V26"/>
  <c r="T26"/>
  <c r="J26"/>
  <c r="H26"/>
  <c r="W25"/>
  <c r="S25"/>
  <c r="R25"/>
  <c r="Q25"/>
  <c r="P25"/>
  <c r="O25"/>
  <c r="N25"/>
  <c r="M25"/>
  <c r="L25"/>
  <c r="I25"/>
  <c r="G25"/>
  <c r="F25"/>
  <c r="E25"/>
  <c r="D25"/>
  <c r="C25"/>
  <c r="V24"/>
  <c r="T24"/>
  <c r="J24"/>
  <c r="H24"/>
  <c r="V23"/>
  <c r="T23"/>
  <c r="H23"/>
  <c r="V22"/>
  <c r="T22"/>
  <c r="J22"/>
  <c r="H22"/>
  <c r="V21"/>
  <c r="T21"/>
  <c r="J21"/>
  <c r="H21"/>
  <c r="V20"/>
  <c r="T20"/>
  <c r="J20"/>
  <c r="H20"/>
  <c r="V19"/>
  <c r="T19"/>
  <c r="J19"/>
  <c r="H19"/>
  <c r="V18"/>
  <c r="T18"/>
  <c r="H18"/>
  <c r="W17"/>
  <c r="S17"/>
  <c r="R17"/>
  <c r="Q17"/>
  <c r="P17"/>
  <c r="O17"/>
  <c r="N17"/>
  <c r="M17"/>
  <c r="L17"/>
  <c r="I17"/>
  <c r="G17"/>
  <c r="F17"/>
  <c r="E17"/>
  <c r="D17"/>
  <c r="C17"/>
  <c r="V16"/>
  <c r="T16"/>
  <c r="J16"/>
  <c r="H16"/>
  <c r="V15"/>
  <c r="T15"/>
  <c r="H15"/>
  <c r="V14"/>
  <c r="T14"/>
  <c r="H14"/>
  <c r="V13"/>
  <c r="T13"/>
  <c r="J13"/>
  <c r="H13"/>
  <c r="V12"/>
  <c r="T12"/>
  <c r="J12"/>
  <c r="H12"/>
  <c r="V11"/>
  <c r="T11"/>
  <c r="H11"/>
  <c r="V10"/>
  <c r="T10"/>
  <c r="J10"/>
  <c r="H10"/>
  <c r="W9"/>
  <c r="S9"/>
  <c r="R9"/>
  <c r="Q9"/>
  <c r="P9"/>
  <c r="O9"/>
  <c r="N9"/>
  <c r="M9"/>
  <c r="L9"/>
  <c r="G9"/>
  <c r="F9"/>
  <c r="E9"/>
  <c r="D9"/>
  <c r="V8"/>
  <c r="V9" s="1"/>
  <c r="T8"/>
  <c r="T9" s="1"/>
  <c r="J8"/>
  <c r="H8"/>
  <c r="H9" s="1"/>
  <c r="C9"/>
  <c r="U39" i="26" l="1"/>
  <c r="U43" i="25"/>
  <c r="U42"/>
  <c r="U38"/>
  <c r="V41"/>
  <c r="H41"/>
  <c r="J41"/>
  <c r="T41"/>
  <c r="U32"/>
  <c r="U29"/>
  <c r="T33"/>
  <c r="M44"/>
  <c r="U21"/>
  <c r="W44"/>
  <c r="U23"/>
  <c r="U20"/>
  <c r="V25"/>
  <c r="H25"/>
  <c r="F44"/>
  <c r="V17"/>
  <c r="U13"/>
  <c r="N44"/>
  <c r="C44"/>
  <c r="R44"/>
  <c r="Q44"/>
  <c r="L44"/>
  <c r="U11"/>
  <c r="P44"/>
  <c r="O44"/>
  <c r="G44"/>
  <c r="E44"/>
  <c r="D44"/>
  <c r="K9"/>
  <c r="U36"/>
  <c r="U34"/>
  <c r="U22"/>
  <c r="U19"/>
  <c r="T17"/>
  <c r="U12"/>
  <c r="U14"/>
  <c r="T25"/>
  <c r="V33"/>
  <c r="U30"/>
  <c r="U31"/>
  <c r="H33"/>
  <c r="U24"/>
  <c r="H17"/>
  <c r="U15"/>
  <c r="U16"/>
  <c r="U8"/>
  <c r="U9" s="1"/>
  <c r="J33"/>
  <c r="U26"/>
  <c r="U10"/>
  <c r="J17"/>
  <c r="U35"/>
  <c r="U18"/>
  <c r="J25"/>
  <c r="J9"/>
  <c r="K17"/>
  <c r="K25"/>
  <c r="I9"/>
  <c r="I44" s="1"/>
  <c r="K33"/>
  <c r="U41" l="1"/>
  <c r="V44"/>
  <c r="H44"/>
  <c r="T44"/>
  <c r="J44"/>
  <c r="K44"/>
  <c r="U25"/>
  <c r="U33"/>
  <c r="U17"/>
  <c r="U44" l="1"/>
  <c r="K39" i="24"/>
  <c r="J39" s="1"/>
  <c r="K38"/>
  <c r="K37"/>
  <c r="K36"/>
  <c r="K35"/>
  <c r="J35" s="1"/>
  <c r="K34"/>
  <c r="K32"/>
  <c r="K31"/>
  <c r="K30"/>
  <c r="K29"/>
  <c r="K28"/>
  <c r="J28" s="1"/>
  <c r="K27"/>
  <c r="J27" s="1"/>
  <c r="K26"/>
  <c r="K24"/>
  <c r="J24" s="1"/>
  <c r="K23"/>
  <c r="K22"/>
  <c r="J22" s="1"/>
  <c r="K21"/>
  <c r="K20"/>
  <c r="J20" s="1"/>
  <c r="K19"/>
  <c r="J19" s="1"/>
  <c r="K18"/>
  <c r="J18" s="1"/>
  <c r="K16"/>
  <c r="J16" s="1"/>
  <c r="K15"/>
  <c r="R14"/>
  <c r="K14"/>
  <c r="K13"/>
  <c r="K12"/>
  <c r="K11"/>
  <c r="J11" s="1"/>
  <c r="K10"/>
  <c r="K8"/>
  <c r="K6"/>
  <c r="J6" s="1"/>
  <c r="K7"/>
  <c r="I7"/>
  <c r="T7" s="1"/>
  <c r="D38" i="23"/>
  <c r="E38"/>
  <c r="F38"/>
  <c r="G38"/>
  <c r="H38"/>
  <c r="I38"/>
  <c r="J38"/>
  <c r="K38"/>
  <c r="L38"/>
  <c r="M38"/>
  <c r="N38"/>
  <c r="O38"/>
  <c r="P38"/>
  <c r="Q38"/>
  <c r="R38"/>
  <c r="S38"/>
  <c r="T38"/>
  <c r="U38"/>
  <c r="V38"/>
  <c r="W38"/>
  <c r="C38"/>
  <c r="S41" i="24"/>
  <c r="D40"/>
  <c r="E40"/>
  <c r="F40"/>
  <c r="G40"/>
  <c r="I40"/>
  <c r="L40"/>
  <c r="M40"/>
  <c r="N40"/>
  <c r="O40"/>
  <c r="P40"/>
  <c r="Q40"/>
  <c r="R40"/>
  <c r="S40"/>
  <c r="W40"/>
  <c r="C40"/>
  <c r="T5"/>
  <c r="K5"/>
  <c r="J5" s="1"/>
  <c r="U5" s="1"/>
  <c r="H5"/>
  <c r="V4"/>
  <c r="T4"/>
  <c r="K4"/>
  <c r="J4"/>
  <c r="U4" s="1"/>
  <c r="H4"/>
  <c r="V3"/>
  <c r="T3"/>
  <c r="K3"/>
  <c r="J3" s="1"/>
  <c r="U3" s="1"/>
  <c r="H3"/>
  <c r="K2"/>
  <c r="J2" s="1"/>
  <c r="I2"/>
  <c r="H2"/>
  <c r="C2"/>
  <c r="J36"/>
  <c r="J37"/>
  <c r="J38"/>
  <c r="H35"/>
  <c r="H36"/>
  <c r="H37"/>
  <c r="H38"/>
  <c r="H39"/>
  <c r="V6"/>
  <c r="V7"/>
  <c r="V12"/>
  <c r="V13"/>
  <c r="V32"/>
  <c r="T32"/>
  <c r="V31"/>
  <c r="T31"/>
  <c r="V30"/>
  <c r="T30"/>
  <c r="V29"/>
  <c r="T29"/>
  <c r="V28"/>
  <c r="T28"/>
  <c r="V27"/>
  <c r="T27"/>
  <c r="V26"/>
  <c r="T26"/>
  <c r="V39"/>
  <c r="V38"/>
  <c r="V37"/>
  <c r="V36"/>
  <c r="V35"/>
  <c r="V34"/>
  <c r="T36"/>
  <c r="T37"/>
  <c r="T38"/>
  <c r="T39"/>
  <c r="T35"/>
  <c r="J34"/>
  <c r="T34"/>
  <c r="H34"/>
  <c r="W33"/>
  <c r="S33"/>
  <c r="R33"/>
  <c r="Q33"/>
  <c r="P33"/>
  <c r="O33"/>
  <c r="N33"/>
  <c r="M33"/>
  <c r="L33"/>
  <c r="I33"/>
  <c r="G33"/>
  <c r="F33"/>
  <c r="E33"/>
  <c r="D33"/>
  <c r="C33"/>
  <c r="J32"/>
  <c r="H32"/>
  <c r="J31"/>
  <c r="H31"/>
  <c r="J30"/>
  <c r="H30"/>
  <c r="J29"/>
  <c r="H29"/>
  <c r="H28"/>
  <c r="H27"/>
  <c r="H26"/>
  <c r="W25"/>
  <c r="S25"/>
  <c r="R25"/>
  <c r="Q25"/>
  <c r="P25"/>
  <c r="O25"/>
  <c r="N25"/>
  <c r="M25"/>
  <c r="L25"/>
  <c r="G25"/>
  <c r="F25"/>
  <c r="E25"/>
  <c r="D25"/>
  <c r="C25"/>
  <c r="V24"/>
  <c r="T24"/>
  <c r="H24"/>
  <c r="V23"/>
  <c r="T23"/>
  <c r="J23"/>
  <c r="H23"/>
  <c r="V22"/>
  <c r="T22"/>
  <c r="H22"/>
  <c r="V21"/>
  <c r="T21"/>
  <c r="J21"/>
  <c r="H21"/>
  <c r="V20"/>
  <c r="T20"/>
  <c r="H20"/>
  <c r="V19"/>
  <c r="T19"/>
  <c r="H19"/>
  <c r="V18"/>
  <c r="T18"/>
  <c r="H18"/>
  <c r="W17"/>
  <c r="S17"/>
  <c r="R17"/>
  <c r="Q17"/>
  <c r="P17"/>
  <c r="O17"/>
  <c r="N17"/>
  <c r="M17"/>
  <c r="L17"/>
  <c r="I17"/>
  <c r="G17"/>
  <c r="F17"/>
  <c r="E17"/>
  <c r="D17"/>
  <c r="C17"/>
  <c r="V16"/>
  <c r="T16"/>
  <c r="H16"/>
  <c r="V15"/>
  <c r="T15"/>
  <c r="J15"/>
  <c r="H15"/>
  <c r="V14"/>
  <c r="T14"/>
  <c r="J14"/>
  <c r="H14"/>
  <c r="T13"/>
  <c r="J13"/>
  <c r="H13"/>
  <c r="T12"/>
  <c r="J12"/>
  <c r="H12"/>
  <c r="V11"/>
  <c r="T11"/>
  <c r="H11"/>
  <c r="V10"/>
  <c r="T10"/>
  <c r="J10"/>
  <c r="H10"/>
  <c r="W9"/>
  <c r="S9"/>
  <c r="R9"/>
  <c r="Q9"/>
  <c r="P9"/>
  <c r="O9"/>
  <c r="N9"/>
  <c r="M9"/>
  <c r="L9"/>
  <c r="G9"/>
  <c r="F9"/>
  <c r="E9"/>
  <c r="D9"/>
  <c r="V8"/>
  <c r="T8"/>
  <c r="J8"/>
  <c r="H8"/>
  <c r="J7"/>
  <c r="H7"/>
  <c r="T6"/>
  <c r="H6"/>
  <c r="U39" l="1"/>
  <c r="U38"/>
  <c r="U36"/>
  <c r="H40"/>
  <c r="K40"/>
  <c r="J40"/>
  <c r="T40"/>
  <c r="V40"/>
  <c r="U32"/>
  <c r="U31"/>
  <c r="U30"/>
  <c r="U29"/>
  <c r="U28"/>
  <c r="K33"/>
  <c r="U27"/>
  <c r="W41"/>
  <c r="R41"/>
  <c r="P41"/>
  <c r="N41"/>
  <c r="L41"/>
  <c r="E41"/>
  <c r="D41"/>
  <c r="G41"/>
  <c r="F41"/>
  <c r="Q41"/>
  <c r="O41"/>
  <c r="M41"/>
  <c r="I9"/>
  <c r="I41" s="1"/>
  <c r="U2"/>
  <c r="T2"/>
  <c r="T9" s="1"/>
  <c r="U37"/>
  <c r="C9"/>
  <c r="C41" s="1"/>
  <c r="J17"/>
  <c r="V9"/>
  <c r="U7"/>
  <c r="U16"/>
  <c r="H25"/>
  <c r="U6"/>
  <c r="U12"/>
  <c r="U20"/>
  <c r="U22"/>
  <c r="T33"/>
  <c r="U35"/>
  <c r="V25"/>
  <c r="H9"/>
  <c r="U8"/>
  <c r="V17"/>
  <c r="T17"/>
  <c r="U14"/>
  <c r="U21"/>
  <c r="H33"/>
  <c r="U15"/>
  <c r="U24"/>
  <c r="U13"/>
  <c r="H17"/>
  <c r="T25"/>
  <c r="U23"/>
  <c r="J26"/>
  <c r="U26" s="1"/>
  <c r="V33"/>
  <c r="K9"/>
  <c r="J9"/>
  <c r="U34"/>
  <c r="J25"/>
  <c r="U18"/>
  <c r="I25"/>
  <c r="U11"/>
  <c r="J33"/>
  <c r="K17"/>
  <c r="U19"/>
  <c r="K25"/>
  <c r="U10"/>
  <c r="U40" l="1"/>
  <c r="J41"/>
  <c r="T41"/>
  <c r="K41"/>
  <c r="V41"/>
  <c r="H41"/>
  <c r="U9"/>
  <c r="U33"/>
  <c r="U25"/>
  <c r="U17"/>
  <c r="U41" l="1"/>
  <c r="K37" i="23"/>
  <c r="J37" s="1"/>
  <c r="K36"/>
  <c r="J36" s="1"/>
  <c r="K35"/>
  <c r="J35" s="1"/>
  <c r="K34"/>
  <c r="J34" s="1"/>
  <c r="I34"/>
  <c r="C34"/>
  <c r="H34" s="1"/>
  <c r="K32"/>
  <c r="K31"/>
  <c r="J31" s="1"/>
  <c r="K30"/>
  <c r="J30" s="1"/>
  <c r="K29"/>
  <c r="J29" s="1"/>
  <c r="K28"/>
  <c r="J28" s="1"/>
  <c r="K27"/>
  <c r="J27" s="1"/>
  <c r="K26"/>
  <c r="K24"/>
  <c r="K23"/>
  <c r="J23" s="1"/>
  <c r="K22"/>
  <c r="K21"/>
  <c r="J21" s="1"/>
  <c r="K20"/>
  <c r="K19"/>
  <c r="J19" s="1"/>
  <c r="I19"/>
  <c r="K18"/>
  <c r="K16"/>
  <c r="K15"/>
  <c r="K14"/>
  <c r="K13"/>
  <c r="K12"/>
  <c r="K11"/>
  <c r="J11" s="1"/>
  <c r="K10"/>
  <c r="T14"/>
  <c r="T13"/>
  <c r="K8"/>
  <c r="K7"/>
  <c r="J7" s="1"/>
  <c r="K6"/>
  <c r="K5"/>
  <c r="J5" s="1"/>
  <c r="K4"/>
  <c r="K3"/>
  <c r="J3" s="1"/>
  <c r="D35" i="22"/>
  <c r="E35"/>
  <c r="F35"/>
  <c r="G35"/>
  <c r="H35"/>
  <c r="I35"/>
  <c r="J35"/>
  <c r="K35"/>
  <c r="L35"/>
  <c r="M35"/>
  <c r="N35"/>
  <c r="O35"/>
  <c r="P35"/>
  <c r="Q35"/>
  <c r="R35"/>
  <c r="S35"/>
  <c r="T35"/>
  <c r="U35"/>
  <c r="V35"/>
  <c r="W35"/>
  <c r="C35"/>
  <c r="V2" i="23"/>
  <c r="T2"/>
  <c r="K2"/>
  <c r="J2" s="1"/>
  <c r="U2" s="1"/>
  <c r="H2"/>
  <c r="V7"/>
  <c r="V10"/>
  <c r="V15"/>
  <c r="V16"/>
  <c r="V26"/>
  <c r="V18"/>
  <c r="V19"/>
  <c r="V20"/>
  <c r="J32"/>
  <c r="J26"/>
  <c r="T37"/>
  <c r="H37"/>
  <c r="V36"/>
  <c r="T36"/>
  <c r="H36"/>
  <c r="V35"/>
  <c r="T35"/>
  <c r="H35"/>
  <c r="T34"/>
  <c r="W33"/>
  <c r="S33"/>
  <c r="R33"/>
  <c r="Q33"/>
  <c r="P33"/>
  <c r="O33"/>
  <c r="N33"/>
  <c r="M33"/>
  <c r="L33"/>
  <c r="I33"/>
  <c r="G33"/>
  <c r="F33"/>
  <c r="E33"/>
  <c r="D33"/>
  <c r="C33"/>
  <c r="V32"/>
  <c r="T32"/>
  <c r="H32"/>
  <c r="V31"/>
  <c r="T31"/>
  <c r="H31"/>
  <c r="V30"/>
  <c r="T30"/>
  <c r="H30"/>
  <c r="T29"/>
  <c r="H29"/>
  <c r="V28"/>
  <c r="T28"/>
  <c r="H28"/>
  <c r="V27"/>
  <c r="T27"/>
  <c r="H27"/>
  <c r="T26"/>
  <c r="H26"/>
  <c r="W25"/>
  <c r="S25"/>
  <c r="R25"/>
  <c r="Q25"/>
  <c r="P25"/>
  <c r="O25"/>
  <c r="N25"/>
  <c r="M25"/>
  <c r="L25"/>
  <c r="I25"/>
  <c r="G25"/>
  <c r="F25"/>
  <c r="E25"/>
  <c r="D25"/>
  <c r="C25"/>
  <c r="V24"/>
  <c r="T24"/>
  <c r="J24"/>
  <c r="H24"/>
  <c r="V23"/>
  <c r="T23"/>
  <c r="H23"/>
  <c r="V22"/>
  <c r="T22"/>
  <c r="J22"/>
  <c r="H22"/>
  <c r="V21"/>
  <c r="T21"/>
  <c r="H21"/>
  <c r="T20"/>
  <c r="J20"/>
  <c r="H20"/>
  <c r="T19"/>
  <c r="H19"/>
  <c r="T18"/>
  <c r="J18"/>
  <c r="H18"/>
  <c r="W17"/>
  <c r="S17"/>
  <c r="Q17"/>
  <c r="P17"/>
  <c r="O17"/>
  <c r="N17"/>
  <c r="M17"/>
  <c r="L17"/>
  <c r="I17"/>
  <c r="G17"/>
  <c r="F17"/>
  <c r="E17"/>
  <c r="D17"/>
  <c r="C17"/>
  <c r="T16"/>
  <c r="J16"/>
  <c r="H16"/>
  <c r="T15"/>
  <c r="J15"/>
  <c r="H15"/>
  <c r="V14"/>
  <c r="J14"/>
  <c r="H14"/>
  <c r="V13"/>
  <c r="J13"/>
  <c r="H13"/>
  <c r="J12"/>
  <c r="H12"/>
  <c r="V11"/>
  <c r="T11"/>
  <c r="H11"/>
  <c r="T10"/>
  <c r="H10"/>
  <c r="W9"/>
  <c r="S9"/>
  <c r="R9"/>
  <c r="Q9"/>
  <c r="P9"/>
  <c r="O9"/>
  <c r="N9"/>
  <c r="M9"/>
  <c r="L9"/>
  <c r="I9"/>
  <c r="G9"/>
  <c r="F9"/>
  <c r="E9"/>
  <c r="D9"/>
  <c r="C9"/>
  <c r="V8"/>
  <c r="T8"/>
  <c r="J8"/>
  <c r="H8"/>
  <c r="T7"/>
  <c r="H7"/>
  <c r="V6"/>
  <c r="T6"/>
  <c r="J6"/>
  <c r="H6"/>
  <c r="V5"/>
  <c r="T5"/>
  <c r="H5"/>
  <c r="V4"/>
  <c r="T4"/>
  <c r="J4"/>
  <c r="H4"/>
  <c r="V3"/>
  <c r="T3"/>
  <c r="H3"/>
  <c r="K34" i="22"/>
  <c r="K32"/>
  <c r="J32" s="1"/>
  <c r="K31"/>
  <c r="K30"/>
  <c r="K29"/>
  <c r="K28"/>
  <c r="K27"/>
  <c r="K26"/>
  <c r="K24"/>
  <c r="K23"/>
  <c r="U37" i="23" l="1"/>
  <c r="U35"/>
  <c r="U30"/>
  <c r="U29"/>
  <c r="U28"/>
  <c r="U27"/>
  <c r="J33"/>
  <c r="K17"/>
  <c r="R17"/>
  <c r="T12"/>
  <c r="T17" s="1"/>
  <c r="V25"/>
  <c r="U34"/>
  <c r="U36"/>
  <c r="U31"/>
  <c r="U26"/>
  <c r="U12"/>
  <c r="U22"/>
  <c r="U24"/>
  <c r="U6"/>
  <c r="U19"/>
  <c r="U8"/>
  <c r="U15"/>
  <c r="U16"/>
  <c r="U20"/>
  <c r="U11"/>
  <c r="J25"/>
  <c r="H9"/>
  <c r="J10"/>
  <c r="J17" s="1"/>
  <c r="K9"/>
  <c r="U5"/>
  <c r="T9"/>
  <c r="U13"/>
  <c r="U14"/>
  <c r="T25"/>
  <c r="U21"/>
  <c r="T33"/>
  <c r="U32"/>
  <c r="K33"/>
  <c r="V9"/>
  <c r="U4"/>
  <c r="U7"/>
  <c r="V17"/>
  <c r="H25"/>
  <c r="U23"/>
  <c r="V33"/>
  <c r="U3"/>
  <c r="H33"/>
  <c r="H17"/>
  <c r="U18"/>
  <c r="K25"/>
  <c r="K22" i="22"/>
  <c r="K21"/>
  <c r="K20"/>
  <c r="U33" i="23" l="1"/>
  <c r="U25"/>
  <c r="U10"/>
  <c r="U17" s="1"/>
  <c r="J9"/>
  <c r="U9"/>
  <c r="K19" i="22"/>
  <c r="K18"/>
  <c r="K16"/>
  <c r="K15"/>
  <c r="K14"/>
  <c r="K13"/>
  <c r="K12"/>
  <c r="K11"/>
  <c r="J11" s="1"/>
  <c r="K10"/>
  <c r="K8"/>
  <c r="K7"/>
  <c r="J7" s="1"/>
  <c r="K6"/>
  <c r="J6" s="1"/>
  <c r="K5"/>
  <c r="K4"/>
  <c r="V2"/>
  <c r="T2"/>
  <c r="K2"/>
  <c r="J2" s="1"/>
  <c r="U2" s="1"/>
  <c r="H2"/>
  <c r="T3"/>
  <c r="U3"/>
  <c r="V3"/>
  <c r="K3"/>
  <c r="K42" i="21"/>
  <c r="V13" i="22"/>
  <c r="V34"/>
  <c r="T34"/>
  <c r="J34"/>
  <c r="H34"/>
  <c r="W33"/>
  <c r="S33"/>
  <c r="R33"/>
  <c r="Q33"/>
  <c r="P33"/>
  <c r="O33"/>
  <c r="N33"/>
  <c r="M33"/>
  <c r="L33"/>
  <c r="I33"/>
  <c r="G33"/>
  <c r="F33"/>
  <c r="E33"/>
  <c r="D33"/>
  <c r="C33"/>
  <c r="V32"/>
  <c r="T32"/>
  <c r="H32"/>
  <c r="V31"/>
  <c r="T31"/>
  <c r="H31"/>
  <c r="V30"/>
  <c r="T30"/>
  <c r="H30"/>
  <c r="T29"/>
  <c r="H29"/>
  <c r="V28"/>
  <c r="T28"/>
  <c r="H28"/>
  <c r="U28" s="1"/>
  <c r="V27"/>
  <c r="T27"/>
  <c r="H27"/>
  <c r="T26"/>
  <c r="K33"/>
  <c r="H26"/>
  <c r="W25"/>
  <c r="S25"/>
  <c r="R25"/>
  <c r="Q25"/>
  <c r="P25"/>
  <c r="O25"/>
  <c r="N25"/>
  <c r="M25"/>
  <c r="L25"/>
  <c r="I25"/>
  <c r="G25"/>
  <c r="F25"/>
  <c r="E25"/>
  <c r="D25"/>
  <c r="C25"/>
  <c r="V24"/>
  <c r="T24"/>
  <c r="J24"/>
  <c r="H24"/>
  <c r="V23"/>
  <c r="T23"/>
  <c r="J23"/>
  <c r="H23"/>
  <c r="V22"/>
  <c r="T22"/>
  <c r="J22"/>
  <c r="H22"/>
  <c r="V21"/>
  <c r="T21"/>
  <c r="J21"/>
  <c r="H21"/>
  <c r="T20"/>
  <c r="J20"/>
  <c r="H20"/>
  <c r="T19"/>
  <c r="J19"/>
  <c r="H19"/>
  <c r="T18"/>
  <c r="K25"/>
  <c r="H18"/>
  <c r="W17"/>
  <c r="S17"/>
  <c r="R17"/>
  <c r="Q17"/>
  <c r="P17"/>
  <c r="O17"/>
  <c r="N17"/>
  <c r="M17"/>
  <c r="L17"/>
  <c r="I17"/>
  <c r="G17"/>
  <c r="F17"/>
  <c r="E17"/>
  <c r="D17"/>
  <c r="C17"/>
  <c r="T16"/>
  <c r="J16"/>
  <c r="H16"/>
  <c r="V15"/>
  <c r="T15"/>
  <c r="J15"/>
  <c r="H15"/>
  <c r="V14"/>
  <c r="T14"/>
  <c r="J14"/>
  <c r="H14"/>
  <c r="T13"/>
  <c r="J13"/>
  <c r="H13"/>
  <c r="V12"/>
  <c r="T12"/>
  <c r="J12"/>
  <c r="H12"/>
  <c r="V11"/>
  <c r="T11"/>
  <c r="H11"/>
  <c r="T10"/>
  <c r="H10"/>
  <c r="W9"/>
  <c r="S9"/>
  <c r="R9"/>
  <c r="Q9"/>
  <c r="P9"/>
  <c r="O9"/>
  <c r="N9"/>
  <c r="M9"/>
  <c r="L9"/>
  <c r="I9"/>
  <c r="G9"/>
  <c r="F9"/>
  <c r="E9"/>
  <c r="D9"/>
  <c r="C9"/>
  <c r="V8"/>
  <c r="T8"/>
  <c r="J8"/>
  <c r="H8"/>
  <c r="T7"/>
  <c r="H7"/>
  <c r="V6"/>
  <c r="T6"/>
  <c r="H6"/>
  <c r="V5"/>
  <c r="T5"/>
  <c r="J5"/>
  <c r="H5"/>
  <c r="V4"/>
  <c r="T4"/>
  <c r="J4"/>
  <c r="H4"/>
  <c r="H3"/>
  <c r="U34" l="1"/>
  <c r="U21"/>
  <c r="U19"/>
  <c r="K17"/>
  <c r="H17"/>
  <c r="K9"/>
  <c r="H33"/>
  <c r="T33"/>
  <c r="U4"/>
  <c r="U5"/>
  <c r="T25"/>
  <c r="T17"/>
  <c r="T9"/>
  <c r="V33"/>
  <c r="U27"/>
  <c r="U29"/>
  <c r="U30"/>
  <c r="U31"/>
  <c r="U32"/>
  <c r="H25"/>
  <c r="V25"/>
  <c r="U23"/>
  <c r="U24"/>
  <c r="V17"/>
  <c r="U11"/>
  <c r="U12"/>
  <c r="U14"/>
  <c r="U15"/>
  <c r="H9"/>
  <c r="V9"/>
  <c r="U7"/>
  <c r="U8"/>
  <c r="J18"/>
  <c r="U18" s="1"/>
  <c r="J10"/>
  <c r="U10" s="1"/>
  <c r="U22"/>
  <c r="U6"/>
  <c r="U13"/>
  <c r="U16"/>
  <c r="U20"/>
  <c r="J25"/>
  <c r="J17"/>
  <c r="J3"/>
  <c r="K40" i="21"/>
  <c r="C41"/>
  <c r="K39"/>
  <c r="K38"/>
  <c r="E36" i="19"/>
  <c r="F36"/>
  <c r="G36"/>
  <c r="H36"/>
  <c r="I36"/>
  <c r="J36"/>
  <c r="K36"/>
  <c r="L36"/>
  <c r="M36"/>
  <c r="N36"/>
  <c r="O36"/>
  <c r="P36"/>
  <c r="Q36"/>
  <c r="R36"/>
  <c r="S36"/>
  <c r="T36"/>
  <c r="U36"/>
  <c r="V36"/>
  <c r="W36"/>
  <c r="D36"/>
  <c r="C36"/>
  <c r="K37" i="21"/>
  <c r="K34"/>
  <c r="O36"/>
  <c r="K36"/>
  <c r="K35"/>
  <c r="D9"/>
  <c r="E9"/>
  <c r="F9"/>
  <c r="G9"/>
  <c r="H9"/>
  <c r="I9"/>
  <c r="J9"/>
  <c r="K9"/>
  <c r="L9"/>
  <c r="M9"/>
  <c r="N9"/>
  <c r="O9"/>
  <c r="P9"/>
  <c r="Q9"/>
  <c r="R9"/>
  <c r="S9"/>
  <c r="T9"/>
  <c r="U9"/>
  <c r="V9"/>
  <c r="W9"/>
  <c r="C9"/>
  <c r="V6"/>
  <c r="T6"/>
  <c r="K6"/>
  <c r="J6" s="1"/>
  <c r="U6" s="1"/>
  <c r="H6"/>
  <c r="V5"/>
  <c r="T5"/>
  <c r="K5"/>
  <c r="J5" s="1"/>
  <c r="U5" s="1"/>
  <c r="H5"/>
  <c r="V4"/>
  <c r="T4"/>
  <c r="K4"/>
  <c r="J4" s="1"/>
  <c r="U4" s="1"/>
  <c r="H4"/>
  <c r="V3"/>
  <c r="T3"/>
  <c r="K3"/>
  <c r="J3" s="1"/>
  <c r="U3" s="1"/>
  <c r="H3"/>
  <c r="T2"/>
  <c r="J2"/>
  <c r="U2" s="1"/>
  <c r="H2"/>
  <c r="U25" i="22" l="1"/>
  <c r="U17"/>
  <c r="J9"/>
  <c r="J33"/>
  <c r="U26"/>
  <c r="U33" s="1"/>
  <c r="U9"/>
  <c r="K32" i="21"/>
  <c r="K31"/>
  <c r="K30"/>
  <c r="K29"/>
  <c r="K27"/>
  <c r="K26"/>
  <c r="K24"/>
  <c r="K23"/>
  <c r="K22"/>
  <c r="K21"/>
  <c r="K20"/>
  <c r="J20" s="1"/>
  <c r="K19"/>
  <c r="K18"/>
  <c r="K16"/>
  <c r="J16" s="1"/>
  <c r="K15"/>
  <c r="K13"/>
  <c r="K12"/>
  <c r="K11"/>
  <c r="K10"/>
  <c r="K8"/>
  <c r="K7"/>
  <c r="V40"/>
  <c r="T40"/>
  <c r="J40"/>
  <c r="H40"/>
  <c r="V39"/>
  <c r="T39"/>
  <c r="J39"/>
  <c r="H39"/>
  <c r="V38"/>
  <c r="T38"/>
  <c r="J38"/>
  <c r="H38"/>
  <c r="V37"/>
  <c r="T37"/>
  <c r="J37"/>
  <c r="H37"/>
  <c r="V36"/>
  <c r="T36"/>
  <c r="J36"/>
  <c r="H36"/>
  <c r="V35"/>
  <c r="T35"/>
  <c r="J35"/>
  <c r="H35"/>
  <c r="V34"/>
  <c r="T34"/>
  <c r="J34"/>
  <c r="H34"/>
  <c r="W41"/>
  <c r="S41"/>
  <c r="R41"/>
  <c r="Q41"/>
  <c r="P41"/>
  <c r="O41"/>
  <c r="N41"/>
  <c r="M41"/>
  <c r="L41"/>
  <c r="K41"/>
  <c r="I41"/>
  <c r="G41"/>
  <c r="F41"/>
  <c r="E41"/>
  <c r="D41"/>
  <c r="U38" l="1"/>
  <c r="U37"/>
  <c r="U36"/>
  <c r="V41"/>
  <c r="U35"/>
  <c r="T41"/>
  <c r="J41"/>
  <c r="U39"/>
  <c r="U40"/>
  <c r="H41"/>
  <c r="U34"/>
  <c r="U41" l="1"/>
  <c r="V42" l="1"/>
  <c r="T42"/>
  <c r="J42"/>
  <c r="H42"/>
  <c r="W33"/>
  <c r="S33"/>
  <c r="R33"/>
  <c r="Q33"/>
  <c r="P33"/>
  <c r="O33"/>
  <c r="N33"/>
  <c r="M33"/>
  <c r="L33"/>
  <c r="I33"/>
  <c r="G33"/>
  <c r="F33"/>
  <c r="E33"/>
  <c r="D33"/>
  <c r="C33"/>
  <c r="V32"/>
  <c r="T32"/>
  <c r="J32"/>
  <c r="H32"/>
  <c r="V31"/>
  <c r="T31"/>
  <c r="J31"/>
  <c r="H31"/>
  <c r="V30"/>
  <c r="T30"/>
  <c r="J30"/>
  <c r="H30"/>
  <c r="V29"/>
  <c r="T29"/>
  <c r="J29"/>
  <c r="H29"/>
  <c r="V28"/>
  <c r="T28"/>
  <c r="H28"/>
  <c r="V27"/>
  <c r="T27"/>
  <c r="J27"/>
  <c r="H27"/>
  <c r="V26"/>
  <c r="T26"/>
  <c r="J26"/>
  <c r="H26"/>
  <c r="W25"/>
  <c r="S25"/>
  <c r="R25"/>
  <c r="Q25"/>
  <c r="P25"/>
  <c r="O25"/>
  <c r="N25"/>
  <c r="M25"/>
  <c r="L25"/>
  <c r="I25"/>
  <c r="G25"/>
  <c r="F25"/>
  <c r="E25"/>
  <c r="D25"/>
  <c r="C25"/>
  <c r="V24"/>
  <c r="T24"/>
  <c r="J24"/>
  <c r="H24"/>
  <c r="V23"/>
  <c r="T23"/>
  <c r="J23"/>
  <c r="H23"/>
  <c r="V22"/>
  <c r="T22"/>
  <c r="J22"/>
  <c r="H22"/>
  <c r="V21"/>
  <c r="T21"/>
  <c r="J21"/>
  <c r="H21"/>
  <c r="V20"/>
  <c r="T20"/>
  <c r="H20"/>
  <c r="U20" s="1"/>
  <c r="V19"/>
  <c r="T19"/>
  <c r="J19"/>
  <c r="H19"/>
  <c r="V18"/>
  <c r="T18"/>
  <c r="K25"/>
  <c r="H18"/>
  <c r="W17"/>
  <c r="S17"/>
  <c r="R17"/>
  <c r="Q17"/>
  <c r="P17"/>
  <c r="O17"/>
  <c r="N17"/>
  <c r="M17"/>
  <c r="L17"/>
  <c r="I17"/>
  <c r="G17"/>
  <c r="F17"/>
  <c r="E17"/>
  <c r="C17"/>
  <c r="V16"/>
  <c r="T16"/>
  <c r="H16"/>
  <c r="U16" s="1"/>
  <c r="V15"/>
  <c r="T15"/>
  <c r="J15"/>
  <c r="H15"/>
  <c r="V14"/>
  <c r="T14"/>
  <c r="J14"/>
  <c r="H14"/>
  <c r="T13"/>
  <c r="J13"/>
  <c r="H13"/>
  <c r="D17"/>
  <c r="V12"/>
  <c r="T12"/>
  <c r="J12"/>
  <c r="H12"/>
  <c r="V11"/>
  <c r="T11"/>
  <c r="J11"/>
  <c r="H11"/>
  <c r="V10"/>
  <c r="T10"/>
  <c r="K17"/>
  <c r="J10"/>
  <c r="H10"/>
  <c r="V8"/>
  <c r="T8"/>
  <c r="J8"/>
  <c r="H8"/>
  <c r="V7"/>
  <c r="T7"/>
  <c r="J7"/>
  <c r="H7"/>
  <c r="D39" i="20"/>
  <c r="E39"/>
  <c r="F39"/>
  <c r="G39"/>
  <c r="H39"/>
  <c r="I39"/>
  <c r="J39"/>
  <c r="K39"/>
  <c r="L39"/>
  <c r="M39"/>
  <c r="N39"/>
  <c r="O39"/>
  <c r="P39"/>
  <c r="Q39"/>
  <c r="R39"/>
  <c r="S39"/>
  <c r="T39"/>
  <c r="U39"/>
  <c r="V39"/>
  <c r="W39"/>
  <c r="C39"/>
  <c r="K38"/>
  <c r="K37"/>
  <c r="K36"/>
  <c r="K35"/>
  <c r="K30"/>
  <c r="K31"/>
  <c r="U28" i="21" l="1"/>
  <c r="S43"/>
  <c r="U21"/>
  <c r="U22"/>
  <c r="U23"/>
  <c r="E43"/>
  <c r="P43"/>
  <c r="W43"/>
  <c r="L43"/>
  <c r="V17"/>
  <c r="C43"/>
  <c r="D43"/>
  <c r="Q43"/>
  <c r="F43"/>
  <c r="M43"/>
  <c r="I43"/>
  <c r="G43"/>
  <c r="R43"/>
  <c r="O43"/>
  <c r="N43"/>
  <c r="H17"/>
  <c r="J17"/>
  <c r="J33"/>
  <c r="U26"/>
  <c r="U27"/>
  <c r="T33"/>
  <c r="T25"/>
  <c r="T17"/>
  <c r="V33"/>
  <c r="U29"/>
  <c r="U30"/>
  <c r="U31"/>
  <c r="U32"/>
  <c r="H25"/>
  <c r="V25"/>
  <c r="U19"/>
  <c r="U24"/>
  <c r="U11"/>
  <c r="U13"/>
  <c r="U14"/>
  <c r="U15"/>
  <c r="U12"/>
  <c r="U7"/>
  <c r="U8"/>
  <c r="U42"/>
  <c r="J18"/>
  <c r="H33"/>
  <c r="K33"/>
  <c r="K43" s="1"/>
  <c r="U10"/>
  <c r="K32" i="20"/>
  <c r="K33" s="1"/>
  <c r="K29"/>
  <c r="J29" s="1"/>
  <c r="U29" s="1"/>
  <c r="W27"/>
  <c r="W33" s="1"/>
  <c r="D25"/>
  <c r="K18"/>
  <c r="K25" s="1"/>
  <c r="K15"/>
  <c r="J15" s="1"/>
  <c r="U15" s="1"/>
  <c r="K14"/>
  <c r="J14" s="1"/>
  <c r="J13"/>
  <c r="D13"/>
  <c r="D17" s="1"/>
  <c r="K12"/>
  <c r="K11"/>
  <c r="J11" s="1"/>
  <c r="K10"/>
  <c r="K8"/>
  <c r="J8" s="1"/>
  <c r="K3"/>
  <c r="J3"/>
  <c r="K2"/>
  <c r="J2" s="1"/>
  <c r="V2"/>
  <c r="V3"/>
  <c r="V4"/>
  <c r="U4"/>
  <c r="T2"/>
  <c r="T3"/>
  <c r="T4"/>
  <c r="K4"/>
  <c r="J4"/>
  <c r="H2"/>
  <c r="H3"/>
  <c r="U3" s="1"/>
  <c r="H4"/>
  <c r="K6"/>
  <c r="J6" s="1"/>
  <c r="K5"/>
  <c r="V19"/>
  <c r="V13"/>
  <c r="J35"/>
  <c r="J36"/>
  <c r="J37"/>
  <c r="J38"/>
  <c r="J34"/>
  <c r="T35"/>
  <c r="V35"/>
  <c r="T36"/>
  <c r="V36"/>
  <c r="T37"/>
  <c r="V37"/>
  <c r="T38"/>
  <c r="V38"/>
  <c r="H35"/>
  <c r="H36"/>
  <c r="H37"/>
  <c r="H38"/>
  <c r="T34"/>
  <c r="H34"/>
  <c r="S33"/>
  <c r="R33"/>
  <c r="Q33"/>
  <c r="P33"/>
  <c r="O33"/>
  <c r="N33"/>
  <c r="M33"/>
  <c r="L33"/>
  <c r="I33"/>
  <c r="G33"/>
  <c r="F33"/>
  <c r="E33"/>
  <c r="D33"/>
  <c r="C33"/>
  <c r="V32"/>
  <c r="T32"/>
  <c r="J32"/>
  <c r="H32"/>
  <c r="V31"/>
  <c r="T31"/>
  <c r="J31"/>
  <c r="H31"/>
  <c r="V30"/>
  <c r="T30"/>
  <c r="J30"/>
  <c r="H30"/>
  <c r="V29"/>
  <c r="T29"/>
  <c r="H29"/>
  <c r="V28"/>
  <c r="T28"/>
  <c r="J28"/>
  <c r="H28"/>
  <c r="T27"/>
  <c r="J27"/>
  <c r="H27"/>
  <c r="V26"/>
  <c r="T26"/>
  <c r="J26"/>
  <c r="U26" s="1"/>
  <c r="H26"/>
  <c r="S25"/>
  <c r="R25"/>
  <c r="Q25"/>
  <c r="P25"/>
  <c r="O25"/>
  <c r="N25"/>
  <c r="M25"/>
  <c r="L25"/>
  <c r="I25"/>
  <c r="G25"/>
  <c r="F25"/>
  <c r="E25"/>
  <c r="C25"/>
  <c r="V24"/>
  <c r="T24"/>
  <c r="J24"/>
  <c r="H24"/>
  <c r="V23"/>
  <c r="T23"/>
  <c r="J23"/>
  <c r="V22"/>
  <c r="T22"/>
  <c r="J22"/>
  <c r="H22"/>
  <c r="V21"/>
  <c r="T21"/>
  <c r="J21"/>
  <c r="H21"/>
  <c r="V20"/>
  <c r="T20"/>
  <c r="H20"/>
  <c r="W25"/>
  <c r="T19"/>
  <c r="J19"/>
  <c r="H19"/>
  <c r="V18"/>
  <c r="T18"/>
  <c r="H18"/>
  <c r="W17"/>
  <c r="S17"/>
  <c r="R17"/>
  <c r="Q17"/>
  <c r="P17"/>
  <c r="O17"/>
  <c r="N17"/>
  <c r="M17"/>
  <c r="L17"/>
  <c r="G17"/>
  <c r="F17"/>
  <c r="E17"/>
  <c r="C17"/>
  <c r="V16"/>
  <c r="T16"/>
  <c r="H16"/>
  <c r="V15"/>
  <c r="T15"/>
  <c r="H15"/>
  <c r="V14"/>
  <c r="H14"/>
  <c r="T13"/>
  <c r="H13"/>
  <c r="V12"/>
  <c r="T12"/>
  <c r="J12"/>
  <c r="H12"/>
  <c r="V11"/>
  <c r="T11"/>
  <c r="H11"/>
  <c r="V10"/>
  <c r="T10"/>
  <c r="J10"/>
  <c r="H10"/>
  <c r="W9"/>
  <c r="S9"/>
  <c r="Q9"/>
  <c r="P9"/>
  <c r="O9"/>
  <c r="N9"/>
  <c r="M9"/>
  <c r="L9"/>
  <c r="I9"/>
  <c r="G9"/>
  <c r="F9"/>
  <c r="E9"/>
  <c r="D9"/>
  <c r="C9"/>
  <c r="V8"/>
  <c r="T8"/>
  <c r="H8"/>
  <c r="V7"/>
  <c r="T7"/>
  <c r="R9"/>
  <c r="J7"/>
  <c r="H7"/>
  <c r="T6"/>
  <c r="H6"/>
  <c r="V5"/>
  <c r="T5"/>
  <c r="H5"/>
  <c r="K35" i="19"/>
  <c r="K34"/>
  <c r="J34" s="1"/>
  <c r="U26"/>
  <c r="D23"/>
  <c r="D25" s="1"/>
  <c r="W19"/>
  <c r="W25" s="1"/>
  <c r="I14"/>
  <c r="I17" s="1"/>
  <c r="K14"/>
  <c r="J14" s="1"/>
  <c r="K15"/>
  <c r="R7"/>
  <c r="T7" s="1"/>
  <c r="K9"/>
  <c r="W33"/>
  <c r="S33"/>
  <c r="R33"/>
  <c r="Q33"/>
  <c r="P33"/>
  <c r="O33"/>
  <c r="N33"/>
  <c r="M33"/>
  <c r="L33"/>
  <c r="K33"/>
  <c r="I33"/>
  <c r="G33"/>
  <c r="F33"/>
  <c r="E33"/>
  <c r="D33"/>
  <c r="C33"/>
  <c r="S25"/>
  <c r="R25"/>
  <c r="Q25"/>
  <c r="P25"/>
  <c r="O25"/>
  <c r="N25"/>
  <c r="M25"/>
  <c r="L25"/>
  <c r="K25"/>
  <c r="I25"/>
  <c r="G25"/>
  <c r="F25"/>
  <c r="E25"/>
  <c r="C25"/>
  <c r="W17"/>
  <c r="S17"/>
  <c r="R17"/>
  <c r="Q17"/>
  <c r="P17"/>
  <c r="O17"/>
  <c r="N17"/>
  <c r="M17"/>
  <c r="L17"/>
  <c r="G17"/>
  <c r="F17"/>
  <c r="E17"/>
  <c r="D17"/>
  <c r="C17"/>
  <c r="D9"/>
  <c r="E9"/>
  <c r="F9"/>
  <c r="G9"/>
  <c r="I9"/>
  <c r="L9"/>
  <c r="M9"/>
  <c r="N9"/>
  <c r="O9"/>
  <c r="P9"/>
  <c r="Q9"/>
  <c r="S9"/>
  <c r="W9"/>
  <c r="V16"/>
  <c r="T16"/>
  <c r="V15"/>
  <c r="T15"/>
  <c r="V14"/>
  <c r="T13"/>
  <c r="V12"/>
  <c r="T12"/>
  <c r="V11"/>
  <c r="T11"/>
  <c r="V10"/>
  <c r="T10"/>
  <c r="V8"/>
  <c r="T8"/>
  <c r="V7"/>
  <c r="V6"/>
  <c r="T6"/>
  <c r="V5"/>
  <c r="T5"/>
  <c r="V4"/>
  <c r="T4"/>
  <c r="V3"/>
  <c r="T3"/>
  <c r="V2"/>
  <c r="T2"/>
  <c r="J35"/>
  <c r="J32"/>
  <c r="J31"/>
  <c r="J30"/>
  <c r="J29"/>
  <c r="J28"/>
  <c r="J27"/>
  <c r="J26"/>
  <c r="J24"/>
  <c r="J23"/>
  <c r="J22"/>
  <c r="J21"/>
  <c r="J20"/>
  <c r="J19"/>
  <c r="J18"/>
  <c r="H34"/>
  <c r="H35"/>
  <c r="V35"/>
  <c r="T35"/>
  <c r="V34"/>
  <c r="V32"/>
  <c r="T32"/>
  <c r="H32"/>
  <c r="V31"/>
  <c r="T31"/>
  <c r="H31"/>
  <c r="V30"/>
  <c r="T30"/>
  <c r="H30"/>
  <c r="V29"/>
  <c r="T29"/>
  <c r="H29"/>
  <c r="U29" s="1"/>
  <c r="V28"/>
  <c r="H28"/>
  <c r="V27"/>
  <c r="T27"/>
  <c r="V26"/>
  <c r="H26"/>
  <c r="V24"/>
  <c r="T24"/>
  <c r="H24"/>
  <c r="V23"/>
  <c r="T23"/>
  <c r="V22"/>
  <c r="T22"/>
  <c r="H22"/>
  <c r="V21"/>
  <c r="T21"/>
  <c r="H21"/>
  <c r="V20"/>
  <c r="T20"/>
  <c r="H20"/>
  <c r="T19"/>
  <c r="H19"/>
  <c r="V18"/>
  <c r="T18"/>
  <c r="H18"/>
  <c r="J16"/>
  <c r="H16"/>
  <c r="H15"/>
  <c r="H14"/>
  <c r="J13"/>
  <c r="H13"/>
  <c r="U13" s="1"/>
  <c r="J12"/>
  <c r="H12"/>
  <c r="J11"/>
  <c r="H11"/>
  <c r="J10"/>
  <c r="H10"/>
  <c r="U10" s="1"/>
  <c r="C9"/>
  <c r="J8"/>
  <c r="H8"/>
  <c r="J7"/>
  <c r="H7"/>
  <c r="J6"/>
  <c r="H6"/>
  <c r="H5"/>
  <c r="J4"/>
  <c r="H4"/>
  <c r="J3"/>
  <c r="H3"/>
  <c r="H2"/>
  <c r="K38" i="18"/>
  <c r="K37"/>
  <c r="K29"/>
  <c r="K36"/>
  <c r="C35"/>
  <c r="I35"/>
  <c r="I37" s="1"/>
  <c r="I32"/>
  <c r="O32"/>
  <c r="T32" s="1"/>
  <c r="V32"/>
  <c r="T33"/>
  <c r="V33"/>
  <c r="T34"/>
  <c r="V34"/>
  <c r="V35"/>
  <c r="T36"/>
  <c r="V36"/>
  <c r="W37"/>
  <c r="S37"/>
  <c r="R37"/>
  <c r="Q37"/>
  <c r="P37"/>
  <c r="O37"/>
  <c r="N37"/>
  <c r="M37"/>
  <c r="L37"/>
  <c r="G37"/>
  <c r="F37"/>
  <c r="E37"/>
  <c r="D37"/>
  <c r="C37"/>
  <c r="I30"/>
  <c r="O30"/>
  <c r="C31"/>
  <c r="V28"/>
  <c r="T28"/>
  <c r="V27"/>
  <c r="T27"/>
  <c r="V26"/>
  <c r="T26"/>
  <c r="V25"/>
  <c r="T25"/>
  <c r="V24"/>
  <c r="T24"/>
  <c r="V23"/>
  <c r="T23"/>
  <c r="V22"/>
  <c r="T22"/>
  <c r="V31"/>
  <c r="T31"/>
  <c r="V30"/>
  <c r="V43" i="21" l="1"/>
  <c r="T43"/>
  <c r="H43"/>
  <c r="U33"/>
  <c r="U17"/>
  <c r="J25"/>
  <c r="J43" s="1"/>
  <c r="U18"/>
  <c r="U25" s="1"/>
  <c r="U38" i="20"/>
  <c r="U37"/>
  <c r="U36"/>
  <c r="T33"/>
  <c r="V27"/>
  <c r="V33" s="1"/>
  <c r="T25"/>
  <c r="J18"/>
  <c r="U18" s="1"/>
  <c r="V17"/>
  <c r="U2"/>
  <c r="K9"/>
  <c r="J5"/>
  <c r="U5" s="1"/>
  <c r="U35"/>
  <c r="U12"/>
  <c r="U6"/>
  <c r="U19"/>
  <c r="U22"/>
  <c r="U16"/>
  <c r="T9"/>
  <c r="U24"/>
  <c r="U13"/>
  <c r="H17"/>
  <c r="U32"/>
  <c r="V9"/>
  <c r="U8"/>
  <c r="U14"/>
  <c r="U21"/>
  <c r="H33"/>
  <c r="U28"/>
  <c r="K17"/>
  <c r="J33"/>
  <c r="U7"/>
  <c r="U11"/>
  <c r="V25"/>
  <c r="H9"/>
  <c r="H23"/>
  <c r="H25" s="1"/>
  <c r="U30"/>
  <c r="U31"/>
  <c r="U34"/>
  <c r="J17"/>
  <c r="U10"/>
  <c r="T14"/>
  <c r="T17" s="1"/>
  <c r="I17"/>
  <c r="U20"/>
  <c r="U27"/>
  <c r="J33" i="19"/>
  <c r="V33"/>
  <c r="H23"/>
  <c r="H25" s="1"/>
  <c r="J25"/>
  <c r="T25"/>
  <c r="V25"/>
  <c r="U16"/>
  <c r="T14"/>
  <c r="T17" s="1"/>
  <c r="K17"/>
  <c r="U15"/>
  <c r="J15"/>
  <c r="U12"/>
  <c r="V17"/>
  <c r="J17"/>
  <c r="H17"/>
  <c r="R9"/>
  <c r="U8"/>
  <c r="U7"/>
  <c r="U6"/>
  <c r="J5"/>
  <c r="J9" s="1"/>
  <c r="U4"/>
  <c r="V9"/>
  <c r="H9"/>
  <c r="U3"/>
  <c r="T9"/>
  <c r="U11"/>
  <c r="U2"/>
  <c r="U14"/>
  <c r="U31"/>
  <c r="U30"/>
  <c r="U35"/>
  <c r="U21"/>
  <c r="T34"/>
  <c r="U24"/>
  <c r="U28"/>
  <c r="U34"/>
  <c r="T28"/>
  <c r="U19"/>
  <c r="U20"/>
  <c r="U18"/>
  <c r="U22"/>
  <c r="U32"/>
  <c r="T26"/>
  <c r="H27"/>
  <c r="U27" s="1"/>
  <c r="T35" i="18"/>
  <c r="T37" s="1"/>
  <c r="V37"/>
  <c r="T30"/>
  <c r="U43" i="21" l="1"/>
  <c r="J25" i="20"/>
  <c r="J9"/>
  <c r="U33"/>
  <c r="U17"/>
  <c r="U9"/>
  <c r="U23"/>
  <c r="U25" s="1"/>
  <c r="T33" i="19"/>
  <c r="H33"/>
  <c r="U33"/>
  <c r="U23"/>
  <c r="U25" s="1"/>
  <c r="U17"/>
  <c r="U5"/>
  <c r="U9" s="1"/>
  <c r="K30" i="18"/>
  <c r="K28"/>
  <c r="K26"/>
  <c r="J26" s="1"/>
  <c r="K27"/>
  <c r="J25"/>
  <c r="K25"/>
  <c r="K24"/>
  <c r="J24" s="1"/>
  <c r="K23"/>
  <c r="J23" s="1"/>
  <c r="K22"/>
  <c r="J22" s="1"/>
  <c r="J36" l="1"/>
  <c r="J32"/>
  <c r="J31"/>
  <c r="J30"/>
  <c r="J28"/>
  <c r="U28" s="1"/>
  <c r="J27"/>
  <c r="U27" s="1"/>
  <c r="J20"/>
  <c r="J19"/>
  <c r="J18"/>
  <c r="J17"/>
  <c r="J16"/>
  <c r="J15"/>
  <c r="J14"/>
  <c r="J9"/>
  <c r="J10"/>
  <c r="J11"/>
  <c r="J12"/>
  <c r="J8"/>
  <c r="J7"/>
  <c r="J6"/>
  <c r="J3"/>
  <c r="J4"/>
  <c r="J2"/>
  <c r="H36"/>
  <c r="H35"/>
  <c r="U35" s="1"/>
  <c r="H34"/>
  <c r="U34" s="1"/>
  <c r="H33"/>
  <c r="U33" s="1"/>
  <c r="H32"/>
  <c r="H31"/>
  <c r="U31" s="1"/>
  <c r="H30"/>
  <c r="H28"/>
  <c r="H27"/>
  <c r="H26"/>
  <c r="U26" s="1"/>
  <c r="H25"/>
  <c r="U25" s="1"/>
  <c r="H24"/>
  <c r="U24" s="1"/>
  <c r="H23"/>
  <c r="U23" s="1"/>
  <c r="H22"/>
  <c r="U22" s="1"/>
  <c r="H20"/>
  <c r="H19"/>
  <c r="H18"/>
  <c r="H17"/>
  <c r="H16"/>
  <c r="H15"/>
  <c r="H14"/>
  <c r="T3"/>
  <c r="V3"/>
  <c r="T4"/>
  <c r="V4"/>
  <c r="H7"/>
  <c r="H8"/>
  <c r="H9"/>
  <c r="H10"/>
  <c r="H11"/>
  <c r="H12"/>
  <c r="H6"/>
  <c r="H3"/>
  <c r="H4"/>
  <c r="V2"/>
  <c r="T2"/>
  <c r="H2"/>
  <c r="U5" s="1"/>
  <c r="W29"/>
  <c r="V29"/>
  <c r="S29"/>
  <c r="R29"/>
  <c r="Q29"/>
  <c r="P29"/>
  <c r="O29"/>
  <c r="N29"/>
  <c r="M29"/>
  <c r="L29"/>
  <c r="I29"/>
  <c r="G29"/>
  <c r="F29"/>
  <c r="E29"/>
  <c r="D29"/>
  <c r="C29"/>
  <c r="T29"/>
  <c r="W21"/>
  <c r="S21"/>
  <c r="R21"/>
  <c r="Q21"/>
  <c r="P21"/>
  <c r="O21"/>
  <c r="N21"/>
  <c r="M21"/>
  <c r="L21"/>
  <c r="I21"/>
  <c r="G21"/>
  <c r="F21"/>
  <c r="E21"/>
  <c r="D21"/>
  <c r="C21"/>
  <c r="V21"/>
  <c r="U21"/>
  <c r="T21"/>
  <c r="W13"/>
  <c r="S13"/>
  <c r="R13"/>
  <c r="Q13"/>
  <c r="P13"/>
  <c r="O13"/>
  <c r="N13"/>
  <c r="M13"/>
  <c r="L13"/>
  <c r="I13"/>
  <c r="G13"/>
  <c r="F13"/>
  <c r="E13"/>
  <c r="D13"/>
  <c r="C13"/>
  <c r="V13"/>
  <c r="T13"/>
  <c r="U13"/>
  <c r="W5"/>
  <c r="S5"/>
  <c r="R5"/>
  <c r="Q5"/>
  <c r="P5"/>
  <c r="O5"/>
  <c r="N5"/>
  <c r="M5"/>
  <c r="L5"/>
  <c r="I5"/>
  <c r="G5"/>
  <c r="F5"/>
  <c r="E5"/>
  <c r="D5"/>
  <c r="C5"/>
  <c r="U36" l="1"/>
  <c r="J37"/>
  <c r="H37"/>
  <c r="U32"/>
  <c r="T5"/>
  <c r="U30"/>
  <c r="J29"/>
  <c r="H29"/>
  <c r="H21"/>
  <c r="J13"/>
  <c r="J21"/>
  <c r="N38"/>
  <c r="R38"/>
  <c r="E38"/>
  <c r="F38"/>
  <c r="L38"/>
  <c r="V5"/>
  <c r="H13"/>
  <c r="G38"/>
  <c r="C38"/>
  <c r="W38"/>
  <c r="P38"/>
  <c r="D38"/>
  <c r="O38"/>
  <c r="S38"/>
  <c r="I38"/>
  <c r="M38"/>
  <c r="Q38"/>
  <c r="V38"/>
  <c r="T38"/>
  <c r="U29"/>
  <c r="H5"/>
  <c r="U37" l="1"/>
  <c r="U38"/>
  <c r="J38"/>
  <c r="H38"/>
  <c r="C36" i="7"/>
  <c r="J34"/>
  <c r="J37" s="1"/>
  <c r="C34"/>
  <c r="N34"/>
  <c r="S34" s="1"/>
  <c r="L37"/>
  <c r="L32"/>
  <c r="E8"/>
  <c r="F8"/>
  <c r="G8"/>
  <c r="J8"/>
  <c r="K8"/>
  <c r="M8"/>
  <c r="N8"/>
  <c r="O8"/>
  <c r="Q8"/>
  <c r="R8"/>
  <c r="V8"/>
  <c r="I6"/>
  <c r="I8" s="1"/>
  <c r="D6"/>
  <c r="D8" s="1"/>
  <c r="C5"/>
  <c r="H5" s="1"/>
  <c r="T5" s="1"/>
  <c r="P5"/>
  <c r="Q37" i="5"/>
  <c r="T36"/>
  <c r="S36"/>
  <c r="R36"/>
  <c r="H36"/>
  <c r="D37" i="7"/>
  <c r="E37"/>
  <c r="F37"/>
  <c r="G37"/>
  <c r="I37"/>
  <c r="K37"/>
  <c r="M37"/>
  <c r="N37"/>
  <c r="O37"/>
  <c r="P37"/>
  <c r="Q37"/>
  <c r="R37"/>
  <c r="V37"/>
  <c r="D32"/>
  <c r="E32"/>
  <c r="F32"/>
  <c r="G32"/>
  <c r="I32"/>
  <c r="J32"/>
  <c r="K32"/>
  <c r="M32"/>
  <c r="N32"/>
  <c r="O32"/>
  <c r="P32"/>
  <c r="Q32"/>
  <c r="R32"/>
  <c r="V32"/>
  <c r="C32"/>
  <c r="D24"/>
  <c r="E24"/>
  <c r="F24"/>
  <c r="G24"/>
  <c r="I24"/>
  <c r="J24"/>
  <c r="K24"/>
  <c r="M24"/>
  <c r="N24"/>
  <c r="O24"/>
  <c r="P24"/>
  <c r="Q24"/>
  <c r="R24"/>
  <c r="V24"/>
  <c r="W24" s="1"/>
  <c r="C24"/>
  <c r="D16"/>
  <c r="E16"/>
  <c r="F16"/>
  <c r="G16"/>
  <c r="I16"/>
  <c r="J16"/>
  <c r="K16"/>
  <c r="M16"/>
  <c r="N16"/>
  <c r="O16"/>
  <c r="P16"/>
  <c r="Q16"/>
  <c r="R16"/>
  <c r="V16"/>
  <c r="C16"/>
  <c r="U36"/>
  <c r="S36"/>
  <c r="U35"/>
  <c r="S35"/>
  <c r="U34"/>
  <c r="U33"/>
  <c r="S33"/>
  <c r="U31"/>
  <c r="S31"/>
  <c r="U30"/>
  <c r="S30"/>
  <c r="U29"/>
  <c r="S29"/>
  <c r="U28"/>
  <c r="S28"/>
  <c r="U27"/>
  <c r="S27"/>
  <c r="U26"/>
  <c r="S26"/>
  <c r="U25"/>
  <c r="S25"/>
  <c r="U23"/>
  <c r="S23"/>
  <c r="U22"/>
  <c r="S22"/>
  <c r="U21"/>
  <c r="S21"/>
  <c r="U20"/>
  <c r="S20"/>
  <c r="U19"/>
  <c r="S19"/>
  <c r="U18"/>
  <c r="S18"/>
  <c r="U17"/>
  <c r="S17"/>
  <c r="U7"/>
  <c r="S7"/>
  <c r="U6"/>
  <c r="U5"/>
  <c r="S5"/>
  <c r="U4"/>
  <c r="S4"/>
  <c r="U3"/>
  <c r="S3"/>
  <c r="U2"/>
  <c r="S2"/>
  <c r="U15"/>
  <c r="S15"/>
  <c r="U14"/>
  <c r="S14"/>
  <c r="U13"/>
  <c r="S13"/>
  <c r="U12"/>
  <c r="S12"/>
  <c r="U11"/>
  <c r="S11"/>
  <c r="U10"/>
  <c r="S10"/>
  <c r="U9"/>
  <c r="S9"/>
  <c r="H36"/>
  <c r="T36" s="1"/>
  <c r="H35"/>
  <c r="T35" s="1"/>
  <c r="H34"/>
  <c r="H33"/>
  <c r="T33" s="1"/>
  <c r="H31"/>
  <c r="T31" s="1"/>
  <c r="H30"/>
  <c r="T30" s="1"/>
  <c r="H29"/>
  <c r="T29" s="1"/>
  <c r="H28"/>
  <c r="T28" s="1"/>
  <c r="H27"/>
  <c r="T27" s="1"/>
  <c r="H26"/>
  <c r="T26" s="1"/>
  <c r="H25"/>
  <c r="S27" i="5"/>
  <c r="S19"/>
  <c r="S12"/>
  <c r="S29"/>
  <c r="S30"/>
  <c r="S28"/>
  <c r="S21"/>
  <c r="S22"/>
  <c r="S23"/>
  <c r="S24"/>
  <c r="S25"/>
  <c r="S26"/>
  <c r="S20"/>
  <c r="S13"/>
  <c r="S14"/>
  <c r="S15"/>
  <c r="S16"/>
  <c r="S17"/>
  <c r="S18"/>
  <c r="S5"/>
  <c r="S6"/>
  <c r="S7"/>
  <c r="S8"/>
  <c r="S9"/>
  <c r="S10"/>
  <c r="S4"/>
  <c r="S2"/>
  <c r="T30"/>
  <c r="T31"/>
  <c r="T32"/>
  <c r="T33"/>
  <c r="T34"/>
  <c r="H27"/>
  <c r="H29"/>
  <c r="H30"/>
  <c r="H31"/>
  <c r="S31" s="1"/>
  <c r="H32"/>
  <c r="S32" s="1"/>
  <c r="H33"/>
  <c r="S33" s="1"/>
  <c r="H34"/>
  <c r="S34" s="1"/>
  <c r="I28"/>
  <c r="H28"/>
  <c r="H23" i="7"/>
  <c r="T23" s="1"/>
  <c r="H22"/>
  <c r="T22" s="1"/>
  <c r="H21"/>
  <c r="T21" s="1"/>
  <c r="H20"/>
  <c r="T20" s="1"/>
  <c r="H19"/>
  <c r="T19" s="1"/>
  <c r="H18"/>
  <c r="T18" s="1"/>
  <c r="H17"/>
  <c r="H15"/>
  <c r="T15" s="1"/>
  <c r="H14"/>
  <c r="T14" s="1"/>
  <c r="H13"/>
  <c r="T13" s="1"/>
  <c r="H12"/>
  <c r="T12" s="1"/>
  <c r="H11"/>
  <c r="H10"/>
  <c r="T10" s="1"/>
  <c r="H9"/>
  <c r="T9" s="1"/>
  <c r="H4"/>
  <c r="H3"/>
  <c r="T3" s="1"/>
  <c r="H2"/>
  <c r="T2" s="1"/>
  <c r="H13" i="5"/>
  <c r="H14"/>
  <c r="H15"/>
  <c r="H16"/>
  <c r="H17"/>
  <c r="H18"/>
  <c r="U35"/>
  <c r="U27"/>
  <c r="U19"/>
  <c r="H12"/>
  <c r="H10"/>
  <c r="Q19"/>
  <c r="D11"/>
  <c r="I5"/>
  <c r="P10"/>
  <c r="C10"/>
  <c r="P9"/>
  <c r="R9" s="1"/>
  <c r="I6"/>
  <c r="H6"/>
  <c r="H9"/>
  <c r="H8"/>
  <c r="H7"/>
  <c r="S6" i="7" l="1"/>
  <c r="C37"/>
  <c r="U8"/>
  <c r="T34"/>
  <c r="T37" s="1"/>
  <c r="L38"/>
  <c r="U37"/>
  <c r="H32"/>
  <c r="H24"/>
  <c r="S24"/>
  <c r="N38"/>
  <c r="Q38"/>
  <c r="U16"/>
  <c r="G38"/>
  <c r="M38"/>
  <c r="S16"/>
  <c r="U24"/>
  <c r="U32"/>
  <c r="F38"/>
  <c r="V38"/>
  <c r="E38"/>
  <c r="S8"/>
  <c r="S32"/>
  <c r="K38"/>
  <c r="S37"/>
  <c r="C8"/>
  <c r="H37"/>
  <c r="H16"/>
  <c r="T25"/>
  <c r="T32" s="1"/>
  <c r="T17"/>
  <c r="T24" s="1"/>
  <c r="O38"/>
  <c r="J38"/>
  <c r="I38"/>
  <c r="P8"/>
  <c r="P38" s="1"/>
  <c r="H6"/>
  <c r="T6" s="1"/>
  <c r="R38"/>
  <c r="T11"/>
  <c r="T16" s="1"/>
  <c r="D38"/>
  <c r="T4"/>
  <c r="S35" i="5"/>
  <c r="H7" i="7"/>
  <c r="T7" s="1"/>
  <c r="H19" i="5"/>
  <c r="U37"/>
  <c r="T37"/>
  <c r="R37"/>
  <c r="P37"/>
  <c r="O37"/>
  <c r="N37"/>
  <c r="M37"/>
  <c r="L37"/>
  <c r="K37"/>
  <c r="J37"/>
  <c r="I37"/>
  <c r="H37"/>
  <c r="G37"/>
  <c r="F37"/>
  <c r="E37"/>
  <c r="D37"/>
  <c r="C37"/>
  <c r="Q35"/>
  <c r="P35"/>
  <c r="O35"/>
  <c r="N35"/>
  <c r="M35"/>
  <c r="L35"/>
  <c r="K35"/>
  <c r="J35"/>
  <c r="I35"/>
  <c r="G35"/>
  <c r="F35"/>
  <c r="E35"/>
  <c r="D35"/>
  <c r="E42" s="1"/>
  <c r="C35"/>
  <c r="D42" s="1"/>
  <c r="R34"/>
  <c r="R33"/>
  <c r="R32"/>
  <c r="R31"/>
  <c r="R30"/>
  <c r="T29"/>
  <c r="R29"/>
  <c r="H35"/>
  <c r="T28"/>
  <c r="R28"/>
  <c r="Q27"/>
  <c r="P27"/>
  <c r="O27"/>
  <c r="N27"/>
  <c r="M27"/>
  <c r="L27"/>
  <c r="K27"/>
  <c r="J27"/>
  <c r="I27"/>
  <c r="G27"/>
  <c r="F27"/>
  <c r="E27"/>
  <c r="D27"/>
  <c r="C27"/>
  <c r="T26"/>
  <c r="R26"/>
  <c r="H26"/>
  <c r="T25"/>
  <c r="R25"/>
  <c r="H25"/>
  <c r="T24"/>
  <c r="R24"/>
  <c r="H24"/>
  <c r="T23"/>
  <c r="R23"/>
  <c r="H23"/>
  <c r="T22"/>
  <c r="R22"/>
  <c r="H22"/>
  <c r="T21"/>
  <c r="R21"/>
  <c r="H21"/>
  <c r="T20"/>
  <c r="R20"/>
  <c r="H20"/>
  <c r="C38" i="7" l="1"/>
  <c r="U38"/>
  <c r="S38"/>
  <c r="T8"/>
  <c r="T38" s="1"/>
  <c r="H8"/>
  <c r="H38" s="1"/>
  <c r="R35" i="5"/>
  <c r="T35"/>
  <c r="T27"/>
  <c r="R27"/>
  <c r="P19"/>
  <c r="O19"/>
  <c r="N19"/>
  <c r="M19"/>
  <c r="L19"/>
  <c r="K19"/>
  <c r="J19"/>
  <c r="I19"/>
  <c r="G19"/>
  <c r="F19"/>
  <c r="E19"/>
  <c r="D19"/>
  <c r="D38" s="1"/>
  <c r="C19"/>
  <c r="T18"/>
  <c r="R18"/>
  <c r="T17"/>
  <c r="R17"/>
  <c r="T16"/>
  <c r="R16"/>
  <c r="T15"/>
  <c r="R15"/>
  <c r="T14"/>
  <c r="R14"/>
  <c r="T13"/>
  <c r="R13"/>
  <c r="T12"/>
  <c r="R12"/>
  <c r="U11"/>
  <c r="Q11"/>
  <c r="P11"/>
  <c r="O11"/>
  <c r="N11"/>
  <c r="N38" s="1"/>
  <c r="M11"/>
  <c r="L11"/>
  <c r="K11"/>
  <c r="J11"/>
  <c r="I11"/>
  <c r="G11"/>
  <c r="F11"/>
  <c r="E11"/>
  <c r="E38" s="1"/>
  <c r="C11"/>
  <c r="T10"/>
  <c r="R10"/>
  <c r="T9"/>
  <c r="T8"/>
  <c r="R8"/>
  <c r="T7"/>
  <c r="R7"/>
  <c r="T6"/>
  <c r="R6"/>
  <c r="T5"/>
  <c r="R5"/>
  <c r="H5"/>
  <c r="T4"/>
  <c r="H4"/>
  <c r="U3"/>
  <c r="T3" s="1"/>
  <c r="S3" s="1"/>
  <c r="R3" s="1"/>
  <c r="Q3"/>
  <c r="P3"/>
  <c r="O3"/>
  <c r="N3"/>
  <c r="M3"/>
  <c r="L3"/>
  <c r="K3"/>
  <c r="J3"/>
  <c r="I3" s="1"/>
  <c r="H3"/>
  <c r="G3"/>
  <c r="F3"/>
  <c r="E3"/>
  <c r="D3"/>
  <c r="C3"/>
  <c r="T2"/>
  <c r="R2"/>
  <c r="I2"/>
  <c r="H2"/>
  <c r="C2"/>
  <c r="L46" i="4" s="1"/>
  <c r="K46"/>
  <c r="J46"/>
  <c r="L44"/>
  <c r="L43"/>
  <c r="U38"/>
  <c r="T38"/>
  <c r="S38"/>
  <c r="R38"/>
  <c r="Q38"/>
  <c r="P38"/>
  <c r="O38"/>
  <c r="N38"/>
  <c r="M38"/>
  <c r="L38"/>
  <c r="K38"/>
  <c r="J38"/>
  <c r="I38"/>
  <c r="H38"/>
  <c r="G38"/>
  <c r="F38"/>
  <c r="E38"/>
  <c r="D38"/>
  <c r="C38"/>
  <c r="U37"/>
  <c r="T37" s="1"/>
  <c r="S37"/>
  <c r="R37" s="1"/>
  <c r="Q37"/>
  <c r="P37"/>
  <c r="O37"/>
  <c r="N37"/>
  <c r="M37"/>
  <c r="L37"/>
  <c r="K37"/>
  <c r="J37"/>
  <c r="I37"/>
  <c r="H37" s="1"/>
  <c r="G37"/>
  <c r="F37"/>
  <c r="E37"/>
  <c r="D37"/>
  <c r="C37"/>
  <c r="T36"/>
  <c r="S36"/>
  <c r="R36"/>
  <c r="H36"/>
  <c r="T35"/>
  <c r="S35" s="1"/>
  <c r="R35"/>
  <c r="H35"/>
  <c r="T34"/>
  <c r="S34" s="1"/>
  <c r="R34"/>
  <c r="H34"/>
  <c r="T33"/>
  <c r="S33" s="1"/>
  <c r="R33"/>
  <c r="H33"/>
  <c r="T32"/>
  <c r="S32"/>
  <c r="R32"/>
  <c r="H32"/>
  <c r="T31"/>
  <c r="S31"/>
  <c r="R31"/>
  <c r="H31"/>
  <c r="U30"/>
  <c r="T30"/>
  <c r="S30" s="1"/>
  <c r="R30"/>
  <c r="Q30"/>
  <c r="P30"/>
  <c r="O30"/>
  <c r="N30"/>
  <c r="M30"/>
  <c r="L30"/>
  <c r="K30"/>
  <c r="J30"/>
  <c r="I30"/>
  <c r="H30"/>
  <c r="G30"/>
  <c r="F30"/>
  <c r="E30"/>
  <c r="D30"/>
  <c r="C30"/>
  <c r="T29"/>
  <c r="S29" s="1"/>
  <c r="R29"/>
  <c r="H29"/>
  <c r="T28"/>
  <c r="S28" s="1"/>
  <c r="R28"/>
  <c r="H28"/>
  <c r="T27"/>
  <c r="S27" s="1"/>
  <c r="R27"/>
  <c r="H27"/>
  <c r="T26"/>
  <c r="S26" s="1"/>
  <c r="R26"/>
  <c r="H26"/>
  <c r="T25"/>
  <c r="S25" s="1"/>
  <c r="R25"/>
  <c r="H25"/>
  <c r="T24"/>
  <c r="S24" s="1"/>
  <c r="R24"/>
  <c r="H24"/>
  <c r="T23"/>
  <c r="S23" s="1"/>
  <c r="R23"/>
  <c r="H23"/>
  <c r="U22"/>
  <c r="T22"/>
  <c r="S22" s="1"/>
  <c r="R22"/>
  <c r="P22"/>
  <c r="O22"/>
  <c r="N22"/>
  <c r="M22"/>
  <c r="L22"/>
  <c r="K22"/>
  <c r="J22"/>
  <c r="I22"/>
  <c r="H22"/>
  <c r="G22"/>
  <c r="F22"/>
  <c r="E22"/>
  <c r="D22"/>
  <c r="C22"/>
  <c r="T21"/>
  <c r="S21" s="1"/>
  <c r="R21"/>
  <c r="H21"/>
  <c r="T20"/>
  <c r="S20" s="1"/>
  <c r="R20"/>
  <c r="H20"/>
  <c r="T19"/>
  <c r="S19"/>
  <c r="R19"/>
  <c r="H19"/>
  <c r="S18" s="1"/>
  <c r="R18"/>
  <c r="H18"/>
  <c r="C18"/>
  <c r="S17" s="1"/>
  <c r="R17"/>
  <c r="H17"/>
  <c r="D17"/>
  <c r="S16" s="1"/>
  <c r="R16"/>
  <c r="H16"/>
  <c r="C16"/>
  <c r="S15" s="1"/>
  <c r="R15"/>
  <c r="H15"/>
  <c r="C15"/>
  <c r="S14" s="1"/>
  <c r="R14"/>
  <c r="Q14"/>
  <c r="P14"/>
  <c r="O14"/>
  <c r="N14"/>
  <c r="M14"/>
  <c r="L14"/>
  <c r="K14"/>
  <c r="J14"/>
  <c r="I14"/>
  <c r="H14"/>
  <c r="F14"/>
  <c r="E14"/>
  <c r="D14"/>
  <c r="C14"/>
  <c r="R13"/>
  <c r="H13"/>
  <c r="S12" s="1"/>
  <c r="R12"/>
  <c r="H12"/>
  <c r="S11" s="1"/>
  <c r="R11"/>
  <c r="H11"/>
  <c r="C11"/>
  <c r="S10" s="1"/>
  <c r="R10"/>
  <c r="H10"/>
  <c r="C10"/>
  <c r="S9" s="1"/>
  <c r="R9"/>
  <c r="H9"/>
  <c r="S8" s="1"/>
  <c r="R8"/>
  <c r="H8"/>
  <c r="D8"/>
  <c r="C8"/>
  <c r="S7" s="1"/>
  <c r="R7"/>
  <c r="M7"/>
  <c r="J7"/>
  <c r="H7"/>
  <c r="C7"/>
  <c r="S6" s="1"/>
  <c r="R6"/>
  <c r="Q6"/>
  <c r="P6"/>
  <c r="O6"/>
  <c r="N6"/>
  <c r="M6"/>
  <c r="L6"/>
  <c r="K6"/>
  <c r="J6"/>
  <c r="I6"/>
  <c r="H6"/>
  <c r="F6"/>
  <c r="E6"/>
  <c r="D6"/>
  <c r="C6" s="1"/>
  <c r="S5" s="1"/>
  <c r="R5"/>
  <c r="H5"/>
  <c r="S4" s="1"/>
  <c r="R4"/>
  <c r="H4"/>
  <c r="S3" s="1"/>
  <c r="R3"/>
  <c r="H3"/>
  <c r="D3"/>
  <c r="C3"/>
  <c r="S2"/>
  <c r="R2"/>
  <c r="H2"/>
  <c r="D2"/>
  <c r="C2"/>
  <c r="M42" i="3"/>
  <c r="L42"/>
  <c r="K42"/>
  <c r="K38" i="5" l="1"/>
  <c r="F38"/>
  <c r="T19"/>
  <c r="G38"/>
  <c r="M38"/>
  <c r="J38"/>
  <c r="O38"/>
  <c r="R19"/>
  <c r="L38"/>
  <c r="I38"/>
  <c r="C38"/>
  <c r="R11"/>
  <c r="T11"/>
  <c r="U38"/>
  <c r="H11"/>
  <c r="H38" s="1"/>
  <c r="S11"/>
  <c r="S36" i="3"/>
  <c r="R36"/>
  <c r="Q36" s="1"/>
  <c r="P36"/>
  <c r="O36"/>
  <c r="N36"/>
  <c r="M36"/>
  <c r="L36"/>
  <c r="K36"/>
  <c r="J36" s="1"/>
  <c r="I36"/>
  <c r="H36"/>
  <c r="G36"/>
  <c r="F36"/>
  <c r="E36"/>
  <c r="D36" s="1"/>
  <c r="C36" s="1"/>
  <c r="R35"/>
  <c r="G35" s="1"/>
  <c r="C35"/>
  <c r="R34"/>
  <c r="G34" s="1"/>
  <c r="C34"/>
  <c r="R33"/>
  <c r="G33"/>
  <c r="C33"/>
  <c r="R32" s="1"/>
  <c r="Q32"/>
  <c r="P32"/>
  <c r="O32"/>
  <c r="N32"/>
  <c r="M32"/>
  <c r="L32"/>
  <c r="K32"/>
  <c r="J32"/>
  <c r="I32"/>
  <c r="H32"/>
  <c r="G32"/>
  <c r="F32"/>
  <c r="E32"/>
  <c r="D32"/>
  <c r="C32"/>
  <c r="R31"/>
  <c r="G31"/>
  <c r="R30"/>
  <c r="G30"/>
  <c r="R29"/>
  <c r="G29"/>
  <c r="R28"/>
  <c r="G28"/>
  <c r="R27"/>
  <c r="G27"/>
  <c r="R26"/>
  <c r="G26"/>
  <c r="R25"/>
  <c r="G25"/>
  <c r="C25"/>
  <c r="R24" s="1"/>
  <c r="Q24"/>
  <c r="P24"/>
  <c r="O24"/>
  <c r="N24"/>
  <c r="M24"/>
  <c r="L24"/>
  <c r="K24"/>
  <c r="J24"/>
  <c r="I24" s="1"/>
  <c r="H24" s="1"/>
  <c r="G24" s="1"/>
  <c r="F24"/>
  <c r="E24"/>
  <c r="D24"/>
  <c r="C24"/>
  <c r="R23"/>
  <c r="G23"/>
  <c r="R22"/>
  <c r="G22"/>
  <c r="R21"/>
  <c r="G21"/>
  <c r="R20"/>
  <c r="G20"/>
  <c r="R19"/>
  <c r="J19"/>
  <c r="G19"/>
  <c r="R18"/>
  <c r="J18"/>
  <c r="H18"/>
  <c r="G18"/>
  <c r="C18"/>
  <c r="R17"/>
  <c r="J17"/>
  <c r="G17"/>
  <c r="C17"/>
  <c r="S16"/>
  <c r="R16"/>
  <c r="Q16"/>
  <c r="P16"/>
  <c r="O16"/>
  <c r="N16"/>
  <c r="M16" s="1"/>
  <c r="L16"/>
  <c r="K16"/>
  <c r="J16"/>
  <c r="I16" s="1"/>
  <c r="H16"/>
  <c r="G16"/>
  <c r="F16"/>
  <c r="E16"/>
  <c r="D16"/>
  <c r="C16"/>
  <c r="S15"/>
  <c r="R15"/>
  <c r="G15"/>
  <c r="S14"/>
  <c r="R14"/>
  <c r="G14"/>
  <c r="S13"/>
  <c r="R13"/>
  <c r="M13"/>
  <c r="I13"/>
  <c r="G13"/>
  <c r="S12"/>
  <c r="R12"/>
  <c r="G12"/>
  <c r="S11"/>
  <c r="R11"/>
  <c r="G11"/>
  <c r="S10"/>
  <c r="R10"/>
  <c r="G10"/>
  <c r="S9"/>
  <c r="R9"/>
  <c r="G9" s="1"/>
  <c r="D9"/>
  <c r="S8"/>
  <c r="R8" s="1"/>
  <c r="Q8"/>
  <c r="P8"/>
  <c r="O8" s="1"/>
  <c r="N8"/>
  <c r="M8"/>
  <c r="L8"/>
  <c r="K8"/>
  <c r="J8"/>
  <c r="I8"/>
  <c r="H8"/>
  <c r="G8"/>
  <c r="F8"/>
  <c r="E8"/>
  <c r="D8"/>
  <c r="C8"/>
  <c r="S7"/>
  <c r="R7"/>
  <c r="S6"/>
  <c r="R6"/>
  <c r="P6"/>
  <c r="G6"/>
  <c r="S5"/>
  <c r="R5"/>
  <c r="G5"/>
  <c r="S4"/>
  <c r="R4"/>
  <c r="O4"/>
  <c r="G4"/>
  <c r="S3"/>
  <c r="R3"/>
  <c r="G3"/>
  <c r="S2"/>
  <c r="R2" s="1"/>
  <c r="O2"/>
  <c r="M2"/>
  <c r="G2"/>
  <c r="F63" i="2"/>
  <c r="E63"/>
  <c r="E61"/>
  <c r="D42"/>
  <c r="S38" s="1"/>
  <c r="R38" s="1"/>
  <c r="Q38"/>
  <c r="P38"/>
  <c r="O38"/>
  <c r="N38"/>
  <c r="M38"/>
  <c r="L38"/>
  <c r="K38" s="1"/>
  <c r="J38"/>
  <c r="I38"/>
  <c r="H38" s="1"/>
  <c r="G38"/>
  <c r="F38"/>
  <c r="E38"/>
  <c r="D38"/>
  <c r="C38"/>
  <c r="S37"/>
  <c r="R37"/>
  <c r="G37"/>
  <c r="S36"/>
  <c r="R36" s="1"/>
  <c r="Q36"/>
  <c r="P36"/>
  <c r="O36"/>
  <c r="N36"/>
  <c r="M36" s="1"/>
  <c r="L36"/>
  <c r="K36"/>
  <c r="J36"/>
  <c r="I36"/>
  <c r="H36"/>
  <c r="G36"/>
  <c r="F36"/>
  <c r="E36"/>
  <c r="D36"/>
  <c r="C36"/>
  <c r="S35"/>
  <c r="R35"/>
  <c r="G35"/>
  <c r="S34"/>
  <c r="R34"/>
  <c r="G34"/>
  <c r="S33"/>
  <c r="R33" s="1"/>
  <c r="M33"/>
  <c r="G33"/>
  <c r="S32"/>
  <c r="R32"/>
  <c r="G32"/>
  <c r="S31"/>
  <c r="R31"/>
  <c r="G31"/>
  <c r="S30"/>
  <c r="R30"/>
  <c r="G30"/>
  <c r="S29"/>
  <c r="R29"/>
  <c r="M29"/>
  <c r="G29"/>
  <c r="S28"/>
  <c r="R28"/>
  <c r="Q28"/>
  <c r="P28"/>
  <c r="O28"/>
  <c r="N28"/>
  <c r="M28"/>
  <c r="L28"/>
  <c r="K28"/>
  <c r="J28"/>
  <c r="I28"/>
  <c r="H28"/>
  <c r="G28"/>
  <c r="F28"/>
  <c r="E28"/>
  <c r="D28"/>
  <c r="C28"/>
  <c r="S27"/>
  <c r="R27"/>
  <c r="G27"/>
  <c r="S26"/>
  <c r="R26"/>
  <c r="G26"/>
  <c r="S25"/>
  <c r="R25"/>
  <c r="G25"/>
  <c r="S24"/>
  <c r="R24"/>
  <c r="G24"/>
  <c r="S23"/>
  <c r="R23"/>
  <c r="G23"/>
  <c r="S22"/>
  <c r="R22"/>
  <c r="G22"/>
  <c r="S21"/>
  <c r="R21"/>
  <c r="G21"/>
  <c r="S20"/>
  <c r="R20" s="1"/>
  <c r="Q20"/>
  <c r="P20"/>
  <c r="O20"/>
  <c r="N20"/>
  <c r="M20"/>
  <c r="L20"/>
  <c r="K20"/>
  <c r="J20"/>
  <c r="I20"/>
  <c r="H20"/>
  <c r="G20" s="1"/>
  <c r="F20"/>
  <c r="E20"/>
  <c r="D20"/>
  <c r="C20"/>
  <c r="S19"/>
  <c r="R19"/>
  <c r="G19"/>
  <c r="S18"/>
  <c r="R18"/>
  <c r="G18"/>
  <c r="S17"/>
  <c r="R17"/>
  <c r="G17"/>
  <c r="S16"/>
  <c r="R16"/>
  <c r="G16"/>
  <c r="S15"/>
  <c r="R15"/>
  <c r="G15"/>
  <c r="S14"/>
  <c r="R14"/>
  <c r="G14"/>
  <c r="S13"/>
  <c r="R13"/>
  <c r="G13"/>
  <c r="S12"/>
  <c r="R12"/>
  <c r="Q12"/>
  <c r="P12"/>
  <c r="O12"/>
  <c r="N12"/>
  <c r="M12"/>
  <c r="L12"/>
  <c r="K12"/>
  <c r="J12"/>
  <c r="I12"/>
  <c r="H12"/>
  <c r="G12"/>
  <c r="F12"/>
  <c r="E12"/>
  <c r="D12"/>
  <c r="C12"/>
  <c r="S11"/>
  <c r="R11"/>
  <c r="G11"/>
  <c r="S10"/>
  <c r="R10"/>
  <c r="G10"/>
  <c r="S9"/>
  <c r="R9"/>
  <c r="G9"/>
  <c r="S8"/>
  <c r="R8"/>
  <c r="G8"/>
  <c r="S7"/>
  <c r="R7"/>
  <c r="G7"/>
  <c r="S6"/>
  <c r="R6"/>
  <c r="G6"/>
  <c r="S5"/>
  <c r="R5"/>
  <c r="G5"/>
  <c r="S4"/>
  <c r="R4"/>
  <c r="Q4"/>
  <c r="P4"/>
  <c r="O4"/>
  <c r="N4"/>
  <c r="M4"/>
  <c r="L4"/>
  <c r="K4"/>
  <c r="J4"/>
  <c r="I4"/>
  <c r="H4"/>
  <c r="G4"/>
  <c r="F4"/>
  <c r="E4"/>
  <c r="D4"/>
  <c r="C4"/>
  <c r="S3"/>
  <c r="R3"/>
  <c r="G3"/>
  <c r="S2"/>
  <c r="R2"/>
  <c r="G2"/>
  <c r="T38" i="5" l="1"/>
  <c r="R38"/>
  <c r="Q38" s="1"/>
  <c r="P38" s="1"/>
  <c r="S37"/>
  <c r="S38" s="1"/>
  <c r="M39" i="30" l="1"/>
  <c r="M40" s="1"/>
  <c r="L37"/>
  <c r="L39" s="1"/>
  <c r="L40" s="1"/>
  <c r="X37" l="1"/>
  <c r="X39" s="1"/>
  <c r="X40" s="1"/>
</calcChain>
</file>

<file path=xl/comments1.xml><?xml version="1.0" encoding="utf-8"?>
<comments xmlns="http://schemas.openxmlformats.org/spreadsheetml/2006/main">
  <authors>
    <author>Author</author>
  </authors>
  <commentList>
    <comment ref="H23" authorId="0">
      <text>
        <r>
          <rPr>
            <sz val="9"/>
            <color indexed="81"/>
            <rFont val="Tahoma"/>
            <family val="2"/>
          </rPr>
          <t xml:space="preserve">Cash Payment= </t>
        </r>
        <r>
          <rPr>
            <b/>
            <sz val="9"/>
            <color indexed="81"/>
            <rFont val="Tahoma"/>
            <family val="2"/>
          </rPr>
          <t>1192.52</t>
        </r>
        <r>
          <rPr>
            <sz val="9"/>
            <color indexed="81"/>
            <rFont val="Tahoma"/>
            <family val="2"/>
          </rPr>
          <t xml:space="preserve">
Same Report But </t>
        </r>
        <r>
          <rPr>
            <b/>
            <sz val="9"/>
            <color indexed="81"/>
            <rFont val="Tahoma"/>
            <family val="2"/>
          </rPr>
          <t>£5</t>
        </r>
        <r>
          <rPr>
            <sz val="9"/>
            <color indexed="81"/>
            <rFont val="Tahoma"/>
            <family val="2"/>
          </rPr>
          <t xml:space="preserve"> Difference
</t>
        </r>
      </text>
    </comment>
    <comment ref="M24" authorId="0">
      <text>
        <r>
          <rPr>
            <sz val="9"/>
            <color indexed="81"/>
            <rFont val="Tahoma"/>
            <family val="2"/>
          </rPr>
          <t xml:space="preserve">Beer Shopping = 108.00
Calor Gas = 388.04 
Total = 496.04
</t>
        </r>
      </text>
    </comment>
    <comment ref="M25" authorId="0">
      <text>
        <r>
          <rPr>
            <sz val="9"/>
            <color indexed="81"/>
            <rFont val="Tahoma"/>
            <family val="2"/>
          </rPr>
          <t xml:space="preserve">Bestway Snaks = 22.02
Total = 22.02
</t>
        </r>
      </text>
    </comment>
    <comment ref="M26" authorId="0">
      <text>
        <r>
          <rPr>
            <sz val="9"/>
            <color indexed="81"/>
            <rFont val="Tahoma"/>
            <family val="2"/>
          </rPr>
          <t xml:space="preserve">Beer Shopping = 105
Milk = 62.98
Total = 167.98
</t>
        </r>
      </text>
    </comment>
    <comment ref="M29" authorId="0">
      <text>
        <r>
          <rPr>
            <b/>
            <sz val="9"/>
            <color indexed="81"/>
            <rFont val="Tahoma"/>
            <family val="2"/>
          </rPr>
          <t>Sandwich  = 72.56
Milk Retun Pay=1.49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One Custemor Tomarrow Pay Balance  £ 3.48</t>
        </r>
      </text>
    </comment>
    <comment ref="M32" authorId="0">
      <text>
        <r>
          <rPr>
            <sz val="9"/>
            <color indexed="81"/>
            <rFont val="Tahoma"/>
            <family val="2"/>
          </rPr>
          <t>Carling Beers 18PK = 149.85</t>
        </r>
      </text>
    </comment>
    <comment ref="S32" authorId="0">
      <text>
        <r>
          <rPr>
            <b/>
            <sz val="9"/>
            <color indexed="81"/>
            <rFont val="Tahoma"/>
            <family val="2"/>
          </rPr>
          <t>Two Recipits EFT Declined £92.25</t>
        </r>
      </text>
    </comment>
    <comment ref="M33" authorId="0">
      <text>
        <r>
          <rPr>
            <sz val="9"/>
            <color indexed="81"/>
            <rFont val="Tahoma"/>
            <family val="2"/>
          </rPr>
          <t xml:space="preserve">Bobby'S = 109
Customer Refund=11.99
</t>
        </r>
      </text>
    </comment>
    <comment ref="P34" authorId="0">
      <text>
        <r>
          <rPr>
            <b/>
            <sz val="9"/>
            <color indexed="81"/>
            <rFont val="Times New Roman"/>
            <family val="1"/>
          </rPr>
          <t>Report £10 Extra Mistake Count So Total £1581.88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M7" authorId="0">
      <text>
        <r>
          <rPr>
            <b/>
            <sz val="9"/>
            <color indexed="81"/>
            <rFont val="Tahoma"/>
            <family val="2"/>
          </rPr>
          <t>Beers = 21
Wood Local Supp = 65</t>
        </r>
      </text>
    </comment>
    <comment ref="M9" authorId="0">
      <text>
        <r>
          <rPr>
            <b/>
            <sz val="9"/>
            <color indexed="81"/>
            <rFont val="Tahoma"/>
            <family val="2"/>
          </rPr>
          <t>Sandwich = 86.79</t>
        </r>
      </text>
    </comment>
    <comment ref="M17" authorId="0">
      <text>
        <r>
          <rPr>
            <b/>
            <sz val="9"/>
            <color indexed="81"/>
            <rFont val="Tahoma"/>
            <family val="2"/>
          </rPr>
          <t>Sandwich = £98.26</t>
        </r>
      </text>
    </comment>
    <comment ref="M18" authorId="0">
      <text>
        <r>
          <rPr>
            <b/>
            <sz val="9"/>
            <color indexed="81"/>
            <rFont val="Tahoma"/>
            <family val="2"/>
          </rPr>
          <t>Wood Paid Out = £47.50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S26" authorId="0">
      <text>
        <r>
          <rPr>
            <b/>
            <sz val="9"/>
            <color indexed="81"/>
            <rFont val="Tahoma"/>
            <family val="2"/>
          </rPr>
          <t>One Custemor Tomarrow Pay Balance  £ 3.48</t>
        </r>
      </text>
    </comment>
    <comment ref="M28" authorId="0">
      <text>
        <r>
          <rPr>
            <b/>
            <sz val="9"/>
            <color indexed="81"/>
            <rFont val="Tahoma"/>
            <family val="2"/>
          </rPr>
          <t>Confisionary =£42.86
Calor Gas = £354.58
Total = £397.44</t>
        </r>
      </text>
    </comment>
    <comment ref="S29" authorId="0">
      <text>
        <r>
          <rPr>
            <b/>
            <sz val="9"/>
            <color indexed="81"/>
            <rFont val="Tahoma"/>
            <family val="2"/>
          </rPr>
          <t>Two Recipits EFT Declined £92.25</t>
        </r>
      </text>
    </comment>
    <comment ref="S34" authorId="0">
      <text>
        <r>
          <rPr>
            <b/>
            <sz val="9"/>
            <color indexed="81"/>
            <rFont val="Tahoma"/>
            <family val="2"/>
          </rPr>
          <t>One Custemor Tomarrow Pay Balance  £ 3.48</t>
        </r>
      </text>
    </comment>
  </commentList>
</comments>
</file>

<file path=xl/comments3.xml><?xml version="1.0" encoding="utf-8"?>
<comments xmlns="http://schemas.openxmlformats.org/spreadsheetml/2006/main">
  <authors>
    <author>Author</author>
  </authors>
  <commentList>
    <comment ref="M7" authorId="0">
      <text>
        <r>
          <rPr>
            <b/>
            <sz val="9"/>
            <color indexed="81"/>
            <rFont val="Tahoma"/>
            <family val="2"/>
          </rPr>
          <t xml:space="preserve">Sandwich = 128.65
Edge Liqu = 92.82
Others = 1
Total = 222.47
</t>
        </r>
      </text>
    </comment>
    <comment ref="M15" authorId="0">
      <text>
        <r>
          <rPr>
            <b/>
            <sz val="9"/>
            <color indexed="81"/>
            <rFont val="Tahoma"/>
            <family val="2"/>
          </rPr>
          <t xml:space="preserve">Sandwich = 94.22
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R17" authorId="0">
      <text>
        <r>
          <rPr>
            <b/>
            <sz val="9"/>
            <color indexed="81"/>
            <rFont val="Tahoma"/>
            <family val="2"/>
          </rPr>
          <t>Nitjiya Mistake £100</t>
        </r>
      </text>
    </comment>
    <comment ref="R30" authorId="0">
      <text>
        <r>
          <rPr>
            <b/>
            <sz val="9"/>
            <color indexed="81"/>
            <rFont val="Tahoma"/>
            <family val="2"/>
          </rPr>
          <t>Drainage Cleaning = £50</t>
        </r>
      </text>
    </comment>
  </commentList>
</comments>
</file>

<file path=xl/sharedStrings.xml><?xml version="1.0" encoding="utf-8"?>
<sst xmlns="http://schemas.openxmlformats.org/spreadsheetml/2006/main" count="2196" uniqueCount="124">
  <si>
    <t>Fuel Sales</t>
  </si>
  <si>
    <t xml:space="preserve">Shop Sales </t>
  </si>
  <si>
    <t>Lottery Sales</t>
  </si>
  <si>
    <t xml:space="preserve">Scratch card Sales </t>
  </si>
  <si>
    <t>Total Sales</t>
  </si>
  <si>
    <t>Cash Payment</t>
  </si>
  <si>
    <t>Card Payment</t>
  </si>
  <si>
    <t>A/C Payment</t>
  </si>
  <si>
    <t>All Star Card Payment</t>
  </si>
  <si>
    <t>Paid Out</t>
  </si>
  <si>
    <t>Cash Back</t>
  </si>
  <si>
    <t>Lottery PaidOut</t>
  </si>
  <si>
    <t>Safe Drop</t>
  </si>
  <si>
    <t>Till Amount</t>
  </si>
  <si>
    <t>Till Under/Over</t>
  </si>
  <si>
    <t>EFTM Payment</t>
  </si>
  <si>
    <t>EFTM Under/Over</t>
  </si>
  <si>
    <t xml:space="preserve">Total </t>
  </si>
  <si>
    <t xml:space="preserve">Day </t>
  </si>
  <si>
    <t>Date</t>
  </si>
  <si>
    <t>Friday</t>
  </si>
  <si>
    <t>Saturday</t>
  </si>
  <si>
    <t>Sunday</t>
  </si>
  <si>
    <t>Monday</t>
  </si>
  <si>
    <t>Tuesday</t>
  </si>
  <si>
    <t>Wednesday</t>
  </si>
  <si>
    <t>Thursday</t>
  </si>
  <si>
    <t>Week Report</t>
  </si>
  <si>
    <t>Key Fuel Card Payment</t>
  </si>
  <si>
    <t>Ashley Travel</t>
  </si>
  <si>
    <t>Colt</t>
  </si>
  <si>
    <t xml:space="preserve">A/C </t>
  </si>
  <si>
    <t>Amount</t>
  </si>
  <si>
    <t>Discount</t>
  </si>
  <si>
    <t>Payment Under/Over</t>
  </si>
  <si>
    <t>4339. 65</t>
  </si>
  <si>
    <t xml:space="preserve"> </t>
  </si>
  <si>
    <t>Pay Point Sales</t>
  </si>
  <si>
    <t>Pay Point Not Working. 16/10/2020 New A/c Open</t>
  </si>
  <si>
    <t xml:space="preserve">PayPoint Card </t>
  </si>
  <si>
    <t xml:space="preserve">PayPoint Cash </t>
  </si>
  <si>
    <t>Nithu=378.91</t>
  </si>
  <si>
    <t>American Express</t>
  </si>
  <si>
    <t>Total Card Payment</t>
  </si>
  <si>
    <t>Normal Payment</t>
  </si>
  <si>
    <t>Nithu = £ 71.99</t>
  </si>
  <si>
    <t>NITHU £77.10</t>
  </si>
  <si>
    <t>Nithu £75.01 , Till Amount Increase £ 100</t>
  </si>
  <si>
    <t>Lottery Mistake £ 4</t>
  </si>
  <si>
    <t>eden farm=243.36   northfield sandwich=113.05</t>
  </si>
  <si>
    <t>Nithu Pay Point = 552.10</t>
  </si>
  <si>
    <t>nithu 75.35</t>
  </si>
  <si>
    <t>3.99 refund</t>
  </si>
  <si>
    <t>drive off 40.00</t>
  </si>
  <si>
    <t>Refund £5.00</t>
  </si>
  <si>
    <t>nithu paypoint 244.97</t>
  </si>
  <si>
    <t>nithu van 106.02</t>
  </si>
  <si>
    <t>nithu paypoint 499</t>
  </si>
  <si>
    <t>nithu paypoint 405.20</t>
  </si>
  <si>
    <t>paypoint nithu 200</t>
  </si>
  <si>
    <t>drive off £74.43</t>
  </si>
  <si>
    <t>paypoint nithu 252.10</t>
  </si>
  <si>
    <t>nithu paypoint  265.13</t>
  </si>
  <si>
    <t>drive off 113.24</t>
  </si>
  <si>
    <t>drive off nithu 65.94</t>
  </si>
  <si>
    <t>drive off nithu 143.75 another man 20.01</t>
  </si>
  <si>
    <t>DRIVE OFF £105.96</t>
  </si>
  <si>
    <t>drive off £68.99</t>
  </si>
  <si>
    <t>drive off £135.07</t>
  </si>
  <si>
    <t>drive off £100.02</t>
  </si>
  <si>
    <t>Mohan = £50.03</t>
  </si>
  <si>
    <t>drive off 50.01</t>
  </si>
  <si>
    <t>drive off nithu £228.65</t>
  </si>
  <si>
    <t>nithu drive off 200.44</t>
  </si>
  <si>
    <t>drive off one man 10.03</t>
  </si>
  <si>
    <t>drive off 276.84</t>
  </si>
  <si>
    <t>nithu car van</t>
  </si>
  <si>
    <t>Fuel Pay Later £40.01</t>
  </si>
  <si>
    <t xml:space="preserve">ATM Cash Out </t>
  </si>
  <si>
    <t>Pay Point Settlement</t>
  </si>
  <si>
    <t>Nithu Paypoint £371.47</t>
  </si>
  <si>
    <t>nithu drive off 105.01</t>
  </si>
  <si>
    <t>drive off nithu 25.00</t>
  </si>
  <si>
    <t>nithu paypoint 123.76</t>
  </si>
  <si>
    <t>nithu driveoff 24.96</t>
  </si>
  <si>
    <t>drive off nithu 149.05</t>
  </si>
  <si>
    <t>drive off nithu 95.11</t>
  </si>
  <si>
    <t>DRIVE OFF MOHAN 110.01</t>
  </si>
  <si>
    <t>drive off mohan 110.01</t>
  </si>
  <si>
    <t>vinoth 30</t>
  </si>
  <si>
    <t>drive off vinoth 20.00</t>
  </si>
  <si>
    <t>Payzone Sales</t>
  </si>
  <si>
    <t>UK Fuel Card Payment</t>
  </si>
  <si>
    <t>Voucher Payment</t>
  </si>
  <si>
    <t xml:space="preserve">Payzone Card </t>
  </si>
  <si>
    <t xml:space="preserve">Payzone Cash </t>
  </si>
  <si>
    <t>Euro Shell Fuel Card</t>
  </si>
  <si>
    <t>payzone nithu-£5</t>
  </si>
  <si>
    <t>Nithu Fuel £62.91</t>
  </si>
  <si>
    <t>Vinoth Fuel £50</t>
  </si>
  <si>
    <t>Nithu Fuel £69.37 Driveoff £14.07</t>
  </si>
  <si>
    <t>nithu-908.78</t>
  </si>
  <si>
    <t>nithu500</t>
  </si>
  <si>
    <t>nithu fuel 283.91</t>
  </si>
  <si>
    <t>[paypoind loss-10</t>
  </si>
  <si>
    <t>nithu-159paypoint</t>
  </si>
  <si>
    <t>s</t>
  </si>
  <si>
    <t>EFT M Payment</t>
  </si>
  <si>
    <t>BP Fuel Card</t>
  </si>
  <si>
    <t>All Star Card</t>
  </si>
  <si>
    <t xml:space="preserve">Key Fuel Card </t>
  </si>
  <si>
    <t xml:space="preserve">UK Fuel Card </t>
  </si>
  <si>
    <t>511.8/2</t>
  </si>
  <si>
    <t>nithu</t>
  </si>
  <si>
    <t>434.798 nithu</t>
  </si>
  <si>
    <t>400n ithu</t>
  </si>
  <si>
    <t>SS</t>
  </si>
  <si>
    <t>Just Eat Payment</t>
  </si>
  <si>
    <t>nithu600</t>
  </si>
  <si>
    <t>nithu400</t>
  </si>
  <si>
    <t>Nithu 400</t>
  </si>
  <si>
    <t>600nithu</t>
  </si>
  <si>
    <t>400 nithu</t>
  </si>
  <si>
    <t>400nithu</t>
  </si>
</sst>
</file>

<file path=xl/styles.xml><?xml version="1.0" encoding="utf-8"?>
<styleSheet xmlns="http://schemas.openxmlformats.org/spreadsheetml/2006/main">
  <numFmts count="1">
    <numFmt numFmtId="164" formatCode="&quot;£&quot;#,##0.00"/>
  </numFmts>
  <fonts count="17">
    <font>
      <sz val="11"/>
      <color theme="1"/>
      <name val="Calibri"/>
      <family val="2"/>
      <scheme val="minor"/>
    </font>
    <font>
      <b/>
      <sz val="14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4"/>
      <color rgb="FF9C0006"/>
      <name val="Times New Roman"/>
      <family val="1"/>
    </font>
    <font>
      <b/>
      <sz val="14"/>
      <color rgb="FF006100"/>
      <name val="Times New Roman"/>
      <family val="1"/>
    </font>
    <font>
      <b/>
      <sz val="14"/>
      <color rgb="FFFF0000"/>
      <name val="Times New Roman"/>
      <family val="1"/>
    </font>
    <font>
      <b/>
      <sz val="14"/>
      <color rgb="FF00B050"/>
      <name val="Times New Roman"/>
      <family val="1"/>
    </font>
    <font>
      <b/>
      <sz val="14"/>
      <color rgb="FF7030A0"/>
      <name val="Times New Roman"/>
      <family val="1"/>
    </font>
    <font>
      <sz val="11"/>
      <color theme="1"/>
      <name val="Calibri"/>
      <family val="2"/>
      <scheme val="minor"/>
    </font>
    <font>
      <b/>
      <sz val="9"/>
      <color indexed="81"/>
      <name val="Times New Roman"/>
      <family val="1"/>
    </font>
    <font>
      <b/>
      <sz val="11"/>
      <color theme="1"/>
      <name val="Times New Roman"/>
      <family val="1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Times New Roman"/>
      <family val="1"/>
    </font>
  </fonts>
  <fills count="1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4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73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6" fillId="4" borderId="1" xfId="2" applyFont="1" applyFill="1" applyBorder="1" applyAlignment="1">
      <alignment horizontal="center" vertical="center" wrapText="1"/>
    </xf>
    <xf numFmtId="15" fontId="7" fillId="4" borderId="1" xfId="1" applyNumberFormat="1" applyFont="1" applyFill="1" applyBorder="1" applyAlignment="1">
      <alignment horizontal="center" vertical="center"/>
    </xf>
    <xf numFmtId="15" fontId="10" fillId="4" borderId="1" xfId="1" applyNumberFormat="1" applyFont="1" applyFill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vertical="center" wrapText="1"/>
    </xf>
    <xf numFmtId="0" fontId="0" fillId="4" borderId="0" xfId="0" applyFill="1" applyAlignment="1">
      <alignment wrapText="1"/>
    </xf>
    <xf numFmtId="15" fontId="8" fillId="5" borderId="1" xfId="1" applyNumberFormat="1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/>
    </xf>
    <xf numFmtId="15" fontId="8" fillId="5" borderId="1" xfId="1" applyNumberFormat="1" applyFont="1" applyFill="1" applyBorder="1" applyAlignment="1">
      <alignment horizontal="center" vertical="center"/>
    </xf>
    <xf numFmtId="0" fontId="11" fillId="4" borderId="0" xfId="0" applyFont="1" applyFill="1"/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left" vertical="center"/>
    </xf>
    <xf numFmtId="0" fontId="9" fillId="5" borderId="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4" fillId="0" borderId="0" xfId="0" applyFont="1"/>
    <xf numFmtId="0" fontId="8" fillId="0" borderId="1" xfId="0" applyFont="1" applyBorder="1" applyAlignment="1">
      <alignment horizontal="center" vertical="center" wrapText="1"/>
    </xf>
    <xf numFmtId="0" fontId="1" fillId="6" borderId="1" xfId="0" applyFont="1" applyFill="1" applyBorder="1" applyAlignment="1">
      <alignment horizontal="center" vertical="center"/>
    </xf>
    <xf numFmtId="0" fontId="0" fillId="6" borderId="1" xfId="0" applyFill="1" applyBorder="1"/>
    <xf numFmtId="0" fontId="1" fillId="4" borderId="1" xfId="0" applyFont="1" applyFill="1" applyBorder="1" applyAlignment="1">
      <alignment horizontal="center" vertical="center" readingOrder="1"/>
    </xf>
    <xf numFmtId="2" fontId="8" fillId="5" borderId="1" xfId="0" applyNumberFormat="1" applyFont="1" applyFill="1" applyBorder="1" applyAlignment="1">
      <alignment horizontal="center" vertical="center"/>
    </xf>
    <xf numFmtId="0" fontId="13" fillId="0" borderId="0" xfId="0" applyFont="1"/>
    <xf numFmtId="0" fontId="8" fillId="5" borderId="3" xfId="0" applyFont="1" applyFill="1" applyBorder="1" applyAlignment="1">
      <alignment horizontal="center" vertical="center"/>
    </xf>
    <xf numFmtId="2" fontId="1" fillId="6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2" fontId="1" fillId="4" borderId="1" xfId="0" applyNumberFormat="1" applyFont="1" applyFill="1" applyBorder="1" applyAlignment="1">
      <alignment horizontal="center" vertical="center" readingOrder="1"/>
    </xf>
    <xf numFmtId="0" fontId="0" fillId="4" borderId="0" xfId="0" applyFill="1"/>
    <xf numFmtId="164" fontId="13" fillId="0" borderId="0" xfId="0" applyNumberFormat="1" applyFont="1" applyAlignment="1">
      <alignment horizontal="center" vertical="center"/>
    </xf>
    <xf numFmtId="2" fontId="13" fillId="0" borderId="0" xfId="0" applyNumberFormat="1" applyFont="1"/>
    <xf numFmtId="0" fontId="13" fillId="4" borderId="0" xfId="0" applyFont="1" applyFill="1"/>
    <xf numFmtId="164" fontId="13" fillId="4" borderId="0" xfId="0" applyNumberFormat="1" applyFont="1" applyFill="1" applyAlignment="1">
      <alignment horizontal="center" vertical="center"/>
    </xf>
    <xf numFmtId="0" fontId="15" fillId="0" borderId="0" xfId="0" applyFont="1"/>
    <xf numFmtId="2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2" fontId="1" fillId="4" borderId="1" xfId="0" quotePrefix="1" applyNumberFormat="1" applyFont="1" applyFill="1" applyBorder="1" applyAlignment="1">
      <alignment horizontal="center" vertical="center"/>
    </xf>
    <xf numFmtId="2" fontId="1" fillId="7" borderId="1" xfId="0" applyNumberFormat="1" applyFont="1" applyFill="1" applyBorder="1" applyAlignment="1">
      <alignment horizontal="center" vertical="center"/>
    </xf>
    <xf numFmtId="15" fontId="7" fillId="5" borderId="1" xfId="1" applyNumberFormat="1" applyFont="1" applyFill="1" applyBorder="1" applyAlignment="1">
      <alignment horizontal="center" vertical="center"/>
    </xf>
    <xf numFmtId="15" fontId="10" fillId="5" borderId="1" xfId="1" applyNumberFormat="1" applyFont="1" applyFill="1" applyBorder="1" applyAlignment="1">
      <alignment horizontal="center" vertical="center"/>
    </xf>
    <xf numFmtId="2" fontId="1" fillId="5" borderId="1" xfId="0" applyNumberFormat="1" applyFont="1" applyFill="1" applyBorder="1" applyAlignment="1">
      <alignment horizontal="center" vertical="center"/>
    </xf>
    <xf numFmtId="2" fontId="1" fillId="4" borderId="3" xfId="0" applyNumberFormat="1" applyFont="1" applyFill="1" applyBorder="1" applyAlignment="1">
      <alignment horizontal="center" vertical="center"/>
    </xf>
    <xf numFmtId="2" fontId="8" fillId="5" borderId="7" xfId="0" applyNumberFormat="1" applyFont="1" applyFill="1" applyBorder="1" applyAlignment="1">
      <alignment horizontal="center" vertical="center"/>
    </xf>
    <xf numFmtId="2" fontId="1" fillId="8" borderId="1" xfId="0" applyNumberFormat="1" applyFont="1" applyFill="1" applyBorder="1" applyAlignment="1">
      <alignment horizontal="center" vertical="center"/>
    </xf>
    <xf numFmtId="2" fontId="1" fillId="9" borderId="1" xfId="0" applyNumberFormat="1" applyFont="1" applyFill="1" applyBorder="1" applyAlignment="1">
      <alignment horizontal="center" vertical="center"/>
    </xf>
    <xf numFmtId="2" fontId="1" fillId="10" borderId="1" xfId="0" applyNumberFormat="1" applyFont="1" applyFill="1" applyBorder="1" applyAlignment="1">
      <alignment horizontal="center" vertical="center"/>
    </xf>
    <xf numFmtId="15" fontId="7" fillId="11" borderId="1" xfId="1" applyNumberFormat="1" applyFont="1" applyFill="1" applyBorder="1" applyAlignment="1">
      <alignment horizontal="center" vertical="center"/>
    </xf>
    <xf numFmtId="15" fontId="10" fillId="11" borderId="1" xfId="1" applyNumberFormat="1" applyFont="1" applyFill="1" applyBorder="1" applyAlignment="1">
      <alignment horizontal="center" vertical="center"/>
    </xf>
    <xf numFmtId="15" fontId="10" fillId="12" borderId="1" xfId="1" applyNumberFormat="1" applyFont="1" applyFill="1" applyBorder="1" applyAlignment="1">
      <alignment horizontal="center" vertical="center"/>
    </xf>
    <xf numFmtId="15" fontId="7" fillId="13" borderId="1" xfId="1" applyNumberFormat="1" applyFont="1" applyFill="1" applyBorder="1" applyAlignment="1">
      <alignment horizontal="center" vertical="center"/>
    </xf>
    <xf numFmtId="15" fontId="7" fillId="14" borderId="1" xfId="1" applyNumberFormat="1" applyFont="1" applyFill="1" applyBorder="1" applyAlignment="1">
      <alignment horizontal="center" vertical="center"/>
    </xf>
    <xf numFmtId="15" fontId="7" fillId="12" borderId="1" xfId="1" applyNumberFormat="1" applyFont="1" applyFill="1" applyBorder="1" applyAlignment="1">
      <alignment horizontal="center" vertical="center"/>
    </xf>
    <xf numFmtId="2" fontId="1" fillId="15" borderId="1" xfId="0" applyNumberFormat="1" applyFont="1" applyFill="1" applyBorder="1" applyAlignment="1">
      <alignment horizontal="center" vertical="center"/>
    </xf>
    <xf numFmtId="15" fontId="7" fillId="15" borderId="1" xfId="1" applyNumberFormat="1" applyFont="1" applyFill="1" applyBorder="1" applyAlignment="1">
      <alignment horizontal="center" vertical="center"/>
    </xf>
    <xf numFmtId="15" fontId="7" fillId="7" borderId="1" xfId="1" applyNumberFormat="1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 textRotation="90"/>
    </xf>
    <xf numFmtId="0" fontId="8" fillId="4" borderId="3" xfId="0" applyFont="1" applyFill="1" applyBorder="1" applyAlignment="1">
      <alignment horizontal="center" vertical="center" textRotation="90"/>
    </xf>
    <xf numFmtId="0" fontId="8" fillId="4" borderId="4" xfId="0" applyFont="1" applyFill="1" applyBorder="1" applyAlignment="1">
      <alignment horizontal="center" vertical="center" textRotation="90"/>
    </xf>
    <xf numFmtId="15" fontId="8" fillId="5" borderId="5" xfId="1" applyNumberFormat="1" applyFont="1" applyFill="1" applyBorder="1" applyAlignment="1">
      <alignment horizontal="center" vertical="center" wrapText="1"/>
    </xf>
    <xf numFmtId="15" fontId="8" fillId="5" borderId="6" xfId="1" applyNumberFormat="1" applyFont="1" applyFill="1" applyBorder="1" applyAlignment="1">
      <alignment horizontal="center" vertical="center" wrapText="1"/>
    </xf>
    <xf numFmtId="0" fontId="1" fillId="6" borderId="5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 wrapText="1"/>
    </xf>
    <xf numFmtId="2" fontId="1" fillId="13" borderId="1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13" borderId="1" xfId="0" applyNumberFormat="1" applyFont="1" applyFill="1" applyBorder="1" applyAlignment="1">
      <alignment horizontal="center" vertical="center"/>
    </xf>
    <xf numFmtId="2" fontId="16" fillId="4" borderId="1" xfId="0" applyNumberFormat="1" applyFont="1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401"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00B050"/>
      </font>
    </dxf>
    <dxf>
      <font>
        <color rgb="FFC00000"/>
      </font>
    </dxf>
    <dxf>
      <font>
        <color rgb="FF7030A0"/>
      </font>
    </dxf>
    <dxf>
      <font>
        <color rgb="FF7030A0"/>
      </font>
    </dxf>
    <dxf>
      <font>
        <color rgb="FFC00000"/>
      </font>
    </dxf>
    <dxf>
      <font>
        <color rgb="FF00B05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7030A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ndense val="0"/>
        <extend val="0"/>
        <color rgb="FF9C0006"/>
      </font>
    </dxf>
    <dxf>
      <font>
        <color rgb="FF00B050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</dxf>
    <dxf>
      <font>
        <color rgb="FFFF0000"/>
      </font>
    </dxf>
    <dxf>
      <font>
        <color rgb="FFFF000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W63"/>
  <sheetViews>
    <sheetView zoomScale="60" zoomScaleNormal="60" workbookViewId="0">
      <selection activeCell="A38" sqref="A38:S38"/>
    </sheetView>
  </sheetViews>
  <sheetFormatPr defaultRowHeight="15"/>
  <cols>
    <col min="1" max="2" width="15" customWidth="1"/>
    <col min="3" max="3" width="15.28515625" customWidth="1"/>
    <col min="4" max="4" width="16.5703125" customWidth="1"/>
    <col min="5" max="5" width="15" customWidth="1"/>
    <col min="6" max="6" width="21" customWidth="1"/>
    <col min="7" max="7" width="16.28515625" customWidth="1"/>
    <col min="8" max="8" width="14.85546875" customWidth="1"/>
    <col min="9" max="10" width="16.42578125" customWidth="1"/>
    <col min="11" max="11" width="14.42578125" customWidth="1"/>
    <col min="12" max="12" width="18.85546875" customWidth="1"/>
    <col min="13" max="13" width="13.7109375" customWidth="1"/>
    <col min="14" max="14" width="14.140625" customWidth="1"/>
    <col min="15" max="15" width="14.5703125" customWidth="1"/>
    <col min="16" max="16" width="16.7109375" customWidth="1"/>
    <col min="17" max="17" width="13.85546875" customWidth="1"/>
    <col min="18" max="19" width="18" customWidth="1"/>
  </cols>
  <sheetData>
    <row r="1" spans="1:23" s="13" customFormat="1" ht="48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15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16</v>
      </c>
      <c r="T1" s="12"/>
      <c r="U1" s="12"/>
      <c r="V1" s="12"/>
      <c r="W1" s="12"/>
    </row>
    <row r="2" spans="1:23" ht="22.5" customHeight="1">
      <c r="A2" s="9">
        <v>44044</v>
      </c>
      <c r="B2" s="10" t="s">
        <v>21</v>
      </c>
      <c r="C2" s="5">
        <v>3709.82</v>
      </c>
      <c r="D2" s="5">
        <v>2978.24</v>
      </c>
      <c r="E2" s="5">
        <v>17.5</v>
      </c>
      <c r="F2" s="5">
        <v>35</v>
      </c>
      <c r="G2" s="5">
        <f t="shared" ref="G2:G37" si="0">SUM(C2:F2,N2)</f>
        <v>6850.5599999999995</v>
      </c>
      <c r="H2" s="5">
        <v>1786.93</v>
      </c>
      <c r="I2" s="5">
        <v>4874.16</v>
      </c>
      <c r="J2" s="5"/>
      <c r="K2" s="5">
        <v>57.03</v>
      </c>
      <c r="L2" s="5">
        <v>132.44</v>
      </c>
      <c r="M2" s="5">
        <v>136.15</v>
      </c>
      <c r="N2" s="5">
        <v>110</v>
      </c>
      <c r="O2" s="5">
        <v>8</v>
      </c>
      <c r="P2" s="5">
        <v>1554.71</v>
      </c>
      <c r="Q2" s="5">
        <v>400</v>
      </c>
      <c r="R2" s="3">
        <f t="shared" ref="R2:R27" si="1">SUM(M2,N2,O2,P2)-H2</f>
        <v>21.930000000000064</v>
      </c>
      <c r="S2" s="6">
        <f>SUM(J2)-(I2+L2)</f>
        <v>-5006.5999999999995</v>
      </c>
    </row>
    <row r="3" spans="1:23" ht="22.5" customHeight="1">
      <c r="A3" s="9">
        <v>44045</v>
      </c>
      <c r="B3" s="10" t="s">
        <v>22</v>
      </c>
      <c r="C3" s="5">
        <v>2703.27</v>
      </c>
      <c r="D3" s="5">
        <v>2414.94</v>
      </c>
      <c r="E3" s="5">
        <v>0</v>
      </c>
      <c r="F3" s="11">
        <v>47</v>
      </c>
      <c r="G3" s="5">
        <f t="shared" si="0"/>
        <v>5285.21</v>
      </c>
      <c r="H3" s="5">
        <v>1869.56</v>
      </c>
      <c r="I3" s="5">
        <v>3347.7</v>
      </c>
      <c r="J3" s="5"/>
      <c r="K3" s="5">
        <v>0</v>
      </c>
      <c r="L3" s="5">
        <v>67.95</v>
      </c>
      <c r="M3" s="5">
        <v>0</v>
      </c>
      <c r="N3" s="5">
        <v>120</v>
      </c>
      <c r="O3" s="5">
        <v>52</v>
      </c>
      <c r="P3" s="5">
        <v>1654.09</v>
      </c>
      <c r="Q3" s="5">
        <v>400</v>
      </c>
      <c r="R3" s="2">
        <f t="shared" si="1"/>
        <v>-43.470000000000027</v>
      </c>
      <c r="S3" s="6">
        <f t="shared" ref="S3:S35" si="2">SUM(J3)-(I3+L3)</f>
        <v>-3415.6499999999996</v>
      </c>
    </row>
    <row r="4" spans="1:23" s="17" customFormat="1" ht="39" customHeight="1">
      <c r="A4" s="14" t="s">
        <v>27</v>
      </c>
      <c r="B4" s="16"/>
      <c r="C4" s="15">
        <f>SUM(C2:C3)</f>
        <v>6413.09</v>
      </c>
      <c r="D4" s="15">
        <f t="shared" ref="D4:S4" si="3">SUM(D2:D3)</f>
        <v>5393.18</v>
      </c>
      <c r="E4" s="15">
        <f t="shared" si="3"/>
        <v>17.5</v>
      </c>
      <c r="F4" s="15">
        <f t="shared" si="3"/>
        <v>82</v>
      </c>
      <c r="G4" s="15">
        <f t="shared" si="3"/>
        <v>12135.77</v>
      </c>
      <c r="H4" s="15">
        <f t="shared" si="3"/>
        <v>3656.49</v>
      </c>
      <c r="I4" s="15">
        <f t="shared" si="3"/>
        <v>8221.86</v>
      </c>
      <c r="J4" s="15">
        <f t="shared" si="3"/>
        <v>0</v>
      </c>
      <c r="K4" s="15">
        <f t="shared" si="3"/>
        <v>57.03</v>
      </c>
      <c r="L4" s="15">
        <f t="shared" si="3"/>
        <v>200.39</v>
      </c>
      <c r="M4" s="15">
        <f t="shared" si="3"/>
        <v>136.15</v>
      </c>
      <c r="N4" s="15">
        <f t="shared" si="3"/>
        <v>230</v>
      </c>
      <c r="O4" s="15">
        <f t="shared" si="3"/>
        <v>60</v>
      </c>
      <c r="P4" s="15">
        <f t="shared" si="3"/>
        <v>3208.8</v>
      </c>
      <c r="Q4" s="15">
        <f t="shared" si="3"/>
        <v>800</v>
      </c>
      <c r="R4" s="15">
        <f t="shared" si="3"/>
        <v>-21.539999999999964</v>
      </c>
      <c r="S4" s="15">
        <f t="shared" si="3"/>
        <v>-8422.25</v>
      </c>
    </row>
    <row r="5" spans="1:23" ht="18.75">
      <c r="A5" s="9">
        <v>44046</v>
      </c>
      <c r="B5" s="10" t="s">
        <v>23</v>
      </c>
      <c r="C5" s="5">
        <v>2644.87</v>
      </c>
      <c r="D5" s="5">
        <v>1584.16</v>
      </c>
      <c r="E5" s="5">
        <v>10.5</v>
      </c>
      <c r="F5" s="5">
        <v>37</v>
      </c>
      <c r="G5" s="5">
        <f t="shared" si="0"/>
        <v>4306.53</v>
      </c>
      <c r="H5" s="5">
        <v>1914.07</v>
      </c>
      <c r="I5" s="5">
        <v>2273.58</v>
      </c>
      <c r="J5" s="5"/>
      <c r="K5" s="5">
        <v>0</v>
      </c>
      <c r="L5" s="5">
        <v>118.88</v>
      </c>
      <c r="M5" s="5">
        <v>80</v>
      </c>
      <c r="N5" s="5">
        <v>30</v>
      </c>
      <c r="O5" s="5">
        <v>9</v>
      </c>
      <c r="P5" s="5">
        <v>1776</v>
      </c>
      <c r="Q5" s="5">
        <v>400</v>
      </c>
      <c r="R5" s="2">
        <f t="shared" si="1"/>
        <v>-19.069999999999936</v>
      </c>
      <c r="S5" s="6">
        <f t="shared" si="2"/>
        <v>-2392.46</v>
      </c>
    </row>
    <row r="6" spans="1:23" ht="18.75">
      <c r="A6" s="9">
        <v>44047</v>
      </c>
      <c r="B6" s="10" t="s">
        <v>24</v>
      </c>
      <c r="C6" s="5">
        <v>2359.83</v>
      </c>
      <c r="D6" s="5">
        <v>1492.31</v>
      </c>
      <c r="E6" s="5">
        <v>30</v>
      </c>
      <c r="F6" s="5">
        <v>30</v>
      </c>
      <c r="G6" s="5">
        <f t="shared" si="0"/>
        <v>3952.14</v>
      </c>
      <c r="H6" s="5">
        <v>1266.23</v>
      </c>
      <c r="I6" s="5">
        <v>2556.0100000000002</v>
      </c>
      <c r="J6" s="5"/>
      <c r="K6" s="5">
        <v>0</v>
      </c>
      <c r="L6" s="5">
        <v>80.040000000000006</v>
      </c>
      <c r="M6" s="5">
        <v>12.99</v>
      </c>
      <c r="N6" s="5">
        <v>40</v>
      </c>
      <c r="O6" s="5">
        <v>35</v>
      </c>
      <c r="P6" s="5">
        <v>1238.68</v>
      </c>
      <c r="Q6" s="5">
        <v>400</v>
      </c>
      <c r="R6" s="3">
        <f t="shared" si="1"/>
        <v>60.440000000000055</v>
      </c>
      <c r="S6" s="6">
        <f t="shared" si="2"/>
        <v>-2636.05</v>
      </c>
    </row>
    <row r="7" spans="1:23" ht="18.75">
      <c r="A7" s="9">
        <v>44048</v>
      </c>
      <c r="B7" s="10" t="s">
        <v>25</v>
      </c>
      <c r="C7" s="5">
        <v>2890.6</v>
      </c>
      <c r="D7" s="5">
        <v>1755.87</v>
      </c>
      <c r="E7" s="5">
        <v>12</v>
      </c>
      <c r="F7" s="5">
        <v>56</v>
      </c>
      <c r="G7" s="5">
        <f t="shared" si="0"/>
        <v>4744.4699999999993</v>
      </c>
      <c r="H7" s="5">
        <v>1330.76</v>
      </c>
      <c r="I7" s="5">
        <v>3017.17</v>
      </c>
      <c r="J7" s="5"/>
      <c r="K7" s="5">
        <v>104.43</v>
      </c>
      <c r="L7" s="5">
        <v>212.75</v>
      </c>
      <c r="M7" s="5">
        <v>0</v>
      </c>
      <c r="N7" s="5">
        <v>30</v>
      </c>
      <c r="O7" s="5">
        <v>35</v>
      </c>
      <c r="P7" s="5">
        <v>1268.95</v>
      </c>
      <c r="Q7" s="5">
        <v>400</v>
      </c>
      <c r="R7" s="3">
        <f t="shared" si="1"/>
        <v>3.1900000000000546</v>
      </c>
      <c r="S7" s="6">
        <f t="shared" si="2"/>
        <v>-3229.92</v>
      </c>
    </row>
    <row r="8" spans="1:23" ht="18.75">
      <c r="A8" s="9">
        <v>44049</v>
      </c>
      <c r="B8" s="10" t="s">
        <v>26</v>
      </c>
      <c r="C8" s="5">
        <v>3055.51</v>
      </c>
      <c r="D8" s="5">
        <v>2001.93</v>
      </c>
      <c r="E8" s="5">
        <v>6.5</v>
      </c>
      <c r="F8" s="5">
        <v>30</v>
      </c>
      <c r="G8" s="5">
        <f t="shared" si="0"/>
        <v>5113.9400000000005</v>
      </c>
      <c r="H8" s="5">
        <v>1482.78</v>
      </c>
      <c r="I8" s="5">
        <v>3342.7</v>
      </c>
      <c r="J8" s="5"/>
      <c r="K8" s="5">
        <v>40</v>
      </c>
      <c r="L8" s="5">
        <v>174.27</v>
      </c>
      <c r="M8" s="5">
        <v>0</v>
      </c>
      <c r="N8" s="5">
        <v>20</v>
      </c>
      <c r="O8" s="5">
        <v>12</v>
      </c>
      <c r="P8" s="5">
        <v>1459.82</v>
      </c>
      <c r="Q8" s="5">
        <v>400</v>
      </c>
      <c r="R8" s="3">
        <f t="shared" si="1"/>
        <v>9.0399999999999636</v>
      </c>
      <c r="S8" s="6">
        <f t="shared" si="2"/>
        <v>-3516.97</v>
      </c>
    </row>
    <row r="9" spans="1:23" ht="18.75">
      <c r="A9" s="9">
        <v>44050</v>
      </c>
      <c r="B9" s="10" t="s">
        <v>20</v>
      </c>
      <c r="C9" s="5">
        <v>3234.92</v>
      </c>
      <c r="D9" s="5">
        <v>2963.86</v>
      </c>
      <c r="E9" s="5">
        <v>51</v>
      </c>
      <c r="F9" s="5">
        <v>81</v>
      </c>
      <c r="G9" s="5">
        <f t="shared" si="0"/>
        <v>6445.7800000000007</v>
      </c>
      <c r="H9" s="5">
        <v>1721.44</v>
      </c>
      <c r="I9" s="5">
        <v>4532.8</v>
      </c>
      <c r="J9" s="5"/>
      <c r="K9" s="5">
        <v>0</v>
      </c>
      <c r="L9" s="5">
        <v>48.44</v>
      </c>
      <c r="M9" s="5">
        <v>0</v>
      </c>
      <c r="N9" s="5">
        <v>115</v>
      </c>
      <c r="O9" s="5">
        <v>66</v>
      </c>
      <c r="P9" s="5">
        <v>1567.87</v>
      </c>
      <c r="Q9" s="5">
        <v>400</v>
      </c>
      <c r="R9" s="3">
        <f t="shared" si="1"/>
        <v>27.429999999999836</v>
      </c>
      <c r="S9" s="6">
        <f t="shared" si="2"/>
        <v>-4581.24</v>
      </c>
    </row>
    <row r="10" spans="1:23" ht="18.75">
      <c r="A10" s="9">
        <v>44051</v>
      </c>
      <c r="B10" s="10" t="s">
        <v>21</v>
      </c>
      <c r="C10" s="5">
        <v>3362.06</v>
      </c>
      <c r="D10" s="5">
        <v>3176.38</v>
      </c>
      <c r="E10" s="5">
        <v>47.5</v>
      </c>
      <c r="F10" s="5">
        <v>43</v>
      </c>
      <c r="G10" s="5">
        <f t="shared" si="0"/>
        <v>6738.9400000000005</v>
      </c>
      <c r="H10" s="5">
        <v>2140.6</v>
      </c>
      <c r="I10" s="5">
        <v>4386.95</v>
      </c>
      <c r="J10" s="5"/>
      <c r="K10" s="5">
        <v>0</v>
      </c>
      <c r="L10" s="5">
        <v>188.14</v>
      </c>
      <c r="M10" s="5">
        <v>104.35</v>
      </c>
      <c r="N10" s="5">
        <v>110</v>
      </c>
      <c r="O10" s="5">
        <v>0</v>
      </c>
      <c r="P10" s="5">
        <v>1882.34</v>
      </c>
      <c r="Q10" s="5">
        <v>400</v>
      </c>
      <c r="R10" s="2">
        <f t="shared" si="1"/>
        <v>-43.909999999999854</v>
      </c>
      <c r="S10" s="6">
        <f t="shared" si="2"/>
        <v>-4575.09</v>
      </c>
    </row>
    <row r="11" spans="1:23" ht="18.75">
      <c r="A11" s="9">
        <v>44052</v>
      </c>
      <c r="B11" s="10" t="s">
        <v>22</v>
      </c>
      <c r="C11" s="5">
        <v>3401.44</v>
      </c>
      <c r="D11" s="5">
        <v>2037.82</v>
      </c>
      <c r="E11" s="5">
        <v>2.5</v>
      </c>
      <c r="F11" s="5">
        <v>54</v>
      </c>
      <c r="G11" s="5">
        <f t="shared" si="0"/>
        <v>5605.76</v>
      </c>
      <c r="H11" s="5">
        <v>2087.61</v>
      </c>
      <c r="I11" s="5">
        <v>3435.57</v>
      </c>
      <c r="J11" s="5"/>
      <c r="K11" s="5">
        <v>0</v>
      </c>
      <c r="L11" s="5">
        <v>66.89</v>
      </c>
      <c r="M11" s="5">
        <v>0</v>
      </c>
      <c r="N11" s="5">
        <v>110</v>
      </c>
      <c r="O11" s="5">
        <v>52</v>
      </c>
      <c r="P11" s="5">
        <v>1936.15</v>
      </c>
      <c r="Q11" s="5">
        <v>400</v>
      </c>
      <c r="R11" s="3">
        <f t="shared" si="1"/>
        <v>10.539999999999964</v>
      </c>
      <c r="S11" s="6">
        <f t="shared" si="2"/>
        <v>-3502.46</v>
      </c>
    </row>
    <row r="12" spans="1:23" s="17" customFormat="1" ht="39" customHeight="1">
      <c r="A12" s="14" t="s">
        <v>27</v>
      </c>
      <c r="B12" s="16"/>
      <c r="C12" s="15">
        <f>SUM(C5:C11)</f>
        <v>20949.23</v>
      </c>
      <c r="D12" s="15">
        <f t="shared" ref="D12:S12" si="4">SUM(D5:D11)</f>
        <v>15012.330000000002</v>
      </c>
      <c r="E12" s="15">
        <f t="shared" si="4"/>
        <v>160</v>
      </c>
      <c r="F12" s="15">
        <f t="shared" si="4"/>
        <v>331</v>
      </c>
      <c r="G12" s="15">
        <f t="shared" si="4"/>
        <v>36907.560000000005</v>
      </c>
      <c r="H12" s="15">
        <f t="shared" si="4"/>
        <v>11943.490000000002</v>
      </c>
      <c r="I12" s="15">
        <f t="shared" si="4"/>
        <v>23544.78</v>
      </c>
      <c r="J12" s="15">
        <f t="shared" si="4"/>
        <v>0</v>
      </c>
      <c r="K12" s="15">
        <f t="shared" si="4"/>
        <v>144.43</v>
      </c>
      <c r="L12" s="15">
        <f t="shared" si="4"/>
        <v>889.41000000000008</v>
      </c>
      <c r="M12" s="15">
        <f t="shared" si="4"/>
        <v>197.33999999999997</v>
      </c>
      <c r="N12" s="15">
        <f t="shared" si="4"/>
        <v>455</v>
      </c>
      <c r="O12" s="15">
        <f t="shared" si="4"/>
        <v>209</v>
      </c>
      <c r="P12" s="15">
        <f t="shared" si="4"/>
        <v>11129.81</v>
      </c>
      <c r="Q12" s="15">
        <f t="shared" si="4"/>
        <v>2800</v>
      </c>
      <c r="R12" s="15">
        <f t="shared" si="4"/>
        <v>47.660000000000082</v>
      </c>
      <c r="S12" s="15">
        <f t="shared" si="4"/>
        <v>-24434.19</v>
      </c>
    </row>
    <row r="13" spans="1:23" ht="18.75">
      <c r="A13" s="9">
        <v>44053</v>
      </c>
      <c r="B13" s="10" t="s">
        <v>23</v>
      </c>
      <c r="C13" s="5">
        <v>3487.16</v>
      </c>
      <c r="D13" s="5">
        <v>2144.73</v>
      </c>
      <c r="E13" s="5">
        <v>19.5</v>
      </c>
      <c r="F13" s="5">
        <v>25</v>
      </c>
      <c r="G13" s="5">
        <f t="shared" si="0"/>
        <v>5676.3899999999994</v>
      </c>
      <c r="H13" s="5">
        <v>1450.92</v>
      </c>
      <c r="I13" s="5">
        <v>3766.74</v>
      </c>
      <c r="J13" s="5"/>
      <c r="K13" s="5">
        <v>293.95999999999998</v>
      </c>
      <c r="L13" s="5">
        <v>135.99</v>
      </c>
      <c r="M13" s="5">
        <v>83.23</v>
      </c>
      <c r="N13" s="5">
        <v>0</v>
      </c>
      <c r="O13" s="5">
        <v>12.5</v>
      </c>
      <c r="P13" s="5">
        <v>1360.19</v>
      </c>
      <c r="Q13" s="5">
        <v>400</v>
      </c>
      <c r="R13" s="3">
        <f t="shared" si="1"/>
        <v>5</v>
      </c>
      <c r="S13" s="6">
        <f t="shared" si="2"/>
        <v>-3902.7299999999996</v>
      </c>
    </row>
    <row r="14" spans="1:23" ht="18.75">
      <c r="A14" s="9">
        <v>44054</v>
      </c>
      <c r="B14" s="10" t="s">
        <v>24</v>
      </c>
      <c r="C14" s="5">
        <v>2751.53</v>
      </c>
      <c r="D14" s="5">
        <v>1960.85</v>
      </c>
      <c r="E14" s="5">
        <v>37.5</v>
      </c>
      <c r="F14" s="5">
        <v>10</v>
      </c>
      <c r="G14" s="5">
        <f t="shared" si="0"/>
        <v>4809.88</v>
      </c>
      <c r="H14" s="5">
        <v>1487.66</v>
      </c>
      <c r="I14" s="5">
        <v>3174.48</v>
      </c>
      <c r="J14" s="5"/>
      <c r="K14" s="5">
        <v>0</v>
      </c>
      <c r="L14" s="5">
        <v>146.38999999999999</v>
      </c>
      <c r="M14" s="5">
        <v>82.3</v>
      </c>
      <c r="N14" s="5">
        <v>50</v>
      </c>
      <c r="O14" s="5">
        <v>5</v>
      </c>
      <c r="P14" s="5">
        <v>1352.46</v>
      </c>
      <c r="Q14" s="5">
        <v>400</v>
      </c>
      <c r="R14" s="3">
        <f t="shared" si="1"/>
        <v>2.0999999999999091</v>
      </c>
      <c r="S14" s="6">
        <f t="shared" si="2"/>
        <v>-3320.87</v>
      </c>
    </row>
    <row r="15" spans="1:23" ht="18.75">
      <c r="A15" s="9">
        <v>44055</v>
      </c>
      <c r="B15" s="10" t="s">
        <v>25</v>
      </c>
      <c r="C15" s="5">
        <v>2668.52</v>
      </c>
      <c r="D15" s="5">
        <v>2139.41</v>
      </c>
      <c r="E15" s="5">
        <v>4</v>
      </c>
      <c r="F15" s="5">
        <v>24</v>
      </c>
      <c r="G15" s="5">
        <f t="shared" si="0"/>
        <v>5045.93</v>
      </c>
      <c r="H15" s="5">
        <v>1609.33</v>
      </c>
      <c r="I15" s="5">
        <v>3333.67</v>
      </c>
      <c r="J15" s="5"/>
      <c r="K15" s="5">
        <v>16.03</v>
      </c>
      <c r="L15" s="5">
        <v>0</v>
      </c>
      <c r="M15" s="5">
        <v>0</v>
      </c>
      <c r="N15" s="5">
        <v>210</v>
      </c>
      <c r="O15" s="5">
        <v>2</v>
      </c>
      <c r="P15" s="5">
        <v>1437.81</v>
      </c>
      <c r="Q15" s="5">
        <v>400</v>
      </c>
      <c r="R15" s="3">
        <f t="shared" si="1"/>
        <v>40.480000000000018</v>
      </c>
      <c r="S15" s="6">
        <f t="shared" si="2"/>
        <v>-3333.67</v>
      </c>
    </row>
    <row r="16" spans="1:23" ht="18.75">
      <c r="A16" s="9">
        <v>44056</v>
      </c>
      <c r="B16" s="10" t="s">
        <v>26</v>
      </c>
      <c r="C16" s="5">
        <v>3086.12</v>
      </c>
      <c r="D16" s="5">
        <v>2073</v>
      </c>
      <c r="E16" s="5">
        <v>3</v>
      </c>
      <c r="F16" s="5">
        <v>12</v>
      </c>
      <c r="G16" s="5">
        <f t="shared" si="0"/>
        <v>5264.12</v>
      </c>
      <c r="H16" s="5">
        <v>1793.75</v>
      </c>
      <c r="I16" s="5">
        <v>3285.14</v>
      </c>
      <c r="J16" s="5"/>
      <c r="K16" s="5">
        <v>74.92</v>
      </c>
      <c r="L16" s="5">
        <v>105.96</v>
      </c>
      <c r="M16" s="5">
        <v>7.18</v>
      </c>
      <c r="N16" s="5">
        <v>90</v>
      </c>
      <c r="O16" s="5">
        <v>35</v>
      </c>
      <c r="P16" s="5">
        <v>1636.47</v>
      </c>
      <c r="Q16" s="5">
        <v>400</v>
      </c>
      <c r="R16" s="2">
        <f t="shared" si="1"/>
        <v>-25.099999999999909</v>
      </c>
      <c r="S16" s="6">
        <f t="shared" si="2"/>
        <v>-3391.1</v>
      </c>
    </row>
    <row r="17" spans="1:19" ht="18.75">
      <c r="A17" s="9">
        <v>44057</v>
      </c>
      <c r="B17" s="10" t="s">
        <v>20</v>
      </c>
      <c r="C17" s="5">
        <v>3157.42</v>
      </c>
      <c r="D17" s="5">
        <v>2744.08</v>
      </c>
      <c r="E17" s="5">
        <v>45.5</v>
      </c>
      <c r="F17" s="5">
        <v>34</v>
      </c>
      <c r="G17" s="5">
        <f t="shared" si="0"/>
        <v>6041</v>
      </c>
      <c r="H17" s="5">
        <v>1685.95</v>
      </c>
      <c r="I17" s="5">
        <v>4079.4</v>
      </c>
      <c r="J17" s="5"/>
      <c r="K17" s="5">
        <v>17.010000000000002</v>
      </c>
      <c r="L17" s="5">
        <v>217.63</v>
      </c>
      <c r="M17" s="5">
        <v>67.12</v>
      </c>
      <c r="N17" s="5">
        <v>60</v>
      </c>
      <c r="O17" s="5">
        <v>28.7</v>
      </c>
      <c r="P17" s="5">
        <v>1539.47</v>
      </c>
      <c r="Q17" s="5">
        <v>400</v>
      </c>
      <c r="R17" s="3">
        <f t="shared" si="1"/>
        <v>9.3399999999999181</v>
      </c>
      <c r="S17" s="6">
        <f t="shared" si="2"/>
        <v>-4297.03</v>
      </c>
    </row>
    <row r="18" spans="1:19" ht="18.75">
      <c r="A18" s="9">
        <v>44058</v>
      </c>
      <c r="B18" s="10" t="s">
        <v>21</v>
      </c>
      <c r="C18" s="5">
        <v>3330.41</v>
      </c>
      <c r="D18" s="5">
        <v>2564.56</v>
      </c>
      <c r="E18" s="5">
        <v>4</v>
      </c>
      <c r="F18" s="5">
        <v>10</v>
      </c>
      <c r="G18" s="5">
        <f t="shared" si="0"/>
        <v>5963.9699999999993</v>
      </c>
      <c r="H18" s="5">
        <v>2258.5</v>
      </c>
      <c r="I18" s="5">
        <v>3660.47</v>
      </c>
      <c r="J18" s="5"/>
      <c r="K18" s="5">
        <v>0</v>
      </c>
      <c r="L18" s="5">
        <v>67.48</v>
      </c>
      <c r="M18" s="5">
        <v>109.3</v>
      </c>
      <c r="N18" s="5">
        <v>55</v>
      </c>
      <c r="O18" s="5">
        <v>16</v>
      </c>
      <c r="P18" s="5">
        <v>2098.38</v>
      </c>
      <c r="Q18" s="5">
        <v>400</v>
      </c>
      <c r="R18" s="3">
        <f t="shared" si="1"/>
        <v>20.180000000000291</v>
      </c>
      <c r="S18" s="6">
        <f t="shared" si="2"/>
        <v>-3727.95</v>
      </c>
    </row>
    <row r="19" spans="1:19" ht="18.75">
      <c r="A19" s="9">
        <v>44059</v>
      </c>
      <c r="B19" s="10" t="s">
        <v>22</v>
      </c>
      <c r="C19" s="5">
        <v>2197.4</v>
      </c>
      <c r="D19" s="5">
        <v>1808.14</v>
      </c>
      <c r="E19" s="5">
        <v>0</v>
      </c>
      <c r="F19" s="5">
        <v>36</v>
      </c>
      <c r="G19" s="5">
        <f t="shared" si="0"/>
        <v>4051.54</v>
      </c>
      <c r="H19" s="5">
        <v>1667.63</v>
      </c>
      <c r="I19" s="5">
        <v>2342.6799999999998</v>
      </c>
      <c r="J19" s="5"/>
      <c r="K19" s="5">
        <v>0</v>
      </c>
      <c r="L19" s="5">
        <v>73.849999999999994</v>
      </c>
      <c r="M19" s="5">
        <v>0</v>
      </c>
      <c r="N19" s="5">
        <v>10</v>
      </c>
      <c r="O19" s="5">
        <v>7</v>
      </c>
      <c r="P19" s="5">
        <v>1600.67</v>
      </c>
      <c r="Q19" s="5">
        <v>400</v>
      </c>
      <c r="R19" s="2">
        <f t="shared" si="1"/>
        <v>-49.960000000000036</v>
      </c>
      <c r="S19" s="6">
        <f t="shared" si="2"/>
        <v>-2416.5299999999997</v>
      </c>
    </row>
    <row r="20" spans="1:19" s="17" customFormat="1" ht="39" customHeight="1">
      <c r="A20" s="14" t="s">
        <v>27</v>
      </c>
      <c r="B20" s="16"/>
      <c r="C20" s="15">
        <f>SUM(C13:C19)</f>
        <v>20678.560000000005</v>
      </c>
      <c r="D20" s="15">
        <f t="shared" ref="D20:S20" si="5">SUM(D13:D19)</f>
        <v>15434.769999999999</v>
      </c>
      <c r="E20" s="15">
        <f t="shared" si="5"/>
        <v>113.5</v>
      </c>
      <c r="F20" s="15">
        <f t="shared" si="5"/>
        <v>151</v>
      </c>
      <c r="G20" s="15">
        <f t="shared" si="5"/>
        <v>36852.83</v>
      </c>
      <c r="H20" s="15">
        <f t="shared" si="5"/>
        <v>11953.740000000002</v>
      </c>
      <c r="I20" s="15">
        <f t="shared" si="5"/>
        <v>23642.58</v>
      </c>
      <c r="J20" s="15">
        <f t="shared" si="5"/>
        <v>0</v>
      </c>
      <c r="K20" s="15">
        <f t="shared" si="5"/>
        <v>401.92</v>
      </c>
      <c r="L20" s="15">
        <f t="shared" si="5"/>
        <v>747.30000000000007</v>
      </c>
      <c r="M20" s="15">
        <f t="shared" si="5"/>
        <v>349.13</v>
      </c>
      <c r="N20" s="15">
        <f t="shared" si="5"/>
        <v>475</v>
      </c>
      <c r="O20" s="15">
        <f t="shared" si="5"/>
        <v>106.2</v>
      </c>
      <c r="P20" s="15">
        <f t="shared" si="5"/>
        <v>11025.45</v>
      </c>
      <c r="Q20" s="15">
        <f t="shared" si="5"/>
        <v>2800</v>
      </c>
      <c r="R20" s="15">
        <f t="shared" si="5"/>
        <v>2.040000000000191</v>
      </c>
      <c r="S20" s="15">
        <f t="shared" si="5"/>
        <v>-24389.88</v>
      </c>
    </row>
    <row r="21" spans="1:19" ht="18.75">
      <c r="A21" s="9">
        <v>44060</v>
      </c>
      <c r="B21" s="10" t="s">
        <v>23</v>
      </c>
      <c r="C21" s="5">
        <v>1028.02</v>
      </c>
      <c r="D21" s="5">
        <v>1454.21</v>
      </c>
      <c r="E21" s="5">
        <v>1.5</v>
      </c>
      <c r="F21" s="5">
        <v>12</v>
      </c>
      <c r="G21" s="5">
        <f t="shared" si="0"/>
        <v>2505.73</v>
      </c>
      <c r="H21" s="5">
        <v>956.23</v>
      </c>
      <c r="I21" s="5">
        <v>1551.16</v>
      </c>
      <c r="J21" s="5"/>
      <c r="K21" s="5">
        <v>0</v>
      </c>
      <c r="L21" s="5">
        <v>0</v>
      </c>
      <c r="M21" s="5">
        <v>85.52</v>
      </c>
      <c r="N21" s="5">
        <v>10</v>
      </c>
      <c r="O21" s="5">
        <v>0</v>
      </c>
      <c r="P21" s="5">
        <v>848.79</v>
      </c>
      <c r="Q21" s="5">
        <v>400</v>
      </c>
      <c r="R21" s="2">
        <f t="shared" si="1"/>
        <v>-11.920000000000073</v>
      </c>
      <c r="S21" s="6">
        <f t="shared" si="2"/>
        <v>-1551.16</v>
      </c>
    </row>
    <row r="22" spans="1:19" ht="18.75">
      <c r="A22" s="9">
        <v>44061</v>
      </c>
      <c r="B22" s="10" t="s">
        <v>24</v>
      </c>
      <c r="C22" s="5">
        <v>1873.82</v>
      </c>
      <c r="D22" s="5">
        <v>1612.95</v>
      </c>
      <c r="E22" s="5">
        <v>37.5</v>
      </c>
      <c r="F22" s="5">
        <v>9</v>
      </c>
      <c r="G22" s="5">
        <f t="shared" si="0"/>
        <v>3533.27</v>
      </c>
      <c r="H22" s="5">
        <v>1056.9000000000001</v>
      </c>
      <c r="I22" s="5">
        <v>2369.56</v>
      </c>
      <c r="J22" s="5"/>
      <c r="K22" s="5">
        <v>0</v>
      </c>
      <c r="L22" s="5">
        <v>0</v>
      </c>
      <c r="M22" s="5">
        <v>47.5</v>
      </c>
      <c r="N22" s="5">
        <v>0</v>
      </c>
      <c r="O22" s="5">
        <v>0</v>
      </c>
      <c r="P22" s="5">
        <v>1016.01</v>
      </c>
      <c r="Q22" s="5">
        <v>400</v>
      </c>
      <c r="R22" s="3">
        <f t="shared" si="1"/>
        <v>6.6099999999999</v>
      </c>
      <c r="S22" s="6">
        <f t="shared" si="2"/>
        <v>-2369.56</v>
      </c>
    </row>
    <row r="23" spans="1:19" ht="18.75">
      <c r="A23" s="9">
        <v>44062</v>
      </c>
      <c r="B23" s="10" t="s">
        <v>25</v>
      </c>
      <c r="C23" s="5">
        <v>2447.27</v>
      </c>
      <c r="D23" s="5">
        <v>1542.72</v>
      </c>
      <c r="E23" s="5">
        <v>12</v>
      </c>
      <c r="F23" s="5">
        <v>31</v>
      </c>
      <c r="G23" s="5">
        <f t="shared" si="0"/>
        <v>4112.99</v>
      </c>
      <c r="H23" s="5">
        <v>1187.52</v>
      </c>
      <c r="I23" s="5">
        <v>2807.6</v>
      </c>
      <c r="J23" s="5">
        <v>2920.47</v>
      </c>
      <c r="K23" s="5">
        <v>0</v>
      </c>
      <c r="L23" s="5">
        <v>98.35</v>
      </c>
      <c r="M23" s="5">
        <v>0</v>
      </c>
      <c r="N23" s="5">
        <v>80</v>
      </c>
      <c r="O23" s="5">
        <v>5</v>
      </c>
      <c r="P23" s="5">
        <v>1113</v>
      </c>
      <c r="Q23" s="5">
        <v>400</v>
      </c>
      <c r="R23" s="3">
        <f t="shared" si="1"/>
        <v>10.480000000000018</v>
      </c>
      <c r="S23" s="4">
        <f t="shared" si="2"/>
        <v>14.519999999999982</v>
      </c>
    </row>
    <row r="24" spans="1:19" ht="18.75">
      <c r="A24" s="9">
        <v>44063</v>
      </c>
      <c r="B24" s="10" t="s">
        <v>26</v>
      </c>
      <c r="C24" s="5">
        <v>3256.52</v>
      </c>
      <c r="D24" s="5">
        <v>2276.8000000000002</v>
      </c>
      <c r="E24" s="5">
        <v>6</v>
      </c>
      <c r="F24" s="5">
        <v>45</v>
      </c>
      <c r="G24" s="5">
        <f t="shared" si="0"/>
        <v>5737.32</v>
      </c>
      <c r="H24" s="5">
        <v>1817.83</v>
      </c>
      <c r="I24" s="5">
        <v>3796.34</v>
      </c>
      <c r="J24" s="5">
        <v>3919.49</v>
      </c>
      <c r="K24" s="5">
        <v>0</v>
      </c>
      <c r="L24" s="5">
        <v>109.17</v>
      </c>
      <c r="M24" s="5">
        <v>496.04</v>
      </c>
      <c r="N24" s="5">
        <v>153</v>
      </c>
      <c r="O24" s="5">
        <v>15</v>
      </c>
      <c r="P24" s="5">
        <v>1166.3699999999999</v>
      </c>
      <c r="Q24" s="5">
        <v>400</v>
      </c>
      <c r="R24" s="3">
        <f t="shared" si="1"/>
        <v>12.579999999999927</v>
      </c>
      <c r="S24" s="4">
        <f t="shared" si="2"/>
        <v>13.979999999999563</v>
      </c>
    </row>
    <row r="25" spans="1:19" ht="18.75">
      <c r="A25" s="9">
        <v>44064</v>
      </c>
      <c r="B25" s="10" t="s">
        <v>20</v>
      </c>
      <c r="C25" s="5">
        <v>3261.62</v>
      </c>
      <c r="D25" s="5">
        <v>2377.44</v>
      </c>
      <c r="E25" s="5">
        <v>45</v>
      </c>
      <c r="F25" s="5">
        <v>54</v>
      </c>
      <c r="G25" s="5">
        <f t="shared" si="0"/>
        <v>5818.0599999999995</v>
      </c>
      <c r="H25" s="5">
        <v>1819.54</v>
      </c>
      <c r="I25" s="5">
        <v>3678.21</v>
      </c>
      <c r="J25" s="5">
        <v>3998.86</v>
      </c>
      <c r="K25" s="5">
        <v>0</v>
      </c>
      <c r="L25" s="5">
        <v>300.05</v>
      </c>
      <c r="M25" s="5">
        <v>22.02</v>
      </c>
      <c r="N25" s="5">
        <v>80</v>
      </c>
      <c r="O25" s="5">
        <v>19</v>
      </c>
      <c r="P25" s="5">
        <v>1719.46</v>
      </c>
      <c r="Q25" s="5">
        <v>400</v>
      </c>
      <c r="R25" s="3">
        <f t="shared" si="1"/>
        <v>20.940000000000055</v>
      </c>
      <c r="S25" s="4">
        <f t="shared" si="2"/>
        <v>20.599999999999909</v>
      </c>
    </row>
    <row r="26" spans="1:19" ht="18.75">
      <c r="A26" s="9">
        <v>44065</v>
      </c>
      <c r="B26" s="10" t="s">
        <v>21</v>
      </c>
      <c r="C26" s="5">
        <v>3336.43</v>
      </c>
      <c r="D26" s="5">
        <v>2393.19</v>
      </c>
      <c r="E26" s="5">
        <v>12</v>
      </c>
      <c r="F26" s="5">
        <v>32</v>
      </c>
      <c r="G26" s="5">
        <f t="shared" si="0"/>
        <v>5933.62</v>
      </c>
      <c r="H26" s="5">
        <v>1873.17</v>
      </c>
      <c r="I26" s="5">
        <v>3779.37</v>
      </c>
      <c r="J26" s="5">
        <v>3989.91</v>
      </c>
      <c r="K26" s="5">
        <v>73.540000000000006</v>
      </c>
      <c r="L26" s="5">
        <v>168.59</v>
      </c>
      <c r="M26" s="5">
        <v>167.98</v>
      </c>
      <c r="N26" s="5">
        <v>160</v>
      </c>
      <c r="O26" s="5">
        <v>2</v>
      </c>
      <c r="P26" s="5">
        <v>1564.38</v>
      </c>
      <c r="Q26" s="5">
        <v>400</v>
      </c>
      <c r="R26" s="1">
        <f t="shared" si="1"/>
        <v>21.190000000000055</v>
      </c>
      <c r="S26" s="4">
        <f t="shared" si="2"/>
        <v>41.949999999999818</v>
      </c>
    </row>
    <row r="27" spans="1:19" ht="18.75">
      <c r="A27" s="9">
        <v>44066</v>
      </c>
      <c r="B27" s="10" t="s">
        <v>22</v>
      </c>
      <c r="C27" s="5">
        <v>2537.02</v>
      </c>
      <c r="D27" s="5">
        <v>2116.66</v>
      </c>
      <c r="E27" s="5">
        <v>5</v>
      </c>
      <c r="F27" s="5">
        <v>35</v>
      </c>
      <c r="G27" s="5">
        <f t="shared" si="0"/>
        <v>4753.68</v>
      </c>
      <c r="H27" s="5">
        <v>1582.5</v>
      </c>
      <c r="I27" s="5">
        <v>2994.66</v>
      </c>
      <c r="J27" s="5">
        <v>3171.18</v>
      </c>
      <c r="K27" s="5">
        <v>0</v>
      </c>
      <c r="L27" s="5">
        <v>176.53</v>
      </c>
      <c r="M27" s="5">
        <v>0</v>
      </c>
      <c r="N27" s="5">
        <v>60</v>
      </c>
      <c r="O27" s="5">
        <v>5</v>
      </c>
      <c r="P27" s="5">
        <v>1521.85</v>
      </c>
      <c r="Q27" s="5">
        <v>400</v>
      </c>
      <c r="R27" s="1">
        <f t="shared" si="1"/>
        <v>4.3499999999999091</v>
      </c>
      <c r="S27" s="4">
        <f t="shared" si="2"/>
        <v>-1.0000000000218279E-2</v>
      </c>
    </row>
    <row r="28" spans="1:19" s="17" customFormat="1" ht="39" customHeight="1">
      <c r="A28" s="14" t="s">
        <v>27</v>
      </c>
      <c r="B28" s="16"/>
      <c r="C28" s="15">
        <f>SUM(C21:C27)</f>
        <v>17740.7</v>
      </c>
      <c r="D28" s="15">
        <f t="shared" ref="D28:S28" si="6">SUM(D21:D27)</f>
        <v>13773.970000000001</v>
      </c>
      <c r="E28" s="15">
        <f t="shared" si="6"/>
        <v>119</v>
      </c>
      <c r="F28" s="15">
        <f t="shared" si="6"/>
        <v>218</v>
      </c>
      <c r="G28" s="15">
        <f t="shared" si="6"/>
        <v>32394.67</v>
      </c>
      <c r="H28" s="15">
        <f t="shared" si="6"/>
        <v>10293.689999999999</v>
      </c>
      <c r="I28" s="15">
        <f t="shared" si="6"/>
        <v>20976.899999999998</v>
      </c>
      <c r="J28" s="15">
        <f t="shared" si="6"/>
        <v>17999.91</v>
      </c>
      <c r="K28" s="15">
        <f t="shared" si="6"/>
        <v>73.540000000000006</v>
      </c>
      <c r="L28" s="15">
        <f t="shared" si="6"/>
        <v>852.68999999999994</v>
      </c>
      <c r="M28" s="15">
        <f t="shared" si="6"/>
        <v>819.06</v>
      </c>
      <c r="N28" s="15">
        <f t="shared" si="6"/>
        <v>543</v>
      </c>
      <c r="O28" s="15">
        <f t="shared" si="6"/>
        <v>46</v>
      </c>
      <c r="P28" s="15">
        <f t="shared" si="6"/>
        <v>8949.86</v>
      </c>
      <c r="Q28" s="15">
        <f t="shared" si="6"/>
        <v>2800</v>
      </c>
      <c r="R28" s="15">
        <f t="shared" si="6"/>
        <v>64.229999999999791</v>
      </c>
      <c r="S28" s="15">
        <f t="shared" si="6"/>
        <v>-3829.6800000000012</v>
      </c>
    </row>
    <row r="29" spans="1:19" ht="18.75">
      <c r="A29" s="9">
        <v>44067</v>
      </c>
      <c r="B29" s="10" t="s">
        <v>23</v>
      </c>
      <c r="C29" s="5">
        <v>2796.99</v>
      </c>
      <c r="D29" s="5">
        <v>1967.45</v>
      </c>
      <c r="E29" s="5">
        <v>23.5</v>
      </c>
      <c r="F29" s="5">
        <v>26</v>
      </c>
      <c r="G29" s="5">
        <f t="shared" si="0"/>
        <v>4863.9399999999996</v>
      </c>
      <c r="H29" s="5">
        <v>1588.17</v>
      </c>
      <c r="I29" s="5">
        <v>2998.37</v>
      </c>
      <c r="J29" s="5">
        <v>3156.87</v>
      </c>
      <c r="K29" s="5">
        <v>118.9</v>
      </c>
      <c r="L29" s="5">
        <v>104.74</v>
      </c>
      <c r="M29" s="5">
        <f>(1.49+72.56)</f>
        <v>74.05</v>
      </c>
      <c r="N29" s="5">
        <v>50</v>
      </c>
      <c r="O29" s="5">
        <v>10</v>
      </c>
      <c r="P29" s="5">
        <v>1451.6</v>
      </c>
      <c r="Q29" s="5">
        <v>400</v>
      </c>
      <c r="R29" s="1">
        <f t="shared" ref="R29:R35" si="7">SUM(M29:P29)-H29</f>
        <v>-2.5200000000002092</v>
      </c>
      <c r="S29" s="4">
        <f t="shared" si="2"/>
        <v>53.760000000000218</v>
      </c>
    </row>
    <row r="30" spans="1:19" ht="18.75">
      <c r="A30" s="9">
        <v>44068</v>
      </c>
      <c r="B30" s="10" t="s">
        <v>24</v>
      </c>
      <c r="C30" s="5">
        <v>2747.73</v>
      </c>
      <c r="D30" s="5">
        <v>1710.45</v>
      </c>
      <c r="E30" s="5">
        <v>48</v>
      </c>
      <c r="F30" s="5">
        <v>51</v>
      </c>
      <c r="G30" s="5">
        <f t="shared" si="0"/>
        <v>4587.18</v>
      </c>
      <c r="H30" s="5">
        <v>1380.88</v>
      </c>
      <c r="I30" s="5">
        <v>2977.45</v>
      </c>
      <c r="J30" s="5">
        <v>3027.95</v>
      </c>
      <c r="K30" s="5">
        <v>178.35</v>
      </c>
      <c r="L30" s="5">
        <v>40.5</v>
      </c>
      <c r="M30" s="5">
        <v>0</v>
      </c>
      <c r="N30" s="5">
        <v>30</v>
      </c>
      <c r="O30" s="5">
        <v>35</v>
      </c>
      <c r="P30" s="5">
        <v>1307.75</v>
      </c>
      <c r="Q30" s="5">
        <v>400</v>
      </c>
      <c r="R30" s="1">
        <f t="shared" si="7"/>
        <v>-8.1300000000001091</v>
      </c>
      <c r="S30" s="4">
        <f t="shared" si="2"/>
        <v>10</v>
      </c>
    </row>
    <row r="31" spans="1:19" ht="18.75">
      <c r="A31" s="9">
        <v>44069</v>
      </c>
      <c r="B31" s="10" t="s">
        <v>25</v>
      </c>
      <c r="C31" s="5">
        <v>3529.19</v>
      </c>
      <c r="D31" s="5">
        <v>1942.84</v>
      </c>
      <c r="E31" s="5">
        <v>10</v>
      </c>
      <c r="F31" s="5">
        <v>34</v>
      </c>
      <c r="G31" s="5">
        <f t="shared" si="0"/>
        <v>5656.03</v>
      </c>
      <c r="H31" s="5">
        <v>1940.34</v>
      </c>
      <c r="I31" s="5">
        <v>3414.89</v>
      </c>
      <c r="J31" s="5">
        <v>3645.66</v>
      </c>
      <c r="K31" s="5">
        <v>70.03</v>
      </c>
      <c r="L31" s="5">
        <v>237.68</v>
      </c>
      <c r="M31" s="5">
        <v>0</v>
      </c>
      <c r="N31" s="5">
        <v>140</v>
      </c>
      <c r="O31" s="5">
        <v>22</v>
      </c>
      <c r="P31" s="5">
        <v>1883.9</v>
      </c>
      <c r="Q31" s="5">
        <v>400</v>
      </c>
      <c r="R31" s="1">
        <f t="shared" si="7"/>
        <v>105.56000000000017</v>
      </c>
      <c r="S31" s="4">
        <f t="shared" si="2"/>
        <v>-6.9099999999998545</v>
      </c>
    </row>
    <row r="32" spans="1:19" ht="18.75">
      <c r="A32" s="9">
        <v>44070</v>
      </c>
      <c r="B32" s="10" t="s">
        <v>26</v>
      </c>
      <c r="C32" s="5">
        <v>3273.17</v>
      </c>
      <c r="D32" s="5">
        <v>2154.0100000000002</v>
      </c>
      <c r="E32" s="5">
        <v>15.5</v>
      </c>
      <c r="F32" s="5">
        <v>29</v>
      </c>
      <c r="G32" s="5">
        <f t="shared" si="0"/>
        <v>5491.68</v>
      </c>
      <c r="H32" s="5">
        <v>1754.55</v>
      </c>
      <c r="I32" s="5">
        <v>3399.99</v>
      </c>
      <c r="J32" s="5">
        <v>3665.48</v>
      </c>
      <c r="K32" s="5">
        <v>71.650000000000006</v>
      </c>
      <c r="L32" s="5">
        <v>172.27</v>
      </c>
      <c r="M32" s="5">
        <v>149.85</v>
      </c>
      <c r="N32" s="5">
        <v>20</v>
      </c>
      <c r="O32" s="5">
        <v>0</v>
      </c>
      <c r="P32" s="5">
        <v>1484.48</v>
      </c>
      <c r="Q32" s="5">
        <v>400</v>
      </c>
      <c r="R32" s="1">
        <f t="shared" si="7"/>
        <v>-100.22000000000003</v>
      </c>
      <c r="S32" s="4">
        <f t="shared" si="2"/>
        <v>93.220000000000255</v>
      </c>
    </row>
    <row r="33" spans="1:19" ht="18.75">
      <c r="A33" s="9">
        <v>44071</v>
      </c>
      <c r="B33" s="10" t="s">
        <v>20</v>
      </c>
      <c r="C33" s="5">
        <v>2959.63</v>
      </c>
      <c r="D33" s="5">
        <v>2760.03</v>
      </c>
      <c r="E33" s="5">
        <v>55</v>
      </c>
      <c r="F33" s="5">
        <v>46</v>
      </c>
      <c r="G33" s="5">
        <f t="shared" si="0"/>
        <v>6025.66</v>
      </c>
      <c r="H33" s="5">
        <v>2090.02</v>
      </c>
      <c r="I33" s="5">
        <v>3892.68</v>
      </c>
      <c r="J33" s="5">
        <v>3935.64</v>
      </c>
      <c r="K33" s="5">
        <v>0</v>
      </c>
      <c r="L33" s="5">
        <v>69.36</v>
      </c>
      <c r="M33" s="5">
        <f>11.99+109</f>
        <v>120.99</v>
      </c>
      <c r="N33" s="5">
        <v>205</v>
      </c>
      <c r="O33" s="5">
        <v>8</v>
      </c>
      <c r="P33" s="5">
        <v>1732.21</v>
      </c>
      <c r="Q33" s="5">
        <v>400</v>
      </c>
      <c r="R33" s="1">
        <f t="shared" si="7"/>
        <v>-23.820000000000164</v>
      </c>
      <c r="S33" s="4">
        <f t="shared" si="2"/>
        <v>-26.400000000000091</v>
      </c>
    </row>
    <row r="34" spans="1:19" ht="18.75">
      <c r="A34" s="9">
        <v>44072</v>
      </c>
      <c r="B34" s="10" t="s">
        <v>21</v>
      </c>
      <c r="C34" s="5">
        <v>3127.65</v>
      </c>
      <c r="D34" s="5">
        <v>2333.31</v>
      </c>
      <c r="E34" s="5">
        <v>18</v>
      </c>
      <c r="F34" s="5">
        <v>52</v>
      </c>
      <c r="G34" s="5">
        <f t="shared" si="0"/>
        <v>5590.96</v>
      </c>
      <c r="H34" s="5">
        <v>1681.76</v>
      </c>
      <c r="I34" s="5">
        <v>3846.33</v>
      </c>
      <c r="J34" s="5">
        <v>3866.33</v>
      </c>
      <c r="K34" s="5">
        <v>42.87</v>
      </c>
      <c r="L34" s="5">
        <v>0</v>
      </c>
      <c r="M34" s="5">
        <v>74.180000000000007</v>
      </c>
      <c r="N34" s="5">
        <v>60</v>
      </c>
      <c r="O34" s="5">
        <v>0</v>
      </c>
      <c r="P34" s="5">
        <v>1571.88</v>
      </c>
      <c r="Q34" s="5">
        <v>400</v>
      </c>
      <c r="R34" s="1">
        <f t="shared" si="7"/>
        <v>24.300000000000182</v>
      </c>
      <c r="S34" s="4">
        <f t="shared" si="2"/>
        <v>20</v>
      </c>
    </row>
    <row r="35" spans="1:19" ht="18.75">
      <c r="A35" s="9">
        <v>44073</v>
      </c>
      <c r="B35" s="10" t="s">
        <v>22</v>
      </c>
      <c r="C35" s="5">
        <v>2887.44</v>
      </c>
      <c r="D35" s="5">
        <v>2516.84</v>
      </c>
      <c r="E35" s="5">
        <v>2.5</v>
      </c>
      <c r="F35" s="5">
        <v>52</v>
      </c>
      <c r="G35" s="5">
        <f t="shared" si="0"/>
        <v>5554.7800000000007</v>
      </c>
      <c r="H35" s="5">
        <v>1812.61</v>
      </c>
      <c r="I35" s="5">
        <v>3707.66</v>
      </c>
      <c r="J35" s="5">
        <v>3742.17</v>
      </c>
      <c r="K35" s="5">
        <v>0</v>
      </c>
      <c r="L35" s="5">
        <v>0</v>
      </c>
      <c r="M35" s="5">
        <v>293</v>
      </c>
      <c r="N35" s="5">
        <v>96</v>
      </c>
      <c r="O35" s="5">
        <v>34</v>
      </c>
      <c r="P35" s="5">
        <v>1417.66</v>
      </c>
      <c r="Q35" s="5">
        <v>400</v>
      </c>
      <c r="R35" s="1">
        <f t="shared" si="7"/>
        <v>28.050000000000182</v>
      </c>
      <c r="S35" s="4">
        <f t="shared" si="2"/>
        <v>34.510000000000218</v>
      </c>
    </row>
    <row r="36" spans="1:19" s="17" customFormat="1" ht="39" customHeight="1">
      <c r="A36" s="14" t="s">
        <v>27</v>
      </c>
      <c r="B36" s="16"/>
      <c r="C36" s="15">
        <f>SUM(C29:C35)</f>
        <v>21321.8</v>
      </c>
      <c r="D36" s="15">
        <f t="shared" ref="D36:S36" si="8">SUM(D29:D35)</f>
        <v>15384.93</v>
      </c>
      <c r="E36" s="15">
        <f t="shared" si="8"/>
        <v>172.5</v>
      </c>
      <c r="F36" s="15">
        <f t="shared" si="8"/>
        <v>290</v>
      </c>
      <c r="G36" s="15">
        <f t="shared" si="8"/>
        <v>37770.229999999996</v>
      </c>
      <c r="H36" s="15">
        <f t="shared" si="8"/>
        <v>12248.330000000002</v>
      </c>
      <c r="I36" s="15">
        <f t="shared" si="8"/>
        <v>24237.37</v>
      </c>
      <c r="J36" s="15">
        <f t="shared" si="8"/>
        <v>25040.1</v>
      </c>
      <c r="K36" s="15">
        <f t="shared" si="8"/>
        <v>481.79999999999995</v>
      </c>
      <c r="L36" s="15">
        <f t="shared" si="8"/>
        <v>624.55000000000007</v>
      </c>
      <c r="M36" s="15">
        <f t="shared" si="8"/>
        <v>712.06999999999994</v>
      </c>
      <c r="N36" s="15">
        <f t="shared" si="8"/>
        <v>601</v>
      </c>
      <c r="O36" s="15">
        <f t="shared" si="8"/>
        <v>109</v>
      </c>
      <c r="P36" s="15">
        <f t="shared" si="8"/>
        <v>10849.48</v>
      </c>
      <c r="Q36" s="15">
        <f t="shared" si="8"/>
        <v>2800</v>
      </c>
      <c r="R36" s="15">
        <f t="shared" si="8"/>
        <v>23.220000000000027</v>
      </c>
      <c r="S36" s="15">
        <f t="shared" si="8"/>
        <v>178.18000000000075</v>
      </c>
    </row>
    <row r="37" spans="1:19" ht="26.25" customHeight="1">
      <c r="A37" s="9">
        <v>44074</v>
      </c>
      <c r="B37" s="10" t="s">
        <v>23</v>
      </c>
      <c r="C37" s="5">
        <v>2591.5700000000002</v>
      </c>
      <c r="D37" s="5">
        <v>1905.44</v>
      </c>
      <c r="E37" s="5">
        <v>18.5</v>
      </c>
      <c r="F37" s="5">
        <v>23</v>
      </c>
      <c r="G37" s="5">
        <f t="shared" si="0"/>
        <v>4614.51</v>
      </c>
      <c r="H37" s="5">
        <v>1448.84</v>
      </c>
      <c r="I37" s="5">
        <v>3158.5</v>
      </c>
      <c r="J37" s="5">
        <v>3165.67</v>
      </c>
      <c r="K37" s="5">
        <v>0</v>
      </c>
      <c r="L37" s="5">
        <v>0</v>
      </c>
      <c r="M37" s="5">
        <v>166.34</v>
      </c>
      <c r="N37" s="5">
        <v>76</v>
      </c>
      <c r="O37" s="5">
        <v>0</v>
      </c>
      <c r="P37" s="5">
        <v>1202.01</v>
      </c>
      <c r="Q37" s="5">
        <v>400</v>
      </c>
      <c r="R37" s="1">
        <f>SUM(M37:P37)-H37</f>
        <v>-4.4900000000000091</v>
      </c>
      <c r="S37" s="4">
        <f>SUM(J37)-(I37+L37)</f>
        <v>7.1700000000000728</v>
      </c>
    </row>
    <row r="38" spans="1:19" s="7" customFormat="1" ht="30.75" customHeight="1">
      <c r="A38" s="24" t="s">
        <v>17</v>
      </c>
      <c r="B38" s="24"/>
      <c r="C38" s="24">
        <f>SUM(C4,C12,C20,C28,C36,C37)</f>
        <v>89694.950000000012</v>
      </c>
      <c r="D38" s="24">
        <f t="shared" ref="D38:S38" si="9">SUM(D4,D12,D20,D28,D36,D37)</f>
        <v>66904.62</v>
      </c>
      <c r="E38" s="24">
        <f t="shared" si="9"/>
        <v>601</v>
      </c>
      <c r="F38" s="24">
        <f t="shared" si="9"/>
        <v>1095</v>
      </c>
      <c r="G38" s="24">
        <f t="shared" si="9"/>
        <v>160675.57</v>
      </c>
      <c r="H38" s="24">
        <f t="shared" si="9"/>
        <v>51544.58</v>
      </c>
      <c r="I38" s="24">
        <f t="shared" si="9"/>
        <v>103781.98999999999</v>
      </c>
      <c r="J38" s="24">
        <f t="shared" si="9"/>
        <v>46205.679999999993</v>
      </c>
      <c r="K38" s="24">
        <f t="shared" si="9"/>
        <v>1158.7199999999998</v>
      </c>
      <c r="L38" s="24">
        <f t="shared" si="9"/>
        <v>3314.3400000000006</v>
      </c>
      <c r="M38" s="24">
        <f t="shared" si="9"/>
        <v>2380.09</v>
      </c>
      <c r="N38" s="24">
        <f t="shared" si="9"/>
        <v>2380</v>
      </c>
      <c r="O38" s="24">
        <f t="shared" si="9"/>
        <v>530.20000000000005</v>
      </c>
      <c r="P38" s="24">
        <f t="shared" si="9"/>
        <v>46365.409999999996</v>
      </c>
      <c r="Q38" s="24">
        <f t="shared" si="9"/>
        <v>12400</v>
      </c>
      <c r="R38" s="24">
        <f t="shared" si="9"/>
        <v>111.12000000000012</v>
      </c>
      <c r="S38" s="24">
        <f t="shared" si="9"/>
        <v>-60890.650000000009</v>
      </c>
    </row>
    <row r="42" spans="1:19">
      <c r="D42">
        <f>62961.43-66904.62</f>
        <v>-3943.1899999999951</v>
      </c>
    </row>
    <row r="45" spans="1:19">
      <c r="E45">
        <v>48.78</v>
      </c>
    </row>
    <row r="46" spans="1:19">
      <c r="E46">
        <v>89.33</v>
      </c>
    </row>
    <row r="47" spans="1:19">
      <c r="E47">
        <v>34.21</v>
      </c>
    </row>
    <row r="48" spans="1:19">
      <c r="E48">
        <v>191.45</v>
      </c>
    </row>
    <row r="49" spans="5:6">
      <c r="E49">
        <v>60</v>
      </c>
    </row>
    <row r="50" spans="5:6">
      <c r="E50">
        <v>17.829999999999998</v>
      </c>
    </row>
    <row r="51" spans="5:6">
      <c r="E51">
        <v>63</v>
      </c>
    </row>
    <row r="52" spans="5:6">
      <c r="E52">
        <v>18.920000000000002</v>
      </c>
    </row>
    <row r="53" spans="5:6">
      <c r="E53">
        <v>64</v>
      </c>
    </row>
    <row r="54" spans="5:6">
      <c r="E54">
        <v>100</v>
      </c>
    </row>
    <row r="55" spans="5:6">
      <c r="E55">
        <v>150</v>
      </c>
    </row>
    <row r="56" spans="5:6">
      <c r="E56">
        <v>58.9</v>
      </c>
    </row>
    <row r="57" spans="5:6">
      <c r="E57">
        <v>60.26</v>
      </c>
    </row>
    <row r="58" spans="5:6">
      <c r="E58">
        <v>36.049999999999997</v>
      </c>
    </row>
    <row r="61" spans="5:6">
      <c r="E61">
        <f>SUM(E45:E60)</f>
        <v>992.7299999999999</v>
      </c>
    </row>
    <row r="63" spans="5:6">
      <c r="E63">
        <f>E61*0.02</f>
        <v>19.854599999999998</v>
      </c>
      <c r="F63">
        <f>K38-E63</f>
        <v>1138.8653999999999</v>
      </c>
    </row>
  </sheetData>
  <conditionalFormatting sqref="S23:S27 S29:S35">
    <cfRule type="cellIs" dxfId="400" priority="15" operator="lessThan">
      <formula>-30548.67</formula>
    </cfRule>
    <cfRule type="cellIs" dxfId="399" priority="16" operator="lessThan">
      <formula>0</formula>
    </cfRule>
    <cfRule type="cellIs" dxfId="398" priority="17" operator="lessThan">
      <formula>0</formula>
    </cfRule>
    <cfRule type="cellIs" dxfId="397" priority="18" operator="lessThan">
      <formula>0</formula>
    </cfRule>
    <cfRule type="cellIs" dxfId="396" priority="19" operator="greaterThan">
      <formula>0</formula>
    </cfRule>
    <cfRule type="cellIs" dxfId="395" priority="20" operator="greaterThan">
      <formula>-30548.67</formula>
    </cfRule>
  </conditionalFormatting>
  <conditionalFormatting sqref="S2:S3 S5:S11 S13:S19 S21:S27 S29:S35">
    <cfRule type="cellIs" dxfId="394" priority="13" operator="greaterThan">
      <formula>0</formula>
    </cfRule>
    <cfRule type="cellIs" dxfId="393" priority="14" operator="lessThan">
      <formula>0</formula>
    </cfRule>
  </conditionalFormatting>
  <conditionalFormatting sqref="R2:R3 R5:R11 R13:R19 R21:R27 R29:R35">
    <cfRule type="cellIs" dxfId="392" priority="11" operator="lessThan">
      <formula>0</formula>
    </cfRule>
    <cfRule type="cellIs" dxfId="391" priority="12" operator="greaterThan">
      <formula>0</formula>
    </cfRule>
  </conditionalFormatting>
  <conditionalFormatting sqref="S37">
    <cfRule type="cellIs" dxfId="390" priority="5" operator="lessThan">
      <formula>-30548.67</formula>
    </cfRule>
    <cfRule type="cellIs" dxfId="389" priority="6" operator="lessThan">
      <formula>0</formula>
    </cfRule>
    <cfRule type="cellIs" dxfId="388" priority="7" operator="lessThan">
      <formula>0</formula>
    </cfRule>
    <cfRule type="cellIs" dxfId="387" priority="8" operator="lessThan">
      <formula>0</formula>
    </cfRule>
    <cfRule type="cellIs" dxfId="386" priority="9" operator="greaterThan">
      <formula>0</formula>
    </cfRule>
    <cfRule type="cellIs" dxfId="385" priority="10" operator="greaterThan">
      <formula>-30548.67</formula>
    </cfRule>
  </conditionalFormatting>
  <conditionalFormatting sqref="S37">
    <cfRule type="cellIs" dxfId="384" priority="3" operator="greaterThan">
      <formula>0</formula>
    </cfRule>
    <cfRule type="cellIs" dxfId="383" priority="4" operator="lessThan">
      <formula>0</formula>
    </cfRule>
  </conditionalFormatting>
  <conditionalFormatting sqref="R37">
    <cfRule type="cellIs" dxfId="382" priority="1" operator="lessThan">
      <formula>0</formula>
    </cfRule>
    <cfRule type="cellIs" dxfId="381" priority="2" operator="greaterThan">
      <formula>0</formula>
    </cfRule>
  </conditionalFormatting>
  <pageMargins left="0.7" right="0.7" top="0.75" bottom="0.75" header="0.3" footer="0.3"/>
  <pageSetup paperSize="256" orientation="portrait" horizontalDpi="0" verticalDpi="0" r:id="rId1"/>
  <ignoredErrors>
    <ignoredError sqref="G29:G35 G5:G11 G13:G19 G21:G27 G2:G3" formulaRange="1"/>
  </ignoredErrors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49"/>
  <sheetViews>
    <sheetView topLeftCell="A4" zoomScale="60" zoomScaleNormal="60" workbookViewId="0">
      <selection activeCell="A42" sqref="A42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5.710937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20.85546875" customWidth="1"/>
    <col min="15" max="16" width="16.7109375" customWidth="1"/>
    <col min="17" max="17" width="14.28515625" customWidth="1"/>
    <col min="18" max="18" width="13" customWidth="1"/>
    <col min="19" max="19" width="14.85546875" customWidth="1"/>
    <col min="20" max="20" width="14" customWidth="1"/>
    <col min="21" max="21" width="15.28515625" customWidth="1"/>
    <col min="22" max="23" width="15.85546875" customWidth="1"/>
  </cols>
  <sheetData>
    <row r="1" spans="1:24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</row>
    <row r="2" spans="1:24" ht="20.25" customHeight="1">
      <c r="A2" s="9">
        <v>44592</v>
      </c>
      <c r="B2" s="10" t="s">
        <v>23</v>
      </c>
      <c r="C2" s="11">
        <v>7269.15</v>
      </c>
      <c r="D2" s="11">
        <v>2354.4</v>
      </c>
      <c r="E2" s="11">
        <v>0</v>
      </c>
      <c r="F2" s="11">
        <v>54</v>
      </c>
      <c r="G2" s="11">
        <v>0</v>
      </c>
      <c r="H2" s="11">
        <f t="shared" ref="H2" si="0">SUM(C2:G2,P2)</f>
        <v>9802.5499999999993</v>
      </c>
      <c r="I2" s="11">
        <v>1848.18</v>
      </c>
      <c r="J2" s="11">
        <f t="shared" ref="J2" si="1">SUM(K2:N2)</f>
        <v>7954.43</v>
      </c>
      <c r="K2" s="11">
        <f>7954.37-235.56-386.03</f>
        <v>7332.78</v>
      </c>
      <c r="L2" s="11">
        <v>0</v>
      </c>
      <c r="M2" s="11">
        <v>235.56</v>
      </c>
      <c r="N2" s="11">
        <v>386.09</v>
      </c>
      <c r="O2" s="11">
        <v>292.77999999999997</v>
      </c>
      <c r="P2" s="33">
        <v>125</v>
      </c>
      <c r="Q2" s="33">
        <v>39</v>
      </c>
      <c r="R2" s="11">
        <v>1412.21</v>
      </c>
      <c r="S2" s="11">
        <v>350</v>
      </c>
      <c r="T2" s="31">
        <f t="shared" ref="T2" si="2">SUM(O2,P2,Q2,R2)-I2</f>
        <v>20.809999999999945</v>
      </c>
      <c r="U2" s="32">
        <f t="shared" ref="U2" si="3">SUM(I2+J2+W2)-(H2)</f>
        <v>6.0000000001309672E-2</v>
      </c>
      <c r="V2" s="33">
        <f t="shared" ref="V2" si="4">SUM(G2-W2)</f>
        <v>0</v>
      </c>
      <c r="W2" s="33">
        <v>0</v>
      </c>
    </row>
    <row r="3" spans="1:24" ht="20.25" customHeight="1">
      <c r="A3" s="9">
        <v>44593</v>
      </c>
      <c r="B3" s="10" t="s">
        <v>24</v>
      </c>
      <c r="C3" s="11">
        <v>4995.5600000000004</v>
      </c>
      <c r="D3" s="11">
        <v>1975.14</v>
      </c>
      <c r="E3" s="11">
        <v>5</v>
      </c>
      <c r="F3" s="11">
        <v>25</v>
      </c>
      <c r="G3" s="11">
        <v>0</v>
      </c>
      <c r="H3" s="11">
        <f t="shared" ref="H3:H8" si="5">SUM(C3:G3,P3)</f>
        <v>7000.7000000000007</v>
      </c>
      <c r="I3" s="11">
        <v>1919.75</v>
      </c>
      <c r="J3" s="11">
        <f t="shared" ref="J3:J8" si="6">SUM(K3:N3)</f>
        <v>5080.95</v>
      </c>
      <c r="K3" s="11">
        <f>5080.95-109.84-101.92</f>
        <v>4869.1899999999996</v>
      </c>
      <c r="L3" s="11">
        <v>0</v>
      </c>
      <c r="M3" s="11">
        <v>109.84</v>
      </c>
      <c r="N3" s="11">
        <v>101.92</v>
      </c>
      <c r="O3" s="11">
        <v>0</v>
      </c>
      <c r="P3" s="33">
        <v>0</v>
      </c>
      <c r="Q3" s="33">
        <v>15</v>
      </c>
      <c r="R3" s="11">
        <v>1905.92</v>
      </c>
      <c r="S3" s="11">
        <v>350</v>
      </c>
      <c r="T3" s="31">
        <f t="shared" ref="T3:T8" si="7">SUM(O3,P3,Q3,R3)-I3</f>
        <v>1.1700000000000728</v>
      </c>
      <c r="U3" s="32">
        <f t="shared" ref="U3:U6" si="8">SUM(I3+J3+W3)-(H3)</f>
        <v>0</v>
      </c>
      <c r="V3" s="33">
        <f t="shared" ref="V3:V8" si="9">SUM(G3-W3)</f>
        <v>0</v>
      </c>
      <c r="W3" s="33">
        <v>0</v>
      </c>
    </row>
    <row r="4" spans="1:24" ht="20.25" customHeight="1">
      <c r="A4" s="9">
        <v>44594</v>
      </c>
      <c r="B4" s="10" t="s">
        <v>25</v>
      </c>
      <c r="C4" s="11">
        <v>6586.5</v>
      </c>
      <c r="D4" s="11">
        <v>2730.09</v>
      </c>
      <c r="E4" s="11">
        <v>19</v>
      </c>
      <c r="F4" s="11">
        <v>38</v>
      </c>
      <c r="G4" s="11">
        <v>0</v>
      </c>
      <c r="H4" s="11">
        <f t="shared" si="5"/>
        <v>9504.59</v>
      </c>
      <c r="I4" s="11">
        <v>2098.2399999999998</v>
      </c>
      <c r="J4" s="11">
        <f t="shared" si="6"/>
        <v>7406.35</v>
      </c>
      <c r="K4" s="11">
        <f>7406.35-384.33-4-55</f>
        <v>6963.02</v>
      </c>
      <c r="L4" s="11">
        <v>4</v>
      </c>
      <c r="M4" s="11">
        <v>384.33</v>
      </c>
      <c r="N4" s="11">
        <v>55</v>
      </c>
      <c r="O4" s="11">
        <v>638.98</v>
      </c>
      <c r="P4" s="33">
        <v>131</v>
      </c>
      <c r="Q4" s="33">
        <v>29</v>
      </c>
      <c r="R4" s="11">
        <v>1300.55</v>
      </c>
      <c r="S4" s="11">
        <v>350</v>
      </c>
      <c r="T4" s="31">
        <f t="shared" si="7"/>
        <v>1.2899999999999636</v>
      </c>
      <c r="U4" s="32">
        <f t="shared" si="8"/>
        <v>0</v>
      </c>
      <c r="V4" s="33">
        <f t="shared" si="9"/>
        <v>0</v>
      </c>
      <c r="W4" s="33">
        <v>0</v>
      </c>
    </row>
    <row r="5" spans="1:24" ht="20.25" customHeight="1">
      <c r="A5" s="9">
        <v>44595</v>
      </c>
      <c r="B5" s="10" t="s">
        <v>26</v>
      </c>
      <c r="C5" s="11">
        <v>6718.94</v>
      </c>
      <c r="D5" s="11">
        <v>2676.58</v>
      </c>
      <c r="E5" s="11">
        <v>25</v>
      </c>
      <c r="F5" s="11">
        <v>32</v>
      </c>
      <c r="G5" s="11">
        <v>0</v>
      </c>
      <c r="H5" s="11">
        <f t="shared" si="5"/>
        <v>9682.52</v>
      </c>
      <c r="I5" s="11">
        <v>1859.76</v>
      </c>
      <c r="J5" s="11">
        <f t="shared" si="6"/>
        <v>7827.76</v>
      </c>
      <c r="K5" s="11">
        <f>7827.76-295.01-270.95</f>
        <v>7261.8</v>
      </c>
      <c r="L5" s="11">
        <v>0</v>
      </c>
      <c r="M5" s="11">
        <v>295.01</v>
      </c>
      <c r="N5" s="11">
        <v>270.95</v>
      </c>
      <c r="O5" s="11">
        <v>0</v>
      </c>
      <c r="P5" s="33">
        <v>230</v>
      </c>
      <c r="Q5" s="33">
        <v>15</v>
      </c>
      <c r="R5" s="11">
        <v>1609.35</v>
      </c>
      <c r="S5" s="11">
        <v>350</v>
      </c>
      <c r="T5" s="31">
        <f t="shared" si="7"/>
        <v>-5.4100000000000819</v>
      </c>
      <c r="U5" s="32">
        <f t="shared" si="8"/>
        <v>5</v>
      </c>
      <c r="V5" s="33">
        <f t="shared" si="9"/>
        <v>0</v>
      </c>
      <c r="W5" s="33">
        <v>0</v>
      </c>
      <c r="X5" t="s">
        <v>54</v>
      </c>
    </row>
    <row r="6" spans="1:24" ht="20.25" customHeight="1">
      <c r="A6" s="9">
        <v>44596</v>
      </c>
      <c r="B6" s="10" t="s">
        <v>20</v>
      </c>
      <c r="C6" s="11">
        <v>7387.69</v>
      </c>
      <c r="D6" s="11">
        <v>3457.25</v>
      </c>
      <c r="E6" s="11">
        <v>26.5</v>
      </c>
      <c r="F6" s="11">
        <v>43</v>
      </c>
      <c r="G6" s="11">
        <v>20</v>
      </c>
      <c r="H6" s="11">
        <f t="shared" si="5"/>
        <v>11119.439999999999</v>
      </c>
      <c r="I6" s="11">
        <v>2198.94</v>
      </c>
      <c r="J6" s="11">
        <f t="shared" si="6"/>
        <v>8900.5</v>
      </c>
      <c r="K6" s="11">
        <f>8900.5-111.6-430.63-37.33</f>
        <v>8320.94</v>
      </c>
      <c r="L6" s="11">
        <v>37.33</v>
      </c>
      <c r="M6" s="11">
        <v>111.6</v>
      </c>
      <c r="N6" s="11">
        <v>430.63</v>
      </c>
      <c r="O6" s="11">
        <v>0</v>
      </c>
      <c r="P6" s="33">
        <v>185</v>
      </c>
      <c r="Q6" s="33">
        <v>38.200000000000003</v>
      </c>
      <c r="R6" s="11">
        <v>2084.2800000000002</v>
      </c>
      <c r="S6" s="11">
        <v>350</v>
      </c>
      <c r="T6" s="31">
        <f t="shared" si="7"/>
        <v>108.53999999999996</v>
      </c>
      <c r="U6" s="32">
        <f t="shared" si="8"/>
        <v>0</v>
      </c>
      <c r="V6" s="33">
        <f t="shared" si="9"/>
        <v>0</v>
      </c>
      <c r="W6" s="33">
        <v>20</v>
      </c>
    </row>
    <row r="7" spans="1:24" ht="18.75">
      <c r="A7" s="9">
        <v>44597</v>
      </c>
      <c r="B7" s="10" t="s">
        <v>21</v>
      </c>
      <c r="C7" s="11">
        <v>5826.27</v>
      </c>
      <c r="D7" s="11">
        <v>3491.03</v>
      </c>
      <c r="E7" s="11">
        <v>20</v>
      </c>
      <c r="F7" s="11">
        <v>76</v>
      </c>
      <c r="G7" s="11">
        <v>359.53</v>
      </c>
      <c r="H7" s="11">
        <f t="shared" si="5"/>
        <v>9832.8300000000017</v>
      </c>
      <c r="I7" s="11">
        <v>1907.51</v>
      </c>
      <c r="J7" s="11">
        <f t="shared" si="6"/>
        <v>7625.79</v>
      </c>
      <c r="K7" s="11">
        <f>7625.79-57.37-321.01</f>
        <v>7247.41</v>
      </c>
      <c r="L7" s="11">
        <v>0</v>
      </c>
      <c r="M7" s="11">
        <v>57.37</v>
      </c>
      <c r="N7" s="11">
        <v>321.01</v>
      </c>
      <c r="O7" s="11">
        <v>0</v>
      </c>
      <c r="P7" s="33">
        <v>60</v>
      </c>
      <c r="Q7" s="33">
        <v>10</v>
      </c>
      <c r="R7" s="11">
        <v>1740.32</v>
      </c>
      <c r="S7" s="11">
        <v>350</v>
      </c>
      <c r="T7" s="31">
        <f t="shared" si="7"/>
        <v>-97.190000000000055</v>
      </c>
      <c r="U7" s="32">
        <f t="shared" ref="U7:U8" si="10">SUM(I7+J7+W7)-(H7)</f>
        <v>-254.97000000000298</v>
      </c>
      <c r="V7" s="33">
        <v>60</v>
      </c>
      <c r="W7" s="33">
        <v>44.56</v>
      </c>
      <c r="X7" t="s">
        <v>55</v>
      </c>
    </row>
    <row r="8" spans="1:24" ht="18.75">
      <c r="A8" s="9">
        <v>44598</v>
      </c>
      <c r="B8" s="10" t="s">
        <v>22</v>
      </c>
      <c r="C8" s="11">
        <v>4859.28</v>
      </c>
      <c r="D8" s="11">
        <v>2416.69</v>
      </c>
      <c r="E8" s="11">
        <v>0</v>
      </c>
      <c r="F8" s="11">
        <v>61</v>
      </c>
      <c r="G8" s="11">
        <v>75</v>
      </c>
      <c r="H8" s="11">
        <f t="shared" si="5"/>
        <v>7436.9699999999993</v>
      </c>
      <c r="I8" s="11">
        <v>1677.61</v>
      </c>
      <c r="J8" s="11">
        <f t="shared" si="6"/>
        <v>5713.78</v>
      </c>
      <c r="K8" s="11">
        <f>5713.78-244.99</f>
        <v>5468.79</v>
      </c>
      <c r="L8" s="11">
        <v>0</v>
      </c>
      <c r="M8" s="11">
        <v>0</v>
      </c>
      <c r="N8" s="11">
        <v>244.99</v>
      </c>
      <c r="O8" s="11">
        <v>0</v>
      </c>
      <c r="P8" s="33">
        <v>25</v>
      </c>
      <c r="Q8" s="33">
        <v>20</v>
      </c>
      <c r="R8" s="11">
        <v>1634.71</v>
      </c>
      <c r="S8" s="11">
        <v>350</v>
      </c>
      <c r="T8" s="31">
        <f t="shared" si="7"/>
        <v>2.1000000000001364</v>
      </c>
      <c r="U8" s="32">
        <f t="shared" si="10"/>
        <v>-0.57999999999992724</v>
      </c>
      <c r="V8" s="33">
        <f t="shared" si="9"/>
        <v>30</v>
      </c>
      <c r="W8" s="33">
        <v>45</v>
      </c>
    </row>
    <row r="9" spans="1:24" ht="37.5" customHeight="1">
      <c r="A9" s="65" t="s">
        <v>27</v>
      </c>
      <c r="B9" s="66"/>
      <c r="C9" s="27">
        <f>SUM(C2:C8)</f>
        <v>43643.39</v>
      </c>
      <c r="D9" s="27">
        <f t="shared" ref="D9:W9" si="11">SUM(D2:D8)</f>
        <v>19101.179999999997</v>
      </c>
      <c r="E9" s="27">
        <f t="shared" si="11"/>
        <v>95.5</v>
      </c>
      <c r="F9" s="27">
        <f t="shared" si="11"/>
        <v>329</v>
      </c>
      <c r="G9" s="27">
        <f t="shared" si="11"/>
        <v>454.53</v>
      </c>
      <c r="H9" s="27">
        <f t="shared" si="11"/>
        <v>64379.600000000006</v>
      </c>
      <c r="I9" s="27">
        <f t="shared" si="11"/>
        <v>13509.990000000002</v>
      </c>
      <c r="J9" s="27">
        <f t="shared" si="11"/>
        <v>50509.560000000005</v>
      </c>
      <c r="K9" s="27">
        <f t="shared" si="11"/>
        <v>47463.93</v>
      </c>
      <c r="L9" s="27">
        <f t="shared" si="11"/>
        <v>41.33</v>
      </c>
      <c r="M9" s="27">
        <f t="shared" si="11"/>
        <v>1193.7099999999998</v>
      </c>
      <c r="N9" s="27">
        <f t="shared" si="11"/>
        <v>1810.5900000000001</v>
      </c>
      <c r="O9" s="27">
        <f t="shared" si="11"/>
        <v>931.76</v>
      </c>
      <c r="P9" s="27">
        <f t="shared" si="11"/>
        <v>756</v>
      </c>
      <c r="Q9" s="27">
        <f t="shared" si="11"/>
        <v>166.2</v>
      </c>
      <c r="R9" s="27">
        <f t="shared" si="11"/>
        <v>11687.34</v>
      </c>
      <c r="S9" s="27">
        <f t="shared" si="11"/>
        <v>2450</v>
      </c>
      <c r="T9" s="27">
        <f t="shared" si="11"/>
        <v>31.309999999999945</v>
      </c>
      <c r="U9" s="27">
        <f t="shared" si="11"/>
        <v>-250.4900000000016</v>
      </c>
      <c r="V9" s="27">
        <f t="shared" si="11"/>
        <v>90</v>
      </c>
      <c r="W9" s="27">
        <f t="shared" si="11"/>
        <v>109.56</v>
      </c>
    </row>
    <row r="10" spans="1:24" ht="18.75">
      <c r="A10" s="9">
        <v>44599</v>
      </c>
      <c r="B10" s="10" t="s">
        <v>23</v>
      </c>
      <c r="C10" s="11">
        <v>6778.28</v>
      </c>
      <c r="D10" s="11">
        <v>2406.7600000000002</v>
      </c>
      <c r="E10" s="11">
        <v>0</v>
      </c>
      <c r="F10" s="11">
        <v>22</v>
      </c>
      <c r="G10" s="11">
        <v>202.62</v>
      </c>
      <c r="H10" s="11">
        <f t="shared" ref="H10:H16" si="12">SUM(C10:G10,P10)</f>
        <v>9449.6600000000017</v>
      </c>
      <c r="I10" s="11">
        <v>1991.13</v>
      </c>
      <c r="J10" s="11">
        <f>SUM(K10:N10)</f>
        <v>7204.89</v>
      </c>
      <c r="K10" s="11">
        <f>7204.89-82.16-289.21</f>
        <v>6833.52</v>
      </c>
      <c r="L10" s="11">
        <v>0</v>
      </c>
      <c r="M10" s="11">
        <v>82.16</v>
      </c>
      <c r="N10" s="11">
        <v>289.20999999999998</v>
      </c>
      <c r="O10" s="11">
        <v>273.26</v>
      </c>
      <c r="P10" s="33">
        <v>40</v>
      </c>
      <c r="Q10" s="33">
        <v>10</v>
      </c>
      <c r="R10" s="11">
        <v>1672.47</v>
      </c>
      <c r="S10" s="11">
        <v>350</v>
      </c>
      <c r="T10" s="31">
        <f t="shared" ref="T10:T16" si="13">SUM(O10,P10,Q10,R10)-I10</f>
        <v>4.5999999999999091</v>
      </c>
      <c r="U10" s="32">
        <f t="shared" ref="U10:U16" si="14">SUM(I10+J10+W10)-(H10)</f>
        <v>-111.02000000000044</v>
      </c>
      <c r="V10" s="33">
        <v>55</v>
      </c>
      <c r="W10" s="33">
        <v>142.62</v>
      </c>
      <c r="X10" t="s">
        <v>56</v>
      </c>
    </row>
    <row r="11" spans="1:24" ht="18.75">
      <c r="A11" s="9">
        <v>44600</v>
      </c>
      <c r="B11" s="10" t="s">
        <v>24</v>
      </c>
      <c r="C11" s="11">
        <v>6104.59</v>
      </c>
      <c r="D11" s="11">
        <v>2582.19</v>
      </c>
      <c r="E11" s="11">
        <v>12.5</v>
      </c>
      <c r="F11" s="11">
        <v>32</v>
      </c>
      <c r="G11" s="11">
        <v>168.14</v>
      </c>
      <c r="H11" s="11">
        <f t="shared" si="12"/>
        <v>8949.42</v>
      </c>
      <c r="I11" s="11">
        <v>1828.59</v>
      </c>
      <c r="J11" s="11">
        <f t="shared" ref="J11:J16" si="15">SUM(K11:N11)</f>
        <v>7019.08</v>
      </c>
      <c r="K11" s="11">
        <f>7019.08-9.19-41.37</f>
        <v>6968.52</v>
      </c>
      <c r="L11" s="11">
        <v>9.19</v>
      </c>
      <c r="M11" s="11">
        <v>0</v>
      </c>
      <c r="N11" s="11">
        <v>41.37</v>
      </c>
      <c r="O11" s="11">
        <v>400.08</v>
      </c>
      <c r="P11" s="33">
        <v>50</v>
      </c>
      <c r="Q11" s="33">
        <v>32</v>
      </c>
      <c r="R11" s="11">
        <v>1348.29</v>
      </c>
      <c r="S11" s="11">
        <v>350</v>
      </c>
      <c r="T11" s="31">
        <f t="shared" si="13"/>
        <v>1.7799999999999727</v>
      </c>
      <c r="U11" s="32">
        <f t="shared" si="14"/>
        <v>-18.610000000000582</v>
      </c>
      <c r="V11" s="33">
        <f t="shared" ref="V11:V15" si="16">SUM(G11-W11)</f>
        <v>84.999999999999986</v>
      </c>
      <c r="W11" s="33">
        <v>83.14</v>
      </c>
    </row>
    <row r="12" spans="1:24" ht="18.75">
      <c r="A12" s="9">
        <v>44601</v>
      </c>
      <c r="B12" s="10" t="s">
        <v>25</v>
      </c>
      <c r="C12" s="11">
        <v>6836.9</v>
      </c>
      <c r="D12" s="11">
        <v>2637.24</v>
      </c>
      <c r="E12" s="11">
        <v>5</v>
      </c>
      <c r="F12" s="11">
        <v>87</v>
      </c>
      <c r="G12" s="11">
        <v>60</v>
      </c>
      <c r="H12" s="11">
        <f t="shared" si="12"/>
        <v>9656.14</v>
      </c>
      <c r="I12" s="11">
        <v>2090.5</v>
      </c>
      <c r="J12" s="11">
        <f t="shared" si="15"/>
        <v>7545.6400000000012</v>
      </c>
      <c r="K12" s="11">
        <f>7545.64-142.63-283.73</f>
        <v>7119.2800000000007</v>
      </c>
      <c r="L12" s="11">
        <v>0</v>
      </c>
      <c r="M12" s="11">
        <v>142.63</v>
      </c>
      <c r="N12" s="11">
        <v>283.73</v>
      </c>
      <c r="O12" s="11">
        <v>174.36</v>
      </c>
      <c r="P12" s="33">
        <v>30</v>
      </c>
      <c r="Q12" s="33">
        <v>77</v>
      </c>
      <c r="R12" s="11">
        <v>1810.03</v>
      </c>
      <c r="S12" s="11">
        <v>350</v>
      </c>
      <c r="T12" s="31">
        <f t="shared" si="13"/>
        <v>0.88999999999987267</v>
      </c>
      <c r="U12" s="32">
        <f t="shared" si="14"/>
        <v>0</v>
      </c>
      <c r="V12" s="33">
        <f t="shared" si="16"/>
        <v>40</v>
      </c>
      <c r="W12" s="33">
        <v>20</v>
      </c>
    </row>
    <row r="13" spans="1:24" ht="18.75">
      <c r="A13" s="9">
        <v>44602</v>
      </c>
      <c r="B13" s="10" t="s">
        <v>26</v>
      </c>
      <c r="C13" s="11">
        <v>5758.71</v>
      </c>
      <c r="D13" s="11">
        <v>2699.56</v>
      </c>
      <c r="E13" s="11">
        <v>4</v>
      </c>
      <c r="F13" s="11">
        <v>32</v>
      </c>
      <c r="G13" s="11">
        <v>271.52</v>
      </c>
      <c r="H13" s="11">
        <f t="shared" si="12"/>
        <v>8765.7900000000009</v>
      </c>
      <c r="I13" s="11">
        <v>2212.2199999999998</v>
      </c>
      <c r="J13" s="11">
        <f t="shared" si="15"/>
        <v>6342.05</v>
      </c>
      <c r="K13" s="11">
        <f>6342.05-98.31-66.91-50.01</f>
        <v>6126.82</v>
      </c>
      <c r="L13" s="11">
        <v>66.91</v>
      </c>
      <c r="M13" s="11">
        <v>98.31</v>
      </c>
      <c r="N13" s="11">
        <v>50.01</v>
      </c>
      <c r="O13" s="11">
        <v>590.76</v>
      </c>
      <c r="P13" s="33">
        <v>0</v>
      </c>
      <c r="Q13" s="33">
        <v>35</v>
      </c>
      <c r="R13" s="11">
        <v>1587.72</v>
      </c>
      <c r="S13" s="11">
        <v>350</v>
      </c>
      <c r="T13" s="31">
        <f t="shared" si="13"/>
        <v>1.2600000000002183</v>
      </c>
      <c r="U13" s="32">
        <f t="shared" si="14"/>
        <v>0</v>
      </c>
      <c r="V13" s="33">
        <f t="shared" si="16"/>
        <v>59.999999999999972</v>
      </c>
      <c r="W13" s="33">
        <v>211.52</v>
      </c>
    </row>
    <row r="14" spans="1:24" ht="18.75">
      <c r="A14" s="9">
        <v>44603</v>
      </c>
      <c r="B14" s="10" t="s">
        <v>20</v>
      </c>
      <c r="C14" s="11">
        <v>7549.57</v>
      </c>
      <c r="D14" s="11">
        <v>3953.61</v>
      </c>
      <c r="E14" s="11">
        <v>39</v>
      </c>
      <c r="F14" s="11">
        <v>78</v>
      </c>
      <c r="G14" s="11">
        <v>111.78</v>
      </c>
      <c r="H14" s="11">
        <f t="shared" si="12"/>
        <v>11841.960000000001</v>
      </c>
      <c r="I14" s="11">
        <v>2299.0100000000002</v>
      </c>
      <c r="J14" s="11">
        <f t="shared" si="15"/>
        <v>9506.17</v>
      </c>
      <c r="K14" s="11">
        <f>9506.17-231.69-210.06</f>
        <v>9064.42</v>
      </c>
      <c r="L14" s="11">
        <v>0</v>
      </c>
      <c r="M14" s="11">
        <v>231.69</v>
      </c>
      <c r="N14" s="11">
        <v>210.06</v>
      </c>
      <c r="O14" s="11">
        <v>14.39</v>
      </c>
      <c r="P14" s="33">
        <v>110</v>
      </c>
      <c r="Q14" s="33">
        <v>40</v>
      </c>
      <c r="R14" s="11">
        <v>2131.6</v>
      </c>
      <c r="S14" s="11">
        <v>350</v>
      </c>
      <c r="T14" s="31">
        <f t="shared" si="13"/>
        <v>-3.0200000000004366</v>
      </c>
      <c r="U14" s="32">
        <f t="shared" si="14"/>
        <v>0</v>
      </c>
      <c r="V14" s="33">
        <f t="shared" si="16"/>
        <v>75</v>
      </c>
      <c r="W14" s="33">
        <v>36.78</v>
      </c>
    </row>
    <row r="15" spans="1:24" ht="18.75">
      <c r="A15" s="9">
        <v>44604</v>
      </c>
      <c r="B15" s="10" t="s">
        <v>21</v>
      </c>
      <c r="C15" s="11">
        <v>5555.05</v>
      </c>
      <c r="D15" s="11">
        <v>3232.23</v>
      </c>
      <c r="E15" s="11">
        <v>12</v>
      </c>
      <c r="F15" s="11">
        <v>27</v>
      </c>
      <c r="G15" s="11">
        <v>90</v>
      </c>
      <c r="H15" s="11">
        <f t="shared" si="12"/>
        <v>9011.2800000000007</v>
      </c>
      <c r="I15" s="11">
        <v>2108.63</v>
      </c>
      <c r="J15" s="11">
        <f t="shared" si="15"/>
        <v>6902.95</v>
      </c>
      <c r="K15" s="11">
        <f>6857.65</f>
        <v>6857.65</v>
      </c>
      <c r="L15" s="11">
        <v>0</v>
      </c>
      <c r="M15" s="11">
        <v>45.3</v>
      </c>
      <c r="N15" s="11">
        <v>0</v>
      </c>
      <c r="O15" s="11">
        <v>0</v>
      </c>
      <c r="P15" s="33">
        <v>95</v>
      </c>
      <c r="Q15" s="33">
        <v>23</v>
      </c>
      <c r="R15" s="11">
        <v>1992.36</v>
      </c>
      <c r="S15" s="11">
        <v>350</v>
      </c>
      <c r="T15" s="31">
        <f t="shared" si="13"/>
        <v>1.7299999999995634</v>
      </c>
      <c r="U15" s="32">
        <f t="shared" si="14"/>
        <v>45.299999999999272</v>
      </c>
      <c r="V15" s="33">
        <f t="shared" si="16"/>
        <v>45</v>
      </c>
      <c r="W15" s="33">
        <v>45</v>
      </c>
    </row>
    <row r="16" spans="1:24" ht="18.75">
      <c r="A16" s="9">
        <v>44605</v>
      </c>
      <c r="B16" s="10" t="s">
        <v>22</v>
      </c>
      <c r="C16" s="11">
        <v>4792.1499999999996</v>
      </c>
      <c r="D16" s="11">
        <v>2671.35</v>
      </c>
      <c r="E16" s="11">
        <v>0</v>
      </c>
      <c r="F16" s="11">
        <v>55</v>
      </c>
      <c r="G16" s="11">
        <v>125</v>
      </c>
      <c r="H16" s="11">
        <f t="shared" si="12"/>
        <v>7748.5</v>
      </c>
      <c r="I16" s="11">
        <v>1736.52</v>
      </c>
      <c r="J16" s="11">
        <f t="shared" si="15"/>
        <v>5991.98</v>
      </c>
      <c r="K16" s="11">
        <f>5991.98-40.76</f>
        <v>5951.2199999999993</v>
      </c>
      <c r="L16" s="11">
        <v>0</v>
      </c>
      <c r="M16" s="11">
        <v>40.76</v>
      </c>
      <c r="N16" s="11">
        <v>0</v>
      </c>
      <c r="O16" s="11">
        <v>0</v>
      </c>
      <c r="P16" s="33">
        <v>105</v>
      </c>
      <c r="Q16" s="33">
        <v>16</v>
      </c>
      <c r="R16" s="11">
        <v>1615.7</v>
      </c>
      <c r="S16" s="11">
        <v>350</v>
      </c>
      <c r="T16" s="31">
        <f t="shared" si="13"/>
        <v>0.18000000000006366</v>
      </c>
      <c r="U16" s="32">
        <f t="shared" si="14"/>
        <v>0</v>
      </c>
      <c r="V16" s="33">
        <v>105</v>
      </c>
      <c r="W16" s="33">
        <v>20</v>
      </c>
    </row>
    <row r="17" spans="1:24" ht="37.5" customHeight="1">
      <c r="A17" s="65" t="s">
        <v>27</v>
      </c>
      <c r="B17" s="66"/>
      <c r="C17" s="27">
        <f>SUM(C10:C16)</f>
        <v>43375.25</v>
      </c>
      <c r="D17" s="27">
        <f t="shared" ref="D17:W17" si="17">SUM(D10:D16)</f>
        <v>20182.939999999999</v>
      </c>
      <c r="E17" s="27">
        <f t="shared" si="17"/>
        <v>72.5</v>
      </c>
      <c r="F17" s="27">
        <f t="shared" si="17"/>
        <v>333</v>
      </c>
      <c r="G17" s="27">
        <f t="shared" si="17"/>
        <v>1029.06</v>
      </c>
      <c r="H17" s="27">
        <f t="shared" si="17"/>
        <v>65422.75</v>
      </c>
      <c r="I17" s="27">
        <f t="shared" si="17"/>
        <v>14266.600000000002</v>
      </c>
      <c r="J17" s="27">
        <f t="shared" si="17"/>
        <v>50512.759999999995</v>
      </c>
      <c r="K17" s="27">
        <f t="shared" si="17"/>
        <v>48921.43</v>
      </c>
      <c r="L17" s="27">
        <f t="shared" si="17"/>
        <v>76.099999999999994</v>
      </c>
      <c r="M17" s="27">
        <f t="shared" si="17"/>
        <v>640.84999999999991</v>
      </c>
      <c r="N17" s="27">
        <f t="shared" si="17"/>
        <v>874.37999999999988</v>
      </c>
      <c r="O17" s="27">
        <f t="shared" si="17"/>
        <v>1452.8500000000001</v>
      </c>
      <c r="P17" s="27">
        <f t="shared" si="17"/>
        <v>430</v>
      </c>
      <c r="Q17" s="27">
        <f t="shared" si="17"/>
        <v>233</v>
      </c>
      <c r="R17" s="27">
        <f t="shared" si="17"/>
        <v>12158.170000000002</v>
      </c>
      <c r="S17" s="27">
        <f t="shared" si="17"/>
        <v>2450</v>
      </c>
      <c r="T17" s="27">
        <f t="shared" si="17"/>
        <v>7.4199999999991633</v>
      </c>
      <c r="U17" s="27">
        <f t="shared" si="17"/>
        <v>-84.330000000001746</v>
      </c>
      <c r="V17" s="27">
        <f t="shared" si="17"/>
        <v>465</v>
      </c>
      <c r="W17" s="27">
        <f t="shared" si="17"/>
        <v>559.05999999999995</v>
      </c>
    </row>
    <row r="18" spans="1:24" s="35" customFormat="1" ht="18.75">
      <c r="A18" s="9">
        <v>44606</v>
      </c>
      <c r="B18" s="10" t="s">
        <v>23</v>
      </c>
      <c r="C18" s="11">
        <v>5979.59</v>
      </c>
      <c r="D18" s="11">
        <v>3072.52</v>
      </c>
      <c r="E18" s="11">
        <v>8.5</v>
      </c>
      <c r="F18" s="11">
        <v>59</v>
      </c>
      <c r="G18" s="11">
        <v>600</v>
      </c>
      <c r="H18" s="11">
        <f t="shared" ref="H18:H24" si="18">SUM(C18:G18,P18)</f>
        <v>9744.61</v>
      </c>
      <c r="I18" s="11">
        <v>2442.3000000000002</v>
      </c>
      <c r="J18" s="11">
        <f>SUM(K18:N18)</f>
        <v>6707.31</v>
      </c>
      <c r="K18" s="11">
        <f>6707.31-281.14</f>
        <v>6426.17</v>
      </c>
      <c r="L18" s="11">
        <v>0</v>
      </c>
      <c r="M18" s="11">
        <v>281.14</v>
      </c>
      <c r="N18" s="11">
        <v>0</v>
      </c>
      <c r="O18" s="11">
        <v>320.31</v>
      </c>
      <c r="P18" s="33">
        <v>25</v>
      </c>
      <c r="Q18" s="33">
        <v>35</v>
      </c>
      <c r="R18" s="11">
        <v>1960.55</v>
      </c>
      <c r="S18" s="11">
        <v>350</v>
      </c>
      <c r="T18" s="31">
        <f t="shared" ref="T18:T24" si="19">SUM(O18,P18,Q18,R18)-I18</f>
        <v>-101.44000000000005</v>
      </c>
      <c r="U18" s="32">
        <f t="shared" ref="U18:U24" si="20">SUM(I18+J18+W18)-(H18)</f>
        <v>-499</v>
      </c>
      <c r="V18" s="33">
        <v>5</v>
      </c>
      <c r="W18" s="33">
        <v>96</v>
      </c>
      <c r="X18" s="35" t="s">
        <v>57</v>
      </c>
    </row>
    <row r="19" spans="1:24" s="35" customFormat="1" ht="18.75">
      <c r="A19" s="9">
        <v>44607</v>
      </c>
      <c r="B19" s="10" t="s">
        <v>24</v>
      </c>
      <c r="C19" s="11">
        <v>6451.09</v>
      </c>
      <c r="D19" s="11">
        <v>2133.8200000000002</v>
      </c>
      <c r="E19" s="11">
        <v>19</v>
      </c>
      <c r="F19" s="11">
        <v>17</v>
      </c>
      <c r="G19" s="11">
        <v>540.20000000000005</v>
      </c>
      <c r="H19" s="11">
        <f t="shared" si="18"/>
        <v>9231.11</v>
      </c>
      <c r="I19" s="11">
        <v>1752.16</v>
      </c>
      <c r="J19" s="11">
        <f t="shared" ref="J19:J24" si="21">SUM(K19:N19)</f>
        <v>6968.83</v>
      </c>
      <c r="K19" s="11">
        <f>6968.83-448.67-11.98</f>
        <v>6508.18</v>
      </c>
      <c r="L19" s="11">
        <v>11.98</v>
      </c>
      <c r="M19" s="11">
        <v>448.67</v>
      </c>
      <c r="N19" s="11">
        <v>0</v>
      </c>
      <c r="O19" s="11">
        <v>255.61</v>
      </c>
      <c r="P19" s="33">
        <v>70</v>
      </c>
      <c r="Q19" s="33">
        <v>24</v>
      </c>
      <c r="R19" s="11">
        <v>1543.06</v>
      </c>
      <c r="S19" s="11">
        <v>350</v>
      </c>
      <c r="T19" s="31">
        <f t="shared" si="19"/>
        <v>140.51</v>
      </c>
      <c r="U19" s="32">
        <f t="shared" si="20"/>
        <v>-495.1200000000008</v>
      </c>
      <c r="V19" s="33">
        <v>120</v>
      </c>
      <c r="W19" s="33">
        <v>15</v>
      </c>
      <c r="X19" s="35" t="s">
        <v>58</v>
      </c>
    </row>
    <row r="20" spans="1:24" s="35" customFormat="1" ht="18.75">
      <c r="A20" s="9">
        <v>44608</v>
      </c>
      <c r="B20" s="10" t="s">
        <v>25</v>
      </c>
      <c r="C20" s="11">
        <v>5574.32</v>
      </c>
      <c r="D20" s="11">
        <v>2579.56</v>
      </c>
      <c r="E20" s="11">
        <v>13</v>
      </c>
      <c r="F20" s="11">
        <v>45</v>
      </c>
      <c r="G20" s="11">
        <v>295</v>
      </c>
      <c r="H20" s="11">
        <f t="shared" si="18"/>
        <v>8606.8799999999992</v>
      </c>
      <c r="I20" s="11">
        <v>1874.95</v>
      </c>
      <c r="J20" s="11">
        <f t="shared" si="21"/>
        <v>6511.93</v>
      </c>
      <c r="K20" s="11">
        <f>6511.93-109.11</f>
        <v>6402.8200000000006</v>
      </c>
      <c r="L20" s="11">
        <v>0</v>
      </c>
      <c r="M20" s="11">
        <v>109.11</v>
      </c>
      <c r="N20" s="11">
        <v>0</v>
      </c>
      <c r="O20" s="11">
        <v>211.54</v>
      </c>
      <c r="P20" s="33">
        <v>100</v>
      </c>
      <c r="Q20" s="33">
        <v>35</v>
      </c>
      <c r="R20" s="11">
        <v>527.67999999999995</v>
      </c>
      <c r="S20" s="11">
        <v>350</v>
      </c>
      <c r="T20" s="31">
        <f t="shared" si="19"/>
        <v>-1000.7300000000001</v>
      </c>
      <c r="U20" s="32">
        <f t="shared" si="20"/>
        <v>-199.99999999999818</v>
      </c>
      <c r="V20" s="33">
        <v>75</v>
      </c>
      <c r="W20" s="33">
        <v>20</v>
      </c>
      <c r="X20" s="35" t="s">
        <v>59</v>
      </c>
    </row>
    <row r="21" spans="1:24" s="35" customFormat="1" ht="18.75">
      <c r="A21" s="9">
        <v>44609</v>
      </c>
      <c r="B21" s="10" t="s">
        <v>26</v>
      </c>
      <c r="C21" s="11">
        <v>7382.15</v>
      </c>
      <c r="D21" s="11">
        <v>2963.01</v>
      </c>
      <c r="E21" s="11">
        <v>0</v>
      </c>
      <c r="F21" s="11">
        <v>47</v>
      </c>
      <c r="G21" s="11">
        <v>185</v>
      </c>
      <c r="H21" s="11">
        <f t="shared" si="18"/>
        <v>10647.16</v>
      </c>
      <c r="I21" s="11">
        <v>2331.19</v>
      </c>
      <c r="J21" s="11">
        <f t="shared" si="21"/>
        <v>8028.37</v>
      </c>
      <c r="K21" s="11">
        <f>8028.37-507.91-6.99-293.3</f>
        <v>7220.17</v>
      </c>
      <c r="L21" s="11">
        <v>6.99</v>
      </c>
      <c r="M21" s="11">
        <v>507.91</v>
      </c>
      <c r="N21" s="11">
        <v>293.3</v>
      </c>
      <c r="O21" s="11">
        <v>0</v>
      </c>
      <c r="P21" s="33">
        <v>70</v>
      </c>
      <c r="Q21" s="33">
        <v>20</v>
      </c>
      <c r="R21" s="11">
        <v>2249.75</v>
      </c>
      <c r="S21" s="11">
        <v>350</v>
      </c>
      <c r="T21" s="31">
        <f t="shared" si="19"/>
        <v>8.5599999999999454</v>
      </c>
      <c r="U21" s="32">
        <f t="shared" si="20"/>
        <v>-102.60000000000036</v>
      </c>
      <c r="V21" s="33">
        <f t="shared" ref="V21:V24" si="22">SUM(G21-W21)</f>
        <v>0</v>
      </c>
      <c r="W21" s="33">
        <v>185</v>
      </c>
    </row>
    <row r="22" spans="1:24" s="35" customFormat="1" ht="18.75">
      <c r="A22" s="9">
        <v>44610</v>
      </c>
      <c r="B22" s="10" t="s">
        <v>20</v>
      </c>
      <c r="C22" s="11">
        <v>6243.27</v>
      </c>
      <c r="D22" s="11">
        <v>3870.58</v>
      </c>
      <c r="E22" s="11">
        <v>46.5</v>
      </c>
      <c r="F22" s="11">
        <v>98</v>
      </c>
      <c r="G22" s="11">
        <v>105</v>
      </c>
      <c r="H22" s="11">
        <f t="shared" si="18"/>
        <v>10443.800000000001</v>
      </c>
      <c r="I22" s="43">
        <v>2620.2800000000002</v>
      </c>
      <c r="J22" s="11">
        <f t="shared" si="21"/>
        <v>7803.52</v>
      </c>
      <c r="K22" s="11">
        <f>7803.52-170.64-10.01-331.79</f>
        <v>7291.08</v>
      </c>
      <c r="L22" s="11">
        <v>10.01</v>
      </c>
      <c r="M22" s="11">
        <v>170.64</v>
      </c>
      <c r="N22" s="11">
        <v>331.79</v>
      </c>
      <c r="O22" s="11">
        <v>0</v>
      </c>
      <c r="P22" s="33">
        <v>80.45</v>
      </c>
      <c r="Q22" s="33">
        <v>23</v>
      </c>
      <c r="R22" s="11">
        <v>2548.69</v>
      </c>
      <c r="S22" s="11">
        <v>350</v>
      </c>
      <c r="T22" s="31">
        <f t="shared" si="19"/>
        <v>31.859999999999673</v>
      </c>
      <c r="U22" s="32">
        <f t="shared" si="20"/>
        <v>0</v>
      </c>
      <c r="V22" s="33">
        <f t="shared" si="22"/>
        <v>85</v>
      </c>
      <c r="W22" s="33">
        <v>20</v>
      </c>
    </row>
    <row r="23" spans="1:24" s="35" customFormat="1" ht="18.75">
      <c r="A23" s="9">
        <v>44611</v>
      </c>
      <c r="B23" s="10" t="s">
        <v>21</v>
      </c>
      <c r="C23" s="11">
        <v>5054.79</v>
      </c>
      <c r="D23" s="11">
        <v>3508.79</v>
      </c>
      <c r="E23" s="11">
        <v>8</v>
      </c>
      <c r="F23" s="11">
        <v>43</v>
      </c>
      <c r="G23" s="11">
        <v>110</v>
      </c>
      <c r="H23" s="11">
        <f t="shared" si="18"/>
        <v>8859.35</v>
      </c>
      <c r="I23" s="11">
        <v>2538.4899999999998</v>
      </c>
      <c r="J23" s="11">
        <f t="shared" si="21"/>
        <v>6166.43</v>
      </c>
      <c r="K23" s="11">
        <f>6166.43</f>
        <v>6166.43</v>
      </c>
      <c r="L23" s="11">
        <v>0</v>
      </c>
      <c r="M23" s="11">
        <v>0</v>
      </c>
      <c r="N23" s="11">
        <v>0</v>
      </c>
      <c r="O23" s="11">
        <v>50</v>
      </c>
      <c r="P23" s="33">
        <v>134.77000000000001</v>
      </c>
      <c r="Q23" s="33">
        <v>25</v>
      </c>
      <c r="R23" s="11">
        <v>2328.02</v>
      </c>
      <c r="S23" s="11">
        <v>350</v>
      </c>
      <c r="T23" s="31">
        <f t="shared" si="19"/>
        <v>-0.6999999999998181</v>
      </c>
      <c r="U23" s="32">
        <f t="shared" si="20"/>
        <v>-74.430000000000291</v>
      </c>
      <c r="V23" s="33">
        <f t="shared" si="22"/>
        <v>30</v>
      </c>
      <c r="W23" s="33">
        <v>80</v>
      </c>
      <c r="X23" s="35" t="s">
        <v>60</v>
      </c>
    </row>
    <row r="24" spans="1:24" s="35" customFormat="1" ht="18.75">
      <c r="A24" s="9">
        <v>44612</v>
      </c>
      <c r="B24" s="10" t="s">
        <v>22</v>
      </c>
      <c r="C24" s="11">
        <v>5126.53</v>
      </c>
      <c r="D24" s="11">
        <v>2554.7800000000002</v>
      </c>
      <c r="E24" s="11">
        <v>0</v>
      </c>
      <c r="F24" s="11">
        <v>80</v>
      </c>
      <c r="G24" s="11">
        <v>70</v>
      </c>
      <c r="H24" s="11">
        <f t="shared" si="18"/>
        <v>7901.3399999999992</v>
      </c>
      <c r="I24" s="11">
        <v>1699.81</v>
      </c>
      <c r="J24" s="11">
        <f t="shared" si="21"/>
        <v>6131.53</v>
      </c>
      <c r="K24" s="11">
        <f>6131.53-102.14-6.99-167.37</f>
        <v>5855.03</v>
      </c>
      <c r="L24" s="11">
        <v>6.99</v>
      </c>
      <c r="M24" s="11">
        <v>102.14</v>
      </c>
      <c r="N24" s="11">
        <v>167.37</v>
      </c>
      <c r="O24" s="11">
        <v>0</v>
      </c>
      <c r="P24" s="33">
        <v>70.03</v>
      </c>
      <c r="Q24" s="33">
        <v>71</v>
      </c>
      <c r="R24" s="11">
        <v>1559.12</v>
      </c>
      <c r="S24" s="11">
        <v>350</v>
      </c>
      <c r="T24" s="31">
        <f t="shared" si="19"/>
        <v>0.33999999999991815</v>
      </c>
      <c r="U24" s="32">
        <f t="shared" si="20"/>
        <v>0</v>
      </c>
      <c r="V24" s="33">
        <f t="shared" si="22"/>
        <v>0</v>
      </c>
      <c r="W24" s="33">
        <v>70</v>
      </c>
    </row>
    <row r="25" spans="1:24" ht="37.5" customHeight="1">
      <c r="A25" s="65" t="s">
        <v>27</v>
      </c>
      <c r="B25" s="66"/>
      <c r="C25" s="27">
        <f>SUM(C18:C24)</f>
        <v>41811.74</v>
      </c>
      <c r="D25" s="27">
        <f t="shared" ref="D25:W25" si="23">SUM(D18:D24)</f>
        <v>20683.059999999998</v>
      </c>
      <c r="E25" s="27">
        <f t="shared" si="23"/>
        <v>95</v>
      </c>
      <c r="F25" s="27">
        <f t="shared" si="23"/>
        <v>389</v>
      </c>
      <c r="G25" s="27">
        <f t="shared" si="23"/>
        <v>1905.2</v>
      </c>
      <c r="H25" s="27">
        <f t="shared" si="23"/>
        <v>65434.249999999993</v>
      </c>
      <c r="I25" s="27">
        <f t="shared" si="23"/>
        <v>15259.18</v>
      </c>
      <c r="J25" s="27">
        <f t="shared" si="23"/>
        <v>48317.919999999998</v>
      </c>
      <c r="K25" s="27">
        <f t="shared" si="23"/>
        <v>45869.880000000005</v>
      </c>
      <c r="L25" s="27">
        <f t="shared" si="23"/>
        <v>35.97</v>
      </c>
      <c r="M25" s="27">
        <f t="shared" si="23"/>
        <v>1619.61</v>
      </c>
      <c r="N25" s="27">
        <f t="shared" si="23"/>
        <v>792.46</v>
      </c>
      <c r="O25" s="27">
        <f t="shared" si="23"/>
        <v>837.46</v>
      </c>
      <c r="P25" s="27">
        <f t="shared" si="23"/>
        <v>550.25</v>
      </c>
      <c r="Q25" s="27">
        <f t="shared" si="23"/>
        <v>233</v>
      </c>
      <c r="R25" s="27">
        <f t="shared" si="23"/>
        <v>12716.869999999999</v>
      </c>
      <c r="S25" s="27">
        <f t="shared" si="23"/>
        <v>2450</v>
      </c>
      <c r="T25" s="27">
        <f t="shared" si="23"/>
        <v>-921.60000000000048</v>
      </c>
      <c r="U25" s="27">
        <f t="shared" si="23"/>
        <v>-1371.1499999999996</v>
      </c>
      <c r="V25" s="27">
        <f t="shared" si="23"/>
        <v>315</v>
      </c>
      <c r="W25" s="27">
        <f t="shared" si="23"/>
        <v>486</v>
      </c>
    </row>
    <row r="26" spans="1:24" s="35" customFormat="1" ht="18.75">
      <c r="A26" s="9">
        <v>44613</v>
      </c>
      <c r="B26" s="10" t="s">
        <v>23</v>
      </c>
      <c r="C26" s="11">
        <v>5453.23</v>
      </c>
      <c r="D26" s="11">
        <v>2439.86</v>
      </c>
      <c r="E26" s="11">
        <v>6</v>
      </c>
      <c r="F26" s="11">
        <v>19</v>
      </c>
      <c r="G26" s="11">
        <v>473.1</v>
      </c>
      <c r="H26" s="11">
        <f t="shared" ref="H26:H32" si="24">SUM(C26:G26,P26)</f>
        <v>8446.19</v>
      </c>
      <c r="I26" s="11">
        <v>2124.67</v>
      </c>
      <c r="J26" s="11">
        <v>5899.42</v>
      </c>
      <c r="K26" s="11">
        <f>5899.42-158.31-164.85</f>
        <v>5576.2599999999993</v>
      </c>
      <c r="L26" s="11">
        <v>0</v>
      </c>
      <c r="M26" s="11">
        <v>158.31</v>
      </c>
      <c r="N26" s="11">
        <v>164.85</v>
      </c>
      <c r="O26" s="11">
        <v>62.35</v>
      </c>
      <c r="P26" s="33">
        <v>55</v>
      </c>
      <c r="Q26" s="33">
        <v>15</v>
      </c>
      <c r="R26" s="11">
        <v>1932.95</v>
      </c>
      <c r="S26" s="11">
        <v>350</v>
      </c>
      <c r="T26" s="31">
        <f t="shared" ref="T26:T32" si="25">SUM(O26,P26,Q26,R26)-I26</f>
        <v>-59.369999999999891</v>
      </c>
      <c r="U26" s="32">
        <f>SUM(I26+J26+W26)-(H26)</f>
        <v>-252.10000000000036</v>
      </c>
      <c r="V26" s="33">
        <v>51</v>
      </c>
      <c r="W26" s="33">
        <v>170</v>
      </c>
      <c r="X26" s="35" t="s">
        <v>61</v>
      </c>
    </row>
    <row r="27" spans="1:24" s="35" customFormat="1" ht="18.75">
      <c r="A27" s="9">
        <v>44614</v>
      </c>
      <c r="B27" s="10" t="s">
        <v>24</v>
      </c>
      <c r="C27" s="11">
        <v>6305.64</v>
      </c>
      <c r="D27" s="11">
        <v>2283.15</v>
      </c>
      <c r="E27" s="11">
        <v>17</v>
      </c>
      <c r="F27" s="11">
        <v>80</v>
      </c>
      <c r="G27" s="11">
        <v>75</v>
      </c>
      <c r="H27" s="11">
        <f t="shared" si="24"/>
        <v>8795.7900000000009</v>
      </c>
      <c r="I27" s="11">
        <v>1903.83</v>
      </c>
      <c r="J27" s="11">
        <v>6816.96</v>
      </c>
      <c r="K27" s="11">
        <f>6816.96-105.75-425.99</f>
        <v>6285.22</v>
      </c>
      <c r="L27" s="11">
        <v>0</v>
      </c>
      <c r="M27" s="11">
        <v>105.75</v>
      </c>
      <c r="N27" s="11">
        <v>425.99</v>
      </c>
      <c r="O27" s="11">
        <v>200.81</v>
      </c>
      <c r="P27" s="33">
        <v>35</v>
      </c>
      <c r="Q27" s="33">
        <v>55</v>
      </c>
      <c r="R27" s="11">
        <v>1678.87</v>
      </c>
      <c r="S27" s="11">
        <v>350</v>
      </c>
      <c r="T27" s="31">
        <f t="shared" si="25"/>
        <v>65.849999999999909</v>
      </c>
      <c r="U27" s="32">
        <f>SUM(I27+J27+W27)-(H27)</f>
        <v>0</v>
      </c>
      <c r="V27" s="33">
        <f t="shared" ref="V27:V32" si="26">SUM(G27-W27)</f>
        <v>0</v>
      </c>
      <c r="W27" s="33">
        <v>75</v>
      </c>
    </row>
    <row r="28" spans="1:24" s="35" customFormat="1" ht="18.75">
      <c r="A28" s="9">
        <v>44615</v>
      </c>
      <c r="B28" s="10" t="s">
        <v>25</v>
      </c>
      <c r="C28" s="11">
        <v>6112.23</v>
      </c>
      <c r="D28" s="11">
        <v>2637.31</v>
      </c>
      <c r="E28" s="11">
        <v>26</v>
      </c>
      <c r="F28" s="11">
        <v>18</v>
      </c>
      <c r="G28" s="11">
        <v>448.96</v>
      </c>
      <c r="H28" s="11">
        <f t="shared" si="24"/>
        <v>9332.4999999999982</v>
      </c>
      <c r="I28" s="11">
        <v>2179.66</v>
      </c>
      <c r="J28" s="11">
        <v>6748.88</v>
      </c>
      <c r="K28" s="11">
        <f>6748.88-151.66-27.72-185.25</f>
        <v>6384.25</v>
      </c>
      <c r="L28" s="11">
        <v>27.72</v>
      </c>
      <c r="M28" s="11">
        <v>151.66</v>
      </c>
      <c r="N28" s="11">
        <v>185.25</v>
      </c>
      <c r="O28" s="11">
        <v>379.39</v>
      </c>
      <c r="P28" s="33">
        <v>90</v>
      </c>
      <c r="Q28" s="33">
        <v>17</v>
      </c>
      <c r="R28" s="11">
        <v>1695.79</v>
      </c>
      <c r="S28" s="11">
        <v>350</v>
      </c>
      <c r="T28" s="31">
        <f t="shared" si="25"/>
        <v>2.5199999999999818</v>
      </c>
      <c r="U28" s="32">
        <f t="shared" ref="U28:U32" si="27">SUM(I28+J28+W28)-(H28)</f>
        <v>-318.79999999999745</v>
      </c>
      <c r="V28" s="33">
        <f t="shared" si="26"/>
        <v>363.79999999999995</v>
      </c>
      <c r="W28" s="33">
        <v>85.16</v>
      </c>
    </row>
    <row r="29" spans="1:24" s="35" customFormat="1" ht="18.75">
      <c r="A29" s="9">
        <v>44616</v>
      </c>
      <c r="B29" s="10" t="s">
        <v>26</v>
      </c>
      <c r="C29" s="11">
        <v>7533.67</v>
      </c>
      <c r="D29" s="11">
        <v>2788.68</v>
      </c>
      <c r="E29" s="11">
        <v>13.5</v>
      </c>
      <c r="F29" s="11">
        <v>48</v>
      </c>
      <c r="G29" s="11">
        <v>307.13</v>
      </c>
      <c r="H29" s="11">
        <f t="shared" si="24"/>
        <v>10690.98</v>
      </c>
      <c r="I29" s="11">
        <v>2283.19</v>
      </c>
      <c r="J29" s="11">
        <v>8100.66</v>
      </c>
      <c r="K29" s="11">
        <f>8100.66-347.74-50.17-110.71</f>
        <v>7592.04</v>
      </c>
      <c r="L29" s="11">
        <v>50.17</v>
      </c>
      <c r="M29" s="11">
        <v>347.74</v>
      </c>
      <c r="N29" s="11">
        <v>110.71</v>
      </c>
      <c r="O29" s="11">
        <v>642.22</v>
      </c>
      <c r="P29" s="33">
        <v>0</v>
      </c>
      <c r="Q29" s="33">
        <v>33</v>
      </c>
      <c r="R29" s="11">
        <v>1627.05</v>
      </c>
      <c r="S29" s="11">
        <v>350</v>
      </c>
      <c r="T29" s="31">
        <f t="shared" si="25"/>
        <v>19.079999999999927</v>
      </c>
      <c r="U29" s="32">
        <f t="shared" si="27"/>
        <v>-265.1299999999992</v>
      </c>
      <c r="V29" s="33">
        <v>0</v>
      </c>
      <c r="W29" s="33">
        <v>42</v>
      </c>
      <c r="X29" s="35" t="s">
        <v>62</v>
      </c>
    </row>
    <row r="30" spans="1:24" s="35" customFormat="1" ht="18.75">
      <c r="A30" s="9">
        <v>44617</v>
      </c>
      <c r="B30" s="10" t="s">
        <v>20</v>
      </c>
      <c r="C30" s="11">
        <v>10937.29</v>
      </c>
      <c r="D30" s="11">
        <v>4312.6099999999997</v>
      </c>
      <c r="E30" s="11">
        <v>81.5</v>
      </c>
      <c r="F30" s="11">
        <v>82</v>
      </c>
      <c r="G30" s="11">
        <v>172</v>
      </c>
      <c r="H30" s="11">
        <f t="shared" si="24"/>
        <v>15752.130000000001</v>
      </c>
      <c r="I30" s="11">
        <v>3139.13</v>
      </c>
      <c r="J30" s="11">
        <v>12576</v>
      </c>
      <c r="K30" s="11">
        <f>12576-106.36-489.13</f>
        <v>11980.51</v>
      </c>
      <c r="L30" s="11">
        <v>0</v>
      </c>
      <c r="M30" s="11">
        <v>106.36</v>
      </c>
      <c r="N30" s="11">
        <v>489.13</v>
      </c>
      <c r="O30" s="11">
        <v>15.47</v>
      </c>
      <c r="P30" s="33">
        <v>166.73</v>
      </c>
      <c r="Q30" s="33">
        <v>69.3</v>
      </c>
      <c r="R30" s="11">
        <v>2888.9</v>
      </c>
      <c r="S30" s="11">
        <v>350</v>
      </c>
      <c r="T30" s="31">
        <f t="shared" si="25"/>
        <v>1.2699999999999818</v>
      </c>
      <c r="U30" s="32">
        <f t="shared" si="27"/>
        <v>0</v>
      </c>
      <c r="V30" s="33">
        <f t="shared" si="26"/>
        <v>135</v>
      </c>
      <c r="W30" s="33">
        <v>37</v>
      </c>
    </row>
    <row r="31" spans="1:24" s="35" customFormat="1" ht="18.75">
      <c r="A31" s="9">
        <v>44618</v>
      </c>
      <c r="B31" s="10" t="s">
        <v>21</v>
      </c>
      <c r="C31" s="11">
        <v>8490.16</v>
      </c>
      <c r="D31" s="11">
        <v>3878.21</v>
      </c>
      <c r="E31" s="11">
        <v>25</v>
      </c>
      <c r="F31" s="11">
        <v>54</v>
      </c>
      <c r="G31" s="11">
        <v>182.2</v>
      </c>
      <c r="H31" s="11">
        <f t="shared" si="24"/>
        <v>12831.57</v>
      </c>
      <c r="I31" s="11">
        <v>2805.34</v>
      </c>
      <c r="J31" s="11">
        <v>9964.0300000000007</v>
      </c>
      <c r="K31" s="11">
        <f>9964.03-3.99</f>
        <v>9960.0400000000009</v>
      </c>
      <c r="L31" s="11">
        <v>3.99</v>
      </c>
      <c r="M31" s="11">
        <v>0</v>
      </c>
      <c r="N31" s="11">
        <v>0</v>
      </c>
      <c r="O31" s="11">
        <v>0</v>
      </c>
      <c r="P31" s="33">
        <v>202</v>
      </c>
      <c r="Q31" s="33">
        <v>35</v>
      </c>
      <c r="R31" s="11">
        <v>2568.27</v>
      </c>
      <c r="S31" s="11">
        <v>350</v>
      </c>
      <c r="T31" s="31">
        <f t="shared" si="25"/>
        <v>-7.0000000000163709E-2</v>
      </c>
      <c r="U31" s="32">
        <f t="shared" si="27"/>
        <v>0</v>
      </c>
      <c r="V31" s="33">
        <f t="shared" si="26"/>
        <v>119.99999999999999</v>
      </c>
      <c r="W31" s="33">
        <v>62.2</v>
      </c>
    </row>
    <row r="32" spans="1:24" s="35" customFormat="1" ht="18.75">
      <c r="A32" s="9">
        <v>44619</v>
      </c>
      <c r="B32" s="10" t="s">
        <v>22</v>
      </c>
      <c r="C32" s="11">
        <v>7446.67</v>
      </c>
      <c r="D32" s="11">
        <v>3114.21</v>
      </c>
      <c r="E32" s="11">
        <v>1.5</v>
      </c>
      <c r="F32" s="11">
        <v>49</v>
      </c>
      <c r="G32" s="11">
        <v>268</v>
      </c>
      <c r="H32" s="11">
        <f t="shared" si="24"/>
        <v>10916.050000000001</v>
      </c>
      <c r="I32" s="11">
        <v>2427.7600000000002</v>
      </c>
      <c r="J32" s="11">
        <f t="shared" ref="J32" si="28">SUM(K32:N32)</f>
        <v>8330.2900000000009</v>
      </c>
      <c r="K32" s="11">
        <f>8330.29-86.31-146.52</f>
        <v>8097.4600000000009</v>
      </c>
      <c r="L32" s="11">
        <v>0</v>
      </c>
      <c r="M32" s="11">
        <v>86.31</v>
      </c>
      <c r="N32" s="11">
        <v>146.52000000000001</v>
      </c>
      <c r="O32" s="11">
        <v>0</v>
      </c>
      <c r="P32" s="33">
        <v>36.67</v>
      </c>
      <c r="Q32" s="33">
        <v>38</v>
      </c>
      <c r="R32" s="11">
        <v>2356.17</v>
      </c>
      <c r="S32" s="11">
        <v>350</v>
      </c>
      <c r="T32" s="31">
        <f t="shared" si="25"/>
        <v>3.0799999999999272</v>
      </c>
      <c r="U32" s="32">
        <f t="shared" si="27"/>
        <v>-3</v>
      </c>
      <c r="V32" s="33">
        <f t="shared" si="26"/>
        <v>113</v>
      </c>
      <c r="W32" s="33">
        <v>155</v>
      </c>
    </row>
    <row r="33" spans="1:24" ht="37.5" customHeight="1">
      <c r="A33" s="65" t="s">
        <v>27</v>
      </c>
      <c r="B33" s="66"/>
      <c r="C33" s="27">
        <f>SUM(C26:C32)</f>
        <v>52278.89</v>
      </c>
      <c r="D33" s="27">
        <f t="shared" ref="D33:W33" si="29">SUM(D26:D32)</f>
        <v>21454.03</v>
      </c>
      <c r="E33" s="27">
        <f t="shared" si="29"/>
        <v>170.5</v>
      </c>
      <c r="F33" s="27">
        <f t="shared" si="29"/>
        <v>350</v>
      </c>
      <c r="G33" s="27">
        <f t="shared" si="29"/>
        <v>1926.39</v>
      </c>
      <c r="H33" s="27">
        <f t="shared" si="29"/>
        <v>76765.210000000006</v>
      </c>
      <c r="I33" s="27">
        <f t="shared" si="29"/>
        <v>16863.580000000002</v>
      </c>
      <c r="J33" s="27">
        <f t="shared" si="29"/>
        <v>58436.24</v>
      </c>
      <c r="K33" s="27">
        <f t="shared" si="29"/>
        <v>55875.78</v>
      </c>
      <c r="L33" s="27">
        <f t="shared" si="29"/>
        <v>81.88</v>
      </c>
      <c r="M33" s="27">
        <f t="shared" si="29"/>
        <v>956.13000000000011</v>
      </c>
      <c r="N33" s="27">
        <f t="shared" si="29"/>
        <v>1522.45</v>
      </c>
      <c r="O33" s="27">
        <f t="shared" si="29"/>
        <v>1300.24</v>
      </c>
      <c r="P33" s="27">
        <f t="shared" si="29"/>
        <v>585.4</v>
      </c>
      <c r="Q33" s="27">
        <f t="shared" si="29"/>
        <v>262.3</v>
      </c>
      <c r="R33" s="27">
        <f t="shared" si="29"/>
        <v>14748</v>
      </c>
      <c r="S33" s="27">
        <f t="shared" si="29"/>
        <v>2450</v>
      </c>
      <c r="T33" s="27">
        <f t="shared" si="29"/>
        <v>32.359999999999673</v>
      </c>
      <c r="U33" s="27">
        <f t="shared" si="29"/>
        <v>-839.02999999999702</v>
      </c>
      <c r="V33" s="27">
        <f t="shared" si="29"/>
        <v>782.8</v>
      </c>
      <c r="W33" s="27">
        <f t="shared" si="29"/>
        <v>626.3599999999999</v>
      </c>
    </row>
    <row r="34" spans="1:24" s="35" customFormat="1" ht="18.75">
      <c r="A34" s="9">
        <v>44620</v>
      </c>
      <c r="B34" s="10" t="s">
        <v>23</v>
      </c>
      <c r="C34" s="11">
        <v>8670.3700000000008</v>
      </c>
      <c r="D34" s="11">
        <v>2437.04</v>
      </c>
      <c r="E34" s="11">
        <v>10</v>
      </c>
      <c r="F34" s="11">
        <v>76</v>
      </c>
      <c r="G34" s="11">
        <v>241.96</v>
      </c>
      <c r="H34" s="11">
        <f t="shared" ref="H34" si="30">SUM(C34:G34,P34)</f>
        <v>11590.369999999999</v>
      </c>
      <c r="I34" s="11">
        <v>2421.3200000000002</v>
      </c>
      <c r="J34" s="11">
        <f t="shared" ref="J34" si="31">SUM(K34:N34)</f>
        <v>8940.85</v>
      </c>
      <c r="K34" s="11">
        <f>8940.85-272.5-363.82</f>
        <v>8304.5300000000007</v>
      </c>
      <c r="L34" s="11">
        <v>0</v>
      </c>
      <c r="M34" s="11">
        <v>272.5</v>
      </c>
      <c r="N34" s="11">
        <v>363.82</v>
      </c>
      <c r="O34" s="11">
        <v>66</v>
      </c>
      <c r="P34" s="33">
        <v>155</v>
      </c>
      <c r="Q34" s="33">
        <v>45</v>
      </c>
      <c r="R34" s="11">
        <v>2154.9499999999998</v>
      </c>
      <c r="S34" s="11">
        <v>350</v>
      </c>
      <c r="T34" s="31">
        <f t="shared" ref="T34" si="32">SUM(O34,P34,Q34,R34)-I34</f>
        <v>-0.37000000000034561</v>
      </c>
      <c r="U34" s="32">
        <f t="shared" ref="U34" si="33">SUM(I34+J34+W34)-(H34)</f>
        <v>-113.23999999999978</v>
      </c>
      <c r="V34" s="33">
        <f t="shared" ref="V34" si="34">SUM(G34-W34)</f>
        <v>127.00000000000001</v>
      </c>
      <c r="W34" s="33">
        <v>114.96</v>
      </c>
      <c r="X34" s="35" t="s">
        <v>63</v>
      </c>
    </row>
    <row r="35" spans="1:24" ht="51.75" customHeight="1">
      <c r="A35" s="67" t="s">
        <v>17</v>
      </c>
      <c r="B35" s="68"/>
      <c r="C35" s="30">
        <f>SUM(C9,C17,C25,C33,C34)</f>
        <v>189779.64</v>
      </c>
      <c r="D35" s="30">
        <f t="shared" ref="D35:W35" si="35">SUM(D9,D17,D25,D33,D34)</f>
        <v>83858.249999999985</v>
      </c>
      <c r="E35" s="30">
        <f t="shared" si="35"/>
        <v>443.5</v>
      </c>
      <c r="F35" s="30">
        <f t="shared" si="35"/>
        <v>1477</v>
      </c>
      <c r="G35" s="30">
        <f t="shared" si="35"/>
        <v>5557.14</v>
      </c>
      <c r="H35" s="30">
        <f t="shared" si="35"/>
        <v>283592.18</v>
      </c>
      <c r="I35" s="30">
        <f t="shared" si="35"/>
        <v>62320.670000000006</v>
      </c>
      <c r="J35" s="30">
        <f t="shared" si="35"/>
        <v>216717.33</v>
      </c>
      <c r="K35" s="30">
        <f t="shared" si="35"/>
        <v>206435.55</v>
      </c>
      <c r="L35" s="30">
        <f t="shared" si="35"/>
        <v>235.27999999999997</v>
      </c>
      <c r="M35" s="30">
        <f t="shared" si="35"/>
        <v>4682.7999999999993</v>
      </c>
      <c r="N35" s="30">
        <f t="shared" si="35"/>
        <v>5363.7</v>
      </c>
      <c r="O35" s="30">
        <f t="shared" si="35"/>
        <v>4588.3100000000004</v>
      </c>
      <c r="P35" s="30">
        <f t="shared" si="35"/>
        <v>2476.65</v>
      </c>
      <c r="Q35" s="30">
        <f t="shared" si="35"/>
        <v>939.5</v>
      </c>
      <c r="R35" s="30">
        <f t="shared" si="35"/>
        <v>53465.33</v>
      </c>
      <c r="S35" s="30">
        <f t="shared" si="35"/>
        <v>10150</v>
      </c>
      <c r="T35" s="30">
        <f t="shared" si="35"/>
        <v>-850.88000000000204</v>
      </c>
      <c r="U35" s="30">
        <f t="shared" si="35"/>
        <v>-2658.24</v>
      </c>
      <c r="V35" s="30">
        <f t="shared" si="35"/>
        <v>1779.8</v>
      </c>
      <c r="W35" s="30">
        <f t="shared" si="35"/>
        <v>1895.9399999999998</v>
      </c>
    </row>
    <row r="37" spans="1:24">
      <c r="C37" s="41"/>
      <c r="D37" s="41"/>
      <c r="E37" s="41"/>
      <c r="F37" s="41"/>
      <c r="G37" s="41"/>
      <c r="H37" s="41"/>
      <c r="I37" s="41"/>
      <c r="J37" s="41"/>
      <c r="K37" s="41"/>
      <c r="L37" s="41"/>
      <c r="M37" s="41"/>
      <c r="N37" s="41"/>
      <c r="O37" s="41"/>
      <c r="P37" s="41"/>
      <c r="Q37" s="41"/>
      <c r="R37" s="41"/>
      <c r="S37" s="41"/>
      <c r="T37" s="41"/>
      <c r="U37" s="41"/>
      <c r="V37" s="41"/>
      <c r="W37" s="41"/>
    </row>
    <row r="38" spans="1:24"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</row>
    <row r="39" spans="1:24">
      <c r="C39" s="42"/>
      <c r="D39" s="42"/>
      <c r="E39" s="42"/>
      <c r="F39" s="42"/>
      <c r="G39" s="42"/>
      <c r="H39" s="42"/>
      <c r="I39" s="42"/>
      <c r="J39" s="42"/>
      <c r="K39" s="42"/>
      <c r="L39" s="42"/>
      <c r="M39" s="42"/>
      <c r="N39" s="42"/>
      <c r="O39" s="42"/>
      <c r="P39" s="42"/>
      <c r="Q39" s="42"/>
      <c r="R39" s="42"/>
      <c r="S39" s="42"/>
      <c r="T39" s="42"/>
      <c r="U39" s="42"/>
      <c r="V39" s="42"/>
      <c r="W39" s="42"/>
    </row>
    <row r="40" spans="1:24"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</row>
    <row r="41" spans="1:24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</row>
    <row r="43" spans="1:24" hidden="1"/>
    <row r="44" spans="1:24" ht="18.75" hidden="1">
      <c r="C44" s="11"/>
      <c r="D44" s="11"/>
      <c r="E44" s="11"/>
      <c r="F44" s="11"/>
      <c r="G44" s="11"/>
      <c r="H44" s="11"/>
      <c r="I44" s="11"/>
      <c r="J44" s="11"/>
      <c r="K44" s="11"/>
      <c r="L44" s="11"/>
      <c r="M44" s="11"/>
      <c r="N44" s="11"/>
      <c r="O44" s="11"/>
      <c r="P44" s="33"/>
      <c r="Q44" s="33"/>
      <c r="R44" s="11"/>
      <c r="S44" s="11"/>
      <c r="T44" s="31"/>
      <c r="U44" s="32"/>
      <c r="V44" s="33"/>
      <c r="W44" s="33"/>
    </row>
    <row r="45" spans="1:24" ht="18.75" hidden="1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3"/>
      <c r="Q45" s="33"/>
      <c r="R45" s="11"/>
      <c r="S45" s="11"/>
      <c r="T45" s="31"/>
      <c r="U45" s="32"/>
      <c r="V45" s="33"/>
      <c r="W45" s="33"/>
    </row>
    <row r="46" spans="1:24" s="28" customFormat="1" ht="18.75" hidden="1">
      <c r="A46"/>
      <c r="B46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3"/>
      <c r="Q46" s="33"/>
      <c r="R46" s="11"/>
      <c r="S46" s="11"/>
      <c r="T46" s="31"/>
      <c r="U46" s="32"/>
      <c r="V46" s="33"/>
      <c r="W46" s="33"/>
    </row>
    <row r="47" spans="1:24" s="28" customFormat="1" hidden="1">
      <c r="A47"/>
      <c r="B47"/>
      <c r="C47"/>
      <c r="D47"/>
      <c r="E47"/>
      <c r="F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4" s="28" customFormat="1" hidden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23" s="28" customFormat="1" hidden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</row>
  </sheetData>
  <sheetProtection password="CCFB" sheet="1" objects="1" scenarios="1"/>
  <mergeCells count="5">
    <mergeCell ref="A9:B9"/>
    <mergeCell ref="A17:B17"/>
    <mergeCell ref="A25:B25"/>
    <mergeCell ref="A33:B33"/>
    <mergeCell ref="A35:B35"/>
  </mergeCells>
  <conditionalFormatting sqref="T44:U46 T34:U34 T18:U24 T10:U16 T26:U32 T2:U8">
    <cfRule type="cellIs" dxfId="312" priority="14" operator="lessThan">
      <formula>0</formula>
    </cfRule>
    <cfRule type="cellIs" dxfId="311" priority="15" operator="greaterThan">
      <formula>0</formula>
    </cfRule>
  </conditionalFormatting>
  <conditionalFormatting sqref="T44:V46 T34:V34 T26:V32 T18:V24 T10:V16 T2:V8">
    <cfRule type="cellIs" dxfId="310" priority="11" operator="equal">
      <formula>0</formula>
    </cfRule>
    <cfRule type="cellIs" dxfId="309" priority="12" operator="lessThan">
      <formula>0</formula>
    </cfRule>
    <cfRule type="cellIs" dxfId="308" priority="13" operator="greaterThan">
      <formula>0</formula>
    </cfRule>
  </conditionalFormatting>
  <conditionalFormatting sqref="T2:U2">
    <cfRule type="cellIs" dxfId="307" priority="4" operator="lessThan">
      <formula>0</formula>
    </cfRule>
    <cfRule type="cellIs" dxfId="306" priority="5" operator="greaterThan">
      <formula>0</formula>
    </cfRule>
  </conditionalFormatting>
  <conditionalFormatting sqref="T2:V2">
    <cfRule type="cellIs" dxfId="305" priority="1" operator="equal">
      <formula>0</formula>
    </cfRule>
    <cfRule type="cellIs" dxfId="304" priority="2" operator="lessThan">
      <formula>0</formula>
    </cfRule>
    <cfRule type="cellIs" dxfId="303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T9:V9 T17:V17 T25:V25 T33:V33" formula="1"/>
  </ignoredErrors>
</worksheet>
</file>

<file path=xl/worksheets/sheet11.xml><?xml version="1.0" encoding="utf-8"?>
<worksheet xmlns="http://schemas.openxmlformats.org/spreadsheetml/2006/main" xmlns:r="http://schemas.openxmlformats.org/officeDocument/2006/relationships">
  <dimension ref="A1:X52"/>
  <sheetViews>
    <sheetView zoomScale="60" zoomScaleNormal="60" workbookViewId="0">
      <selection activeCell="D30" sqref="D30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5.710937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20.85546875" customWidth="1"/>
    <col min="15" max="16" width="16.7109375" customWidth="1"/>
    <col min="17" max="17" width="14.28515625" customWidth="1"/>
    <col min="18" max="18" width="13" customWidth="1"/>
    <col min="19" max="19" width="14.85546875" customWidth="1"/>
    <col min="20" max="20" width="16.85546875" customWidth="1"/>
    <col min="21" max="21" width="18.42578125" customWidth="1"/>
    <col min="22" max="23" width="15.85546875" customWidth="1"/>
  </cols>
  <sheetData>
    <row r="1" spans="1:23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</row>
    <row r="2" spans="1:23" ht="20.25" customHeight="1">
      <c r="A2" s="9">
        <v>44620</v>
      </c>
      <c r="B2" s="10" t="s">
        <v>23</v>
      </c>
      <c r="C2" s="11">
        <v>8670.3700000000008</v>
      </c>
      <c r="D2" s="11">
        <v>2437.04</v>
      </c>
      <c r="E2" s="11">
        <v>10</v>
      </c>
      <c r="F2" s="11">
        <v>76</v>
      </c>
      <c r="G2" s="11">
        <v>241.96</v>
      </c>
      <c r="H2" s="11">
        <f t="shared" ref="H2" si="0">SUM(C2:G2,P2)</f>
        <v>11590.369999999999</v>
      </c>
      <c r="I2" s="11">
        <v>2421.3200000000002</v>
      </c>
      <c r="J2" s="11">
        <f t="shared" ref="J2" si="1">SUM(K2:N2)</f>
        <v>8940.85</v>
      </c>
      <c r="K2" s="11">
        <f>8940.85-272.5-363.82</f>
        <v>8304.5300000000007</v>
      </c>
      <c r="L2" s="11">
        <v>0</v>
      </c>
      <c r="M2" s="11">
        <v>272.5</v>
      </c>
      <c r="N2" s="11">
        <v>363.82</v>
      </c>
      <c r="O2" s="11">
        <v>66</v>
      </c>
      <c r="P2" s="33">
        <v>155</v>
      </c>
      <c r="Q2" s="33">
        <v>45</v>
      </c>
      <c r="R2" s="11">
        <v>2154.9499999999998</v>
      </c>
      <c r="S2" s="11">
        <v>350</v>
      </c>
      <c r="T2" s="31">
        <f t="shared" ref="T2" si="2">SUM(O2,P2,Q2,R2)-I2</f>
        <v>-0.37000000000034561</v>
      </c>
      <c r="U2" s="32">
        <f t="shared" ref="U2" si="3">SUM(I2+J2+W2)-(H2)</f>
        <v>-113.23999999999978</v>
      </c>
      <c r="V2" s="33">
        <f t="shared" ref="V2" si="4">SUM(G2-W2)</f>
        <v>127.00000000000001</v>
      </c>
      <c r="W2" s="33">
        <v>114.96</v>
      </c>
    </row>
    <row r="3" spans="1:23" ht="20.25" customHeight="1">
      <c r="A3" s="9">
        <v>44621</v>
      </c>
      <c r="B3" s="10" t="s">
        <v>24</v>
      </c>
      <c r="C3" s="11">
        <v>6798.09</v>
      </c>
      <c r="D3" s="11">
        <v>2420.2199999999998</v>
      </c>
      <c r="E3" s="11">
        <v>39.5</v>
      </c>
      <c r="F3" s="11">
        <v>27</v>
      </c>
      <c r="G3" s="11">
        <v>128</v>
      </c>
      <c r="H3" s="11">
        <f t="shared" ref="H3:H8" si="5">SUM(C3:G3,P3)</f>
        <v>9423.81</v>
      </c>
      <c r="I3" s="11">
        <v>2185.58</v>
      </c>
      <c r="J3" s="11">
        <f t="shared" ref="J3:J8" si="6">SUM(K3:N3)</f>
        <v>7160.23</v>
      </c>
      <c r="K3" s="11">
        <f>7160.23-55.35-104.6</f>
        <v>7000.2799999999988</v>
      </c>
      <c r="L3" s="11">
        <v>104.6</v>
      </c>
      <c r="M3" s="11">
        <v>55.35</v>
      </c>
      <c r="N3" s="11">
        <v>0</v>
      </c>
      <c r="O3" s="11">
        <v>328.82</v>
      </c>
      <c r="P3" s="33">
        <v>11</v>
      </c>
      <c r="Q3" s="33">
        <v>55</v>
      </c>
      <c r="R3" s="11">
        <v>1795.61</v>
      </c>
      <c r="S3" s="11">
        <v>350</v>
      </c>
      <c r="T3" s="31">
        <f t="shared" ref="T3:T8" si="7">SUM(O3,P3,Q3,R3)-I3</f>
        <v>4.8499999999999091</v>
      </c>
      <c r="U3" s="32">
        <f t="shared" ref="U3:U6" si="8">SUM(I3+J3+W3)-(H3)</f>
        <v>0</v>
      </c>
      <c r="V3" s="33">
        <f t="shared" ref="V3:V8" si="9">SUM(G3-W3)</f>
        <v>50</v>
      </c>
      <c r="W3" s="33">
        <v>78</v>
      </c>
    </row>
    <row r="4" spans="1:23" ht="20.25" customHeight="1">
      <c r="A4" s="9">
        <v>44622</v>
      </c>
      <c r="B4" s="10" t="s">
        <v>25</v>
      </c>
      <c r="C4" s="11">
        <v>6442.83</v>
      </c>
      <c r="D4" s="11">
        <v>2492.9</v>
      </c>
      <c r="E4" s="11">
        <v>8</v>
      </c>
      <c r="F4" s="11">
        <v>50</v>
      </c>
      <c r="G4" s="11">
        <v>169</v>
      </c>
      <c r="H4" s="11">
        <f t="shared" si="5"/>
        <v>9222.73</v>
      </c>
      <c r="I4" s="11">
        <v>2024.17</v>
      </c>
      <c r="J4" s="11">
        <f t="shared" si="6"/>
        <v>7188.56</v>
      </c>
      <c r="K4" s="11">
        <f>7188.56-291.44</f>
        <v>6897.1200000000008</v>
      </c>
      <c r="L4" s="11">
        <v>0</v>
      </c>
      <c r="M4" s="11">
        <v>0</v>
      </c>
      <c r="N4" s="11">
        <v>291.44</v>
      </c>
      <c r="O4" s="11">
        <v>199.96</v>
      </c>
      <c r="P4" s="33">
        <v>60</v>
      </c>
      <c r="Q4" s="33">
        <v>95</v>
      </c>
      <c r="R4" s="11">
        <v>1665.54</v>
      </c>
      <c r="S4" s="11">
        <v>350</v>
      </c>
      <c r="T4" s="31">
        <f t="shared" si="7"/>
        <v>-3.6700000000000728</v>
      </c>
      <c r="U4" s="32">
        <f t="shared" si="8"/>
        <v>0</v>
      </c>
      <c r="V4" s="33">
        <f t="shared" si="9"/>
        <v>159</v>
      </c>
      <c r="W4" s="33">
        <v>10</v>
      </c>
    </row>
    <row r="5" spans="1:23" ht="20.25" customHeight="1">
      <c r="A5" s="9">
        <v>44623</v>
      </c>
      <c r="B5" s="10" t="s">
        <v>26</v>
      </c>
      <c r="C5" s="11">
        <v>6438.82</v>
      </c>
      <c r="D5" s="11">
        <v>2617.5</v>
      </c>
      <c r="E5" s="11">
        <v>0</v>
      </c>
      <c r="F5" s="11">
        <v>41</v>
      </c>
      <c r="G5" s="11">
        <v>40</v>
      </c>
      <c r="H5" s="11">
        <f t="shared" si="5"/>
        <v>9197.32</v>
      </c>
      <c r="I5" s="11">
        <v>2100.3000000000002</v>
      </c>
      <c r="J5" s="11">
        <f t="shared" si="6"/>
        <v>7067.02</v>
      </c>
      <c r="K5" s="11">
        <f>7067.02-255.16-74.94</f>
        <v>6736.920000000001</v>
      </c>
      <c r="L5" s="11">
        <v>0</v>
      </c>
      <c r="M5" s="11">
        <v>255.16</v>
      </c>
      <c r="N5" s="11">
        <v>74.94</v>
      </c>
      <c r="O5" s="11">
        <v>215.82</v>
      </c>
      <c r="P5" s="33">
        <v>60</v>
      </c>
      <c r="Q5" s="33">
        <v>0</v>
      </c>
      <c r="R5" s="11">
        <v>1827</v>
      </c>
      <c r="S5" s="11">
        <v>350</v>
      </c>
      <c r="T5" s="31">
        <f t="shared" si="7"/>
        <v>2.5199999999999818</v>
      </c>
      <c r="U5" s="32">
        <f t="shared" si="8"/>
        <v>0</v>
      </c>
      <c r="V5" s="33">
        <f t="shared" si="9"/>
        <v>10</v>
      </c>
      <c r="W5" s="33">
        <v>30</v>
      </c>
    </row>
    <row r="6" spans="1:23" ht="20.25" customHeight="1">
      <c r="A6" s="9">
        <v>44624</v>
      </c>
      <c r="B6" s="10" t="s">
        <v>20</v>
      </c>
      <c r="C6" s="11">
        <v>7238.98</v>
      </c>
      <c r="D6" s="11">
        <v>3830.74</v>
      </c>
      <c r="E6" s="11">
        <v>21</v>
      </c>
      <c r="F6" s="11">
        <v>54</v>
      </c>
      <c r="G6" s="11">
        <v>114.03</v>
      </c>
      <c r="H6" s="11">
        <f t="shared" si="5"/>
        <v>11358.75</v>
      </c>
      <c r="I6" s="11">
        <v>2366.06</v>
      </c>
      <c r="J6" s="11">
        <f t="shared" si="6"/>
        <v>8952.69</v>
      </c>
      <c r="K6" s="11">
        <f>8952.69-97-294.74</f>
        <v>8560.9500000000007</v>
      </c>
      <c r="L6" s="11">
        <v>0</v>
      </c>
      <c r="M6" s="11">
        <v>97</v>
      </c>
      <c r="N6" s="11">
        <v>294.74</v>
      </c>
      <c r="O6" s="11">
        <v>0</v>
      </c>
      <c r="P6" s="33">
        <v>100</v>
      </c>
      <c r="Q6" s="33">
        <v>33</v>
      </c>
      <c r="R6" s="11">
        <v>2225.1</v>
      </c>
      <c r="S6" s="11">
        <v>350</v>
      </c>
      <c r="T6" s="31">
        <f t="shared" si="7"/>
        <v>-7.9600000000000364</v>
      </c>
      <c r="U6" s="32">
        <f t="shared" si="8"/>
        <v>0</v>
      </c>
      <c r="V6" s="33">
        <f t="shared" si="9"/>
        <v>74.03</v>
      </c>
      <c r="W6" s="33">
        <v>40</v>
      </c>
    </row>
    <row r="7" spans="1:23" ht="18.75">
      <c r="A7" s="9">
        <v>44625</v>
      </c>
      <c r="B7" s="10" t="s">
        <v>21</v>
      </c>
      <c r="C7" s="11">
        <v>6858.66</v>
      </c>
      <c r="D7" s="11">
        <v>3636.86</v>
      </c>
      <c r="E7" s="11">
        <v>8</v>
      </c>
      <c r="F7" s="11">
        <v>27</v>
      </c>
      <c r="G7" s="11">
        <v>80</v>
      </c>
      <c r="H7" s="11">
        <f t="shared" si="5"/>
        <v>10651.52</v>
      </c>
      <c r="I7" s="11">
        <v>2229.9899999999998</v>
      </c>
      <c r="J7" s="11">
        <f t="shared" si="6"/>
        <v>8391.5299999999988</v>
      </c>
      <c r="K7" s="11">
        <f>8391.53-20-55.53-206.31</f>
        <v>8109.69</v>
      </c>
      <c r="L7" s="11">
        <v>20</v>
      </c>
      <c r="M7" s="11">
        <v>55.53</v>
      </c>
      <c r="N7" s="11">
        <v>206.31</v>
      </c>
      <c r="O7" s="11">
        <v>0</v>
      </c>
      <c r="P7" s="33">
        <v>41</v>
      </c>
      <c r="Q7" s="33">
        <v>20</v>
      </c>
      <c r="R7" s="11">
        <v>2175.61</v>
      </c>
      <c r="S7" s="11">
        <v>350</v>
      </c>
      <c r="T7" s="31">
        <f t="shared" si="7"/>
        <v>6.6200000000003456</v>
      </c>
      <c r="U7" s="32">
        <f t="shared" ref="U7:U8" si="10">SUM(I7+J7+W7)-(H7)</f>
        <v>0</v>
      </c>
      <c r="V7" s="33">
        <f t="shared" si="9"/>
        <v>50</v>
      </c>
      <c r="W7" s="33">
        <v>30</v>
      </c>
    </row>
    <row r="8" spans="1:23" ht="18.75">
      <c r="A8" s="9">
        <v>44626</v>
      </c>
      <c r="B8" s="10" t="s">
        <v>22</v>
      </c>
      <c r="C8" s="11">
        <v>7513.12</v>
      </c>
      <c r="D8" s="11">
        <v>2683.96</v>
      </c>
      <c r="E8" s="11">
        <v>0</v>
      </c>
      <c r="F8" s="11">
        <v>58</v>
      </c>
      <c r="G8" s="11">
        <v>120</v>
      </c>
      <c r="H8" s="11">
        <f t="shared" si="5"/>
        <v>10455.08</v>
      </c>
      <c r="I8" s="11">
        <v>2174.4</v>
      </c>
      <c r="J8" s="11">
        <f t="shared" si="6"/>
        <v>8172.68</v>
      </c>
      <c r="K8" s="11">
        <f>8172.68-107.66</f>
        <v>8065.02</v>
      </c>
      <c r="L8" s="11">
        <v>0</v>
      </c>
      <c r="M8" s="11">
        <v>0</v>
      </c>
      <c r="N8" s="11">
        <v>107.66</v>
      </c>
      <c r="O8" s="11">
        <v>0</v>
      </c>
      <c r="P8" s="33">
        <v>80</v>
      </c>
      <c r="Q8" s="33">
        <v>48</v>
      </c>
      <c r="R8" s="11">
        <v>2045.09</v>
      </c>
      <c r="S8" s="11">
        <v>350</v>
      </c>
      <c r="T8" s="31">
        <f t="shared" si="7"/>
        <v>-1.3099999999999454</v>
      </c>
      <c r="U8" s="32">
        <f t="shared" si="10"/>
        <v>2</v>
      </c>
      <c r="V8" s="33">
        <f t="shared" si="9"/>
        <v>10</v>
      </c>
      <c r="W8" s="33">
        <v>110</v>
      </c>
    </row>
    <row r="9" spans="1:23" ht="37.5" customHeight="1">
      <c r="A9" s="65" t="s">
        <v>27</v>
      </c>
      <c r="B9" s="66"/>
      <c r="C9" s="27">
        <f>SUM(C2:C8)</f>
        <v>49960.87</v>
      </c>
      <c r="D9" s="27">
        <f t="shared" ref="D9:W9" si="11">SUM(D2:D8)</f>
        <v>20119.219999999998</v>
      </c>
      <c r="E9" s="27">
        <f t="shared" si="11"/>
        <v>86.5</v>
      </c>
      <c r="F9" s="27">
        <f t="shared" si="11"/>
        <v>333</v>
      </c>
      <c r="G9" s="27">
        <f t="shared" si="11"/>
        <v>892.99</v>
      </c>
      <c r="H9" s="27">
        <f t="shared" si="11"/>
        <v>71899.58</v>
      </c>
      <c r="I9" s="27">
        <f t="shared" si="11"/>
        <v>15501.819999999998</v>
      </c>
      <c r="J9" s="27">
        <f t="shared" si="11"/>
        <v>55873.56</v>
      </c>
      <c r="K9" s="27">
        <f t="shared" si="11"/>
        <v>53674.510000000009</v>
      </c>
      <c r="L9" s="27">
        <f t="shared" si="11"/>
        <v>124.6</v>
      </c>
      <c r="M9" s="27">
        <f t="shared" si="11"/>
        <v>735.54</v>
      </c>
      <c r="N9" s="27">
        <f t="shared" si="11"/>
        <v>1338.91</v>
      </c>
      <c r="O9" s="27">
        <f t="shared" si="11"/>
        <v>810.59999999999991</v>
      </c>
      <c r="P9" s="27">
        <f t="shared" si="11"/>
        <v>507</v>
      </c>
      <c r="Q9" s="27">
        <f t="shared" si="11"/>
        <v>296</v>
      </c>
      <c r="R9" s="27">
        <f t="shared" si="11"/>
        <v>13888.9</v>
      </c>
      <c r="S9" s="27">
        <f t="shared" si="11"/>
        <v>2450</v>
      </c>
      <c r="T9" s="27">
        <f t="shared" si="11"/>
        <v>0.67999999999983629</v>
      </c>
      <c r="U9" s="27">
        <f t="shared" si="11"/>
        <v>-111.23999999999978</v>
      </c>
      <c r="V9" s="27">
        <f t="shared" si="11"/>
        <v>480.03</v>
      </c>
      <c r="W9" s="27">
        <f t="shared" si="11"/>
        <v>412.96</v>
      </c>
    </row>
    <row r="10" spans="1:23" ht="18.75">
      <c r="A10" s="9">
        <v>44627</v>
      </c>
      <c r="B10" s="10" t="s">
        <v>23</v>
      </c>
      <c r="C10" s="11">
        <v>7767.06</v>
      </c>
      <c r="D10" s="11">
        <v>2541.04</v>
      </c>
      <c r="E10" s="11">
        <v>2.5</v>
      </c>
      <c r="F10" s="11">
        <v>4</v>
      </c>
      <c r="G10" s="11">
        <v>287.19</v>
      </c>
      <c r="H10" s="11">
        <f t="shared" ref="H10:H16" si="12">SUM(C10:G10,P10)</f>
        <v>10611.79</v>
      </c>
      <c r="I10" s="11">
        <v>2314.89</v>
      </c>
      <c r="J10" s="11">
        <f>SUM(K10:N10)</f>
        <v>8043.21</v>
      </c>
      <c r="K10" s="11">
        <f>8043.21-448.86</f>
        <v>7594.35</v>
      </c>
      <c r="L10" s="11">
        <v>0</v>
      </c>
      <c r="M10" s="11">
        <v>0</v>
      </c>
      <c r="N10" s="11">
        <v>448.86</v>
      </c>
      <c r="O10" s="11">
        <v>61.9</v>
      </c>
      <c r="P10" s="33">
        <v>10</v>
      </c>
      <c r="Q10" s="33">
        <v>5</v>
      </c>
      <c r="R10" s="11">
        <v>2233.9899999999998</v>
      </c>
      <c r="S10" s="11">
        <v>350</v>
      </c>
      <c r="T10" s="31">
        <f t="shared" ref="T10:T16" si="13">SUM(O10,P10,Q10,R10)-I10</f>
        <v>-4</v>
      </c>
      <c r="U10" s="32">
        <f t="shared" ref="U10:U16" si="14">SUM(I10+J10+W10)-(H10)</f>
        <v>0</v>
      </c>
      <c r="V10" s="33">
        <f t="shared" ref="V10:V16" si="15">SUM(G10-W10)</f>
        <v>33.5</v>
      </c>
      <c r="W10" s="33">
        <v>253.69</v>
      </c>
    </row>
    <row r="11" spans="1:23" ht="18.75">
      <c r="A11" s="9">
        <v>44628</v>
      </c>
      <c r="B11" s="10" t="s">
        <v>24</v>
      </c>
      <c r="C11" s="11">
        <v>6456.12</v>
      </c>
      <c r="D11" s="11">
        <v>2891.86</v>
      </c>
      <c r="E11" s="11">
        <v>11.5</v>
      </c>
      <c r="F11" s="11">
        <v>37</v>
      </c>
      <c r="G11" s="11">
        <v>110</v>
      </c>
      <c r="H11" s="11">
        <f t="shared" si="12"/>
        <v>9617.48</v>
      </c>
      <c r="I11" s="11">
        <v>2193.2600000000002</v>
      </c>
      <c r="J11" s="11">
        <f t="shared" ref="J11:J16" si="16">SUM(K11:N11)</f>
        <v>7364.22</v>
      </c>
      <c r="K11" s="11">
        <f>7364.22-195.2-116.67</f>
        <v>7052.35</v>
      </c>
      <c r="L11" s="11">
        <v>0</v>
      </c>
      <c r="M11" s="11">
        <v>195.2</v>
      </c>
      <c r="N11" s="11">
        <v>116.67</v>
      </c>
      <c r="O11" s="11">
        <v>0</v>
      </c>
      <c r="P11" s="33">
        <v>111</v>
      </c>
      <c r="Q11" s="33">
        <v>20</v>
      </c>
      <c r="R11" s="11">
        <v>2053.48</v>
      </c>
      <c r="S11" s="11">
        <v>350</v>
      </c>
      <c r="T11" s="31">
        <f t="shared" si="13"/>
        <v>-8.7800000000002001</v>
      </c>
      <c r="U11" s="32">
        <f t="shared" si="14"/>
        <v>10</v>
      </c>
      <c r="V11" s="33">
        <f t="shared" si="15"/>
        <v>40</v>
      </c>
      <c r="W11" s="33">
        <v>70</v>
      </c>
    </row>
    <row r="12" spans="1:23" ht="18.75">
      <c r="A12" s="9">
        <v>44629</v>
      </c>
      <c r="B12" s="10" t="s">
        <v>25</v>
      </c>
      <c r="C12" s="11">
        <v>6591.77</v>
      </c>
      <c r="D12" s="11">
        <v>3049.12</v>
      </c>
      <c r="E12" s="11">
        <v>4</v>
      </c>
      <c r="F12" s="11">
        <v>55</v>
      </c>
      <c r="G12" s="11">
        <v>140.04</v>
      </c>
      <c r="H12" s="11">
        <f t="shared" si="12"/>
        <v>9879.93</v>
      </c>
      <c r="I12" s="11">
        <v>2395.37</v>
      </c>
      <c r="J12" s="11">
        <f t="shared" si="16"/>
        <v>7404.52</v>
      </c>
      <c r="K12" s="11">
        <f>7404.52-140.65-245.7</f>
        <v>7018.170000000001</v>
      </c>
      <c r="L12" s="11">
        <v>0</v>
      </c>
      <c r="M12" s="11">
        <v>140.65</v>
      </c>
      <c r="N12" s="11">
        <v>245.7</v>
      </c>
      <c r="O12" s="11">
        <v>583.15</v>
      </c>
      <c r="P12" s="33">
        <v>40</v>
      </c>
      <c r="Q12" s="33">
        <v>7</v>
      </c>
      <c r="R12" s="11">
        <v>1763.81</v>
      </c>
      <c r="S12" s="11">
        <v>350</v>
      </c>
      <c r="T12" s="31">
        <f t="shared" si="13"/>
        <v>-1.4099999999998545</v>
      </c>
      <c r="U12" s="32">
        <f t="shared" si="14"/>
        <v>0</v>
      </c>
      <c r="V12" s="33">
        <v>60</v>
      </c>
      <c r="W12" s="33">
        <v>80.040000000000006</v>
      </c>
    </row>
    <row r="13" spans="1:23" ht="18.75">
      <c r="A13" s="9">
        <v>44630</v>
      </c>
      <c r="B13" s="10" t="s">
        <v>26</v>
      </c>
      <c r="C13" s="11">
        <v>6916.39</v>
      </c>
      <c r="D13" s="11">
        <v>2865.44</v>
      </c>
      <c r="E13" s="11">
        <v>0</v>
      </c>
      <c r="F13" s="11">
        <v>37</v>
      </c>
      <c r="G13" s="11">
        <v>100</v>
      </c>
      <c r="H13" s="11">
        <f t="shared" si="12"/>
        <v>9998.83</v>
      </c>
      <c r="I13" s="11">
        <v>2124.79</v>
      </c>
      <c r="J13" s="11">
        <f t="shared" si="16"/>
        <v>7834.04</v>
      </c>
      <c r="K13" s="11">
        <f>7834.04-226.73-419.33</f>
        <v>7187.9800000000005</v>
      </c>
      <c r="L13" s="11">
        <v>0</v>
      </c>
      <c r="M13" s="11">
        <v>226.73</v>
      </c>
      <c r="N13" s="11">
        <v>419.33</v>
      </c>
      <c r="O13" s="11">
        <v>474.95</v>
      </c>
      <c r="P13" s="33">
        <v>80</v>
      </c>
      <c r="Q13" s="33">
        <v>10</v>
      </c>
      <c r="R13" s="11">
        <v>1561.59</v>
      </c>
      <c r="S13" s="11">
        <v>350</v>
      </c>
      <c r="T13" s="31">
        <f t="shared" si="13"/>
        <v>1.75</v>
      </c>
      <c r="U13" s="32">
        <f t="shared" si="14"/>
        <v>0</v>
      </c>
      <c r="V13" s="33">
        <f t="shared" si="15"/>
        <v>60</v>
      </c>
      <c r="W13" s="33">
        <v>40</v>
      </c>
    </row>
    <row r="14" spans="1:23" ht="18.75">
      <c r="A14" s="9">
        <v>44631</v>
      </c>
      <c r="B14" s="10" t="s">
        <v>20</v>
      </c>
      <c r="C14" s="11">
        <v>7724.75</v>
      </c>
      <c r="D14" s="11">
        <v>3869.57</v>
      </c>
      <c r="E14" s="11">
        <v>43.5</v>
      </c>
      <c r="F14" s="11">
        <v>76</v>
      </c>
      <c r="G14" s="11">
        <v>110</v>
      </c>
      <c r="H14" s="11">
        <f t="shared" si="12"/>
        <v>11873.82</v>
      </c>
      <c r="I14" s="11">
        <v>3005.91</v>
      </c>
      <c r="J14" s="11">
        <f t="shared" si="16"/>
        <v>8827.91</v>
      </c>
      <c r="K14" s="11">
        <f>8827.91-182.6-20-255.95</f>
        <v>8369.3599999999988</v>
      </c>
      <c r="L14" s="11">
        <v>20</v>
      </c>
      <c r="M14" s="11">
        <v>182.6</v>
      </c>
      <c r="N14" s="11">
        <v>255.95</v>
      </c>
      <c r="O14" s="11">
        <v>458.05</v>
      </c>
      <c r="P14" s="33">
        <v>50</v>
      </c>
      <c r="Q14" s="33">
        <v>59</v>
      </c>
      <c r="R14" s="11">
        <v>2436.75</v>
      </c>
      <c r="S14" s="11">
        <v>350</v>
      </c>
      <c r="T14" s="31">
        <f t="shared" si="13"/>
        <v>-2.1099999999996726</v>
      </c>
      <c r="U14" s="32">
        <f t="shared" si="14"/>
        <v>0</v>
      </c>
      <c r="V14" s="33">
        <f t="shared" si="15"/>
        <v>70</v>
      </c>
      <c r="W14" s="33">
        <v>40</v>
      </c>
    </row>
    <row r="15" spans="1:23" ht="18.75">
      <c r="A15" s="9">
        <v>44632</v>
      </c>
      <c r="B15" s="10" t="s">
        <v>21</v>
      </c>
      <c r="C15" s="11">
        <v>8726.83</v>
      </c>
      <c r="D15" s="11">
        <v>3365.37</v>
      </c>
      <c r="E15" s="11">
        <v>6</v>
      </c>
      <c r="F15" s="11">
        <v>46</v>
      </c>
      <c r="G15" s="11">
        <v>260</v>
      </c>
      <c r="H15" s="11">
        <f t="shared" si="12"/>
        <v>12679.2</v>
      </c>
      <c r="I15" s="11">
        <v>3247.67</v>
      </c>
      <c r="J15" s="11">
        <f t="shared" si="16"/>
        <v>9251.5300000000007</v>
      </c>
      <c r="K15" s="11">
        <f>9251.53-169.3-3.98-122.08</f>
        <v>8956.1700000000019</v>
      </c>
      <c r="L15" s="11">
        <v>3.98</v>
      </c>
      <c r="M15" s="11">
        <v>169.3</v>
      </c>
      <c r="N15" s="11">
        <v>122.08</v>
      </c>
      <c r="O15" s="11">
        <v>0</v>
      </c>
      <c r="P15" s="33">
        <v>275</v>
      </c>
      <c r="Q15" s="33">
        <v>13</v>
      </c>
      <c r="R15" s="11">
        <v>2960.1</v>
      </c>
      <c r="S15" s="11">
        <v>350</v>
      </c>
      <c r="T15" s="31">
        <f t="shared" si="13"/>
        <v>0.42999999999983629</v>
      </c>
      <c r="U15" s="32">
        <f t="shared" si="14"/>
        <v>0</v>
      </c>
      <c r="V15" s="33">
        <f t="shared" si="15"/>
        <v>80</v>
      </c>
      <c r="W15" s="33">
        <v>180</v>
      </c>
    </row>
    <row r="16" spans="1:23" ht="18.75">
      <c r="A16" s="9">
        <v>44633</v>
      </c>
      <c r="B16" s="10" t="s">
        <v>22</v>
      </c>
      <c r="C16" s="11">
        <v>6913.62</v>
      </c>
      <c r="D16" s="11">
        <v>2541.66</v>
      </c>
      <c r="E16" s="11">
        <v>2.5</v>
      </c>
      <c r="F16" s="11">
        <v>76</v>
      </c>
      <c r="G16" s="11">
        <v>175</v>
      </c>
      <c r="H16" s="11">
        <f t="shared" si="12"/>
        <v>9813.7799999999988</v>
      </c>
      <c r="I16" s="11">
        <v>2402.7800000000002</v>
      </c>
      <c r="J16" s="11">
        <f t="shared" si="16"/>
        <v>7256</v>
      </c>
      <c r="K16" s="11">
        <f>7256-165.06-123.05-174.35</f>
        <v>6793.5399999999991</v>
      </c>
      <c r="L16" s="11">
        <v>174.35</v>
      </c>
      <c r="M16" s="11">
        <v>165.06</v>
      </c>
      <c r="N16" s="11">
        <v>123.05</v>
      </c>
      <c r="O16" s="11">
        <v>0</v>
      </c>
      <c r="P16" s="33">
        <v>105</v>
      </c>
      <c r="Q16" s="33">
        <v>38</v>
      </c>
      <c r="R16" s="11">
        <v>2260.9299999999998</v>
      </c>
      <c r="S16" s="11">
        <v>350</v>
      </c>
      <c r="T16" s="31">
        <f t="shared" si="13"/>
        <v>1.1499999999996362</v>
      </c>
      <c r="U16" s="32">
        <f t="shared" si="14"/>
        <v>0</v>
      </c>
      <c r="V16" s="33">
        <f t="shared" si="15"/>
        <v>20</v>
      </c>
      <c r="W16" s="33">
        <v>155</v>
      </c>
    </row>
    <row r="17" spans="1:23" ht="37.5" customHeight="1">
      <c r="A17" s="65" t="s">
        <v>27</v>
      </c>
      <c r="B17" s="66"/>
      <c r="C17" s="27">
        <f>SUM(C10:C16)</f>
        <v>51096.54</v>
      </c>
      <c r="D17" s="27">
        <f t="shared" ref="D17:W17" si="17">SUM(D10:D16)</f>
        <v>21124.06</v>
      </c>
      <c r="E17" s="27">
        <f t="shared" si="17"/>
        <v>70</v>
      </c>
      <c r="F17" s="27">
        <f t="shared" si="17"/>
        <v>331</v>
      </c>
      <c r="G17" s="27">
        <f t="shared" si="17"/>
        <v>1182.23</v>
      </c>
      <c r="H17" s="27">
        <f t="shared" si="17"/>
        <v>74474.83</v>
      </c>
      <c r="I17" s="27">
        <f t="shared" si="17"/>
        <v>17684.669999999998</v>
      </c>
      <c r="J17" s="27">
        <f t="shared" si="17"/>
        <v>55981.43</v>
      </c>
      <c r="K17" s="27">
        <f t="shared" si="17"/>
        <v>52971.920000000006</v>
      </c>
      <c r="L17" s="27">
        <f t="shared" si="17"/>
        <v>198.32999999999998</v>
      </c>
      <c r="M17" s="27">
        <f t="shared" si="17"/>
        <v>1079.54</v>
      </c>
      <c r="N17" s="27">
        <f t="shared" si="17"/>
        <v>1731.6399999999999</v>
      </c>
      <c r="O17" s="27">
        <f t="shared" si="17"/>
        <v>1578.05</v>
      </c>
      <c r="P17" s="27">
        <f t="shared" si="17"/>
        <v>671</v>
      </c>
      <c r="Q17" s="27">
        <f t="shared" si="17"/>
        <v>152</v>
      </c>
      <c r="R17" s="27">
        <f t="shared" si="17"/>
        <v>15270.65</v>
      </c>
      <c r="S17" s="27">
        <f t="shared" si="17"/>
        <v>2450</v>
      </c>
      <c r="T17" s="27">
        <f t="shared" si="17"/>
        <v>-12.970000000000255</v>
      </c>
      <c r="U17" s="27">
        <f t="shared" si="17"/>
        <v>10</v>
      </c>
      <c r="V17" s="27">
        <f t="shared" si="17"/>
        <v>363.5</v>
      </c>
      <c r="W17" s="27">
        <f t="shared" si="17"/>
        <v>818.73</v>
      </c>
    </row>
    <row r="18" spans="1:23" s="35" customFormat="1" ht="18.75">
      <c r="A18" s="9">
        <v>44634</v>
      </c>
      <c r="B18" s="10" t="s">
        <v>23</v>
      </c>
      <c r="C18" s="11">
        <v>5875.14</v>
      </c>
      <c r="D18" s="11">
        <v>2631.46</v>
      </c>
      <c r="E18" s="11">
        <v>0</v>
      </c>
      <c r="F18" s="11">
        <v>40</v>
      </c>
      <c r="G18" s="11">
        <v>386.48</v>
      </c>
      <c r="H18" s="11">
        <f t="shared" ref="H18:H24" si="18">SUM(C18:G18,P18)</f>
        <v>8980.15</v>
      </c>
      <c r="I18" s="11">
        <v>2005.63</v>
      </c>
      <c r="J18" s="11">
        <f>SUM(K18:N18)</f>
        <v>6654.04</v>
      </c>
      <c r="K18" s="11">
        <f>6654.04-297.82-333.58</f>
        <v>6022.64</v>
      </c>
      <c r="L18" s="11">
        <v>0</v>
      </c>
      <c r="M18" s="11">
        <v>297.82</v>
      </c>
      <c r="N18" s="11">
        <v>333.58</v>
      </c>
      <c r="O18" s="11">
        <v>338.58</v>
      </c>
      <c r="P18" s="33">
        <v>47.07</v>
      </c>
      <c r="Q18" s="33">
        <v>27</v>
      </c>
      <c r="R18" s="11">
        <v>1592.25</v>
      </c>
      <c r="S18" s="11">
        <v>350</v>
      </c>
      <c r="T18" s="31">
        <f t="shared" ref="T18:T24" si="19">SUM(O18,P18,Q18,R18)-I18</f>
        <v>-0.73000000000001819</v>
      </c>
      <c r="U18" s="32">
        <f t="shared" ref="U18:U24" si="20">SUM(I18+J18+W18)-(H18)</f>
        <v>0</v>
      </c>
      <c r="V18" s="33">
        <f t="shared" ref="V18:V20" si="21">SUM(G18-W18)</f>
        <v>66</v>
      </c>
      <c r="W18" s="33">
        <v>320.48</v>
      </c>
    </row>
    <row r="19" spans="1:23" s="35" customFormat="1" ht="18.75">
      <c r="A19" s="9">
        <v>44635</v>
      </c>
      <c r="B19" s="10" t="s">
        <v>24</v>
      </c>
      <c r="C19" s="11">
        <v>6060.68</v>
      </c>
      <c r="D19" s="11">
        <v>2630.68</v>
      </c>
      <c r="E19" s="11">
        <v>28.5</v>
      </c>
      <c r="F19" s="11">
        <v>28</v>
      </c>
      <c r="G19" s="11">
        <v>94.36</v>
      </c>
      <c r="H19" s="11">
        <f t="shared" si="18"/>
        <v>8932.7200000000012</v>
      </c>
      <c r="I19" s="11">
        <f>2193.84</f>
        <v>2193.84</v>
      </c>
      <c r="J19" s="11">
        <f t="shared" ref="J19:J24" si="22">SUM(K19:N19)</f>
        <v>6684.52</v>
      </c>
      <c r="K19" s="11">
        <f>6684.52-148.13-64.46</f>
        <v>6471.93</v>
      </c>
      <c r="L19" s="11">
        <v>0</v>
      </c>
      <c r="M19" s="11">
        <v>148.13</v>
      </c>
      <c r="N19" s="11">
        <v>64.459999999999994</v>
      </c>
      <c r="O19" s="11">
        <v>77.98</v>
      </c>
      <c r="P19" s="33">
        <v>90.5</v>
      </c>
      <c r="Q19" s="33">
        <v>40</v>
      </c>
      <c r="R19" s="11">
        <v>1992.1</v>
      </c>
      <c r="S19" s="11">
        <v>350</v>
      </c>
      <c r="T19" s="31">
        <f t="shared" si="19"/>
        <v>6.7399999999997817</v>
      </c>
      <c r="U19" s="32">
        <f t="shared" si="20"/>
        <v>0</v>
      </c>
      <c r="V19" s="33">
        <f t="shared" si="21"/>
        <v>40</v>
      </c>
      <c r="W19" s="33">
        <v>54.36</v>
      </c>
    </row>
    <row r="20" spans="1:23" s="35" customFormat="1" ht="18.75">
      <c r="A20" s="9">
        <v>44636</v>
      </c>
      <c r="B20" s="10" t="s">
        <v>25</v>
      </c>
      <c r="C20" s="11">
        <v>6563.1</v>
      </c>
      <c r="D20" s="11">
        <v>2500.0700000000002</v>
      </c>
      <c r="E20" s="11">
        <v>13</v>
      </c>
      <c r="F20" s="11">
        <v>32</v>
      </c>
      <c r="G20" s="11">
        <v>193.12</v>
      </c>
      <c r="H20" s="11">
        <f t="shared" si="18"/>
        <v>9321.2900000000009</v>
      </c>
      <c r="I20" s="11">
        <v>1830.11</v>
      </c>
      <c r="J20" s="11">
        <f t="shared" si="22"/>
        <v>7208.47</v>
      </c>
      <c r="K20" s="11">
        <f>7208.47-143.51-71.64-599.53</f>
        <v>6393.79</v>
      </c>
      <c r="L20" s="11">
        <v>71.64</v>
      </c>
      <c r="M20" s="11">
        <v>143.51</v>
      </c>
      <c r="N20" s="11">
        <v>599.53</v>
      </c>
      <c r="O20" s="11">
        <v>256.02</v>
      </c>
      <c r="P20" s="33">
        <v>20</v>
      </c>
      <c r="Q20" s="33">
        <v>25</v>
      </c>
      <c r="R20" s="11">
        <v>1529.13</v>
      </c>
      <c r="S20" s="11">
        <v>350</v>
      </c>
      <c r="T20" s="31">
        <f t="shared" si="19"/>
        <v>4.0000000000190994E-2</v>
      </c>
      <c r="U20" s="32">
        <f t="shared" si="20"/>
        <v>-104.59000000000015</v>
      </c>
      <c r="V20" s="33">
        <f t="shared" si="21"/>
        <v>15</v>
      </c>
      <c r="W20" s="33">
        <v>178.12</v>
      </c>
    </row>
    <row r="21" spans="1:23" s="35" customFormat="1" ht="18.75">
      <c r="A21" s="9">
        <v>44637</v>
      </c>
      <c r="B21" s="10" t="s">
        <v>26</v>
      </c>
      <c r="C21" s="11">
        <v>6095.82</v>
      </c>
      <c r="D21" s="11">
        <v>2620.9699999999998</v>
      </c>
      <c r="E21" s="11">
        <v>12</v>
      </c>
      <c r="F21" s="11">
        <v>74</v>
      </c>
      <c r="G21" s="11">
        <v>65</v>
      </c>
      <c r="H21" s="11">
        <f t="shared" si="18"/>
        <v>8917.7899999999991</v>
      </c>
      <c r="I21" s="11">
        <v>2241.5100000000002</v>
      </c>
      <c r="J21" s="11">
        <f t="shared" si="22"/>
        <v>6641.28</v>
      </c>
      <c r="K21" s="11">
        <f>6641.28-20-180.66-81.94</f>
        <v>6358.68</v>
      </c>
      <c r="L21" s="11">
        <v>20</v>
      </c>
      <c r="M21" s="11">
        <v>180.66</v>
      </c>
      <c r="N21" s="11">
        <v>81.94</v>
      </c>
      <c r="O21" s="11">
        <v>41.1</v>
      </c>
      <c r="P21" s="33">
        <v>50</v>
      </c>
      <c r="Q21" s="33">
        <v>50</v>
      </c>
      <c r="R21" s="11">
        <v>2098.5300000000002</v>
      </c>
      <c r="S21" s="11">
        <v>350</v>
      </c>
      <c r="T21" s="31">
        <f t="shared" si="19"/>
        <v>-1.8800000000001091</v>
      </c>
      <c r="U21" s="32">
        <f t="shared" si="20"/>
        <v>0</v>
      </c>
      <c r="V21" s="33">
        <f t="shared" ref="V21:V24" si="23">SUM(G21-W21)</f>
        <v>30</v>
      </c>
      <c r="W21" s="33">
        <v>35</v>
      </c>
    </row>
    <row r="22" spans="1:23" s="35" customFormat="1" ht="18.75">
      <c r="A22" s="9">
        <v>44638</v>
      </c>
      <c r="B22" s="10" t="s">
        <v>20</v>
      </c>
      <c r="C22" s="11">
        <v>7896.99</v>
      </c>
      <c r="D22" s="11">
        <v>3723.25</v>
      </c>
      <c r="E22" s="11">
        <v>56</v>
      </c>
      <c r="F22" s="11">
        <v>13</v>
      </c>
      <c r="G22" s="11">
        <v>398.1</v>
      </c>
      <c r="H22" s="11">
        <f t="shared" si="18"/>
        <v>12207.34</v>
      </c>
      <c r="I22" s="43">
        <v>2662.14</v>
      </c>
      <c r="J22" s="11">
        <f t="shared" si="22"/>
        <v>9157.1</v>
      </c>
      <c r="K22" s="11">
        <f>9157.1-48.24-293.27</f>
        <v>8815.59</v>
      </c>
      <c r="L22" s="11">
        <v>0</v>
      </c>
      <c r="M22" s="11">
        <v>48.24</v>
      </c>
      <c r="N22" s="11">
        <v>293.27</v>
      </c>
      <c r="O22" s="11">
        <v>0</v>
      </c>
      <c r="P22" s="33">
        <v>120</v>
      </c>
      <c r="Q22" s="33">
        <v>6</v>
      </c>
      <c r="R22" s="11">
        <v>2528.88</v>
      </c>
      <c r="S22" s="11">
        <v>350</v>
      </c>
      <c r="T22" s="31">
        <f t="shared" si="19"/>
        <v>-7.2599999999997635</v>
      </c>
      <c r="U22" s="32">
        <f t="shared" si="20"/>
        <v>0</v>
      </c>
      <c r="V22" s="33">
        <f t="shared" si="23"/>
        <v>10</v>
      </c>
      <c r="W22" s="33">
        <v>388.1</v>
      </c>
    </row>
    <row r="23" spans="1:23" s="35" customFormat="1" ht="18.75">
      <c r="A23" s="9">
        <v>44639</v>
      </c>
      <c r="B23" s="10" t="s">
        <v>21</v>
      </c>
      <c r="C23" s="11">
        <v>6131.69</v>
      </c>
      <c r="D23" s="11">
        <v>4083.79</v>
      </c>
      <c r="E23" s="11">
        <v>22</v>
      </c>
      <c r="F23" s="11">
        <v>22</v>
      </c>
      <c r="G23" s="11">
        <v>101.5</v>
      </c>
      <c r="H23" s="11">
        <f t="shared" si="18"/>
        <v>10495.98</v>
      </c>
      <c r="I23" s="11">
        <v>2751.41</v>
      </c>
      <c r="J23" s="11">
        <f t="shared" si="22"/>
        <v>7693.07</v>
      </c>
      <c r="K23" s="11">
        <f>7693.07-210.2-10-54.75</f>
        <v>7418.12</v>
      </c>
      <c r="L23" s="11">
        <v>10</v>
      </c>
      <c r="M23" s="11">
        <v>210.2</v>
      </c>
      <c r="N23" s="11">
        <v>54.75</v>
      </c>
      <c r="O23" s="11">
        <v>0</v>
      </c>
      <c r="P23" s="33">
        <v>135</v>
      </c>
      <c r="Q23" s="33">
        <v>16</v>
      </c>
      <c r="R23" s="11">
        <v>2598.6799999999998</v>
      </c>
      <c r="S23" s="11">
        <v>350</v>
      </c>
      <c r="T23" s="31">
        <f t="shared" si="19"/>
        <v>-1.7300000000000182</v>
      </c>
      <c r="U23" s="32">
        <f t="shared" si="20"/>
        <v>0</v>
      </c>
      <c r="V23" s="33">
        <f t="shared" si="23"/>
        <v>50</v>
      </c>
      <c r="W23" s="33">
        <v>51.5</v>
      </c>
    </row>
    <row r="24" spans="1:23" s="35" customFormat="1" ht="18.75">
      <c r="A24" s="9">
        <v>44640</v>
      </c>
      <c r="B24" s="10" t="s">
        <v>22</v>
      </c>
      <c r="C24" s="11">
        <v>5830.29</v>
      </c>
      <c r="D24" s="11">
        <v>2684.44</v>
      </c>
      <c r="E24" s="11">
        <v>0</v>
      </c>
      <c r="F24" s="11">
        <v>34</v>
      </c>
      <c r="G24" s="11">
        <v>25</v>
      </c>
      <c r="H24" s="11">
        <f t="shared" si="18"/>
        <v>8759.73</v>
      </c>
      <c r="I24" s="11">
        <v>2112.36</v>
      </c>
      <c r="J24" s="11">
        <f t="shared" si="22"/>
        <v>6647.37</v>
      </c>
      <c r="K24" s="11">
        <f>6647.37-134.54-207.71</f>
        <v>6305.12</v>
      </c>
      <c r="L24" s="11">
        <v>0</v>
      </c>
      <c r="M24" s="11">
        <v>134.54</v>
      </c>
      <c r="N24" s="11">
        <v>207.71</v>
      </c>
      <c r="O24" s="11">
        <v>0</v>
      </c>
      <c r="P24" s="33">
        <v>186</v>
      </c>
      <c r="Q24" s="33">
        <v>39</v>
      </c>
      <c r="R24" s="11">
        <v>1887.7</v>
      </c>
      <c r="S24" s="11">
        <v>350</v>
      </c>
      <c r="T24" s="31">
        <f t="shared" si="19"/>
        <v>0.33999999999969077</v>
      </c>
      <c r="U24" s="32">
        <f t="shared" si="20"/>
        <v>0</v>
      </c>
      <c r="V24" s="33">
        <f t="shared" si="23"/>
        <v>25</v>
      </c>
      <c r="W24" s="33">
        <v>0</v>
      </c>
    </row>
    <row r="25" spans="1:23" ht="37.5" customHeight="1">
      <c r="A25" s="65" t="s">
        <v>27</v>
      </c>
      <c r="B25" s="66"/>
      <c r="C25" s="27">
        <f>SUM(C18:C24)</f>
        <v>44453.71</v>
      </c>
      <c r="D25" s="27">
        <f t="shared" ref="D25:W25" si="24">SUM(D18:D24)</f>
        <v>20874.659999999996</v>
      </c>
      <c r="E25" s="27">
        <f t="shared" si="24"/>
        <v>131.5</v>
      </c>
      <c r="F25" s="27">
        <f t="shared" si="24"/>
        <v>243</v>
      </c>
      <c r="G25" s="27">
        <f t="shared" si="24"/>
        <v>1263.56</v>
      </c>
      <c r="H25" s="27">
        <f t="shared" si="24"/>
        <v>67615</v>
      </c>
      <c r="I25" s="27">
        <f t="shared" si="24"/>
        <v>15797</v>
      </c>
      <c r="J25" s="27">
        <f t="shared" si="24"/>
        <v>50685.850000000006</v>
      </c>
      <c r="K25" s="27">
        <f t="shared" si="24"/>
        <v>47785.87000000001</v>
      </c>
      <c r="L25" s="27">
        <f t="shared" si="24"/>
        <v>101.64</v>
      </c>
      <c r="M25" s="27">
        <f t="shared" si="24"/>
        <v>1163.0999999999999</v>
      </c>
      <c r="N25" s="27">
        <f t="shared" si="24"/>
        <v>1635.24</v>
      </c>
      <c r="O25" s="27">
        <f t="shared" si="24"/>
        <v>713.68</v>
      </c>
      <c r="P25" s="27">
        <f t="shared" si="24"/>
        <v>648.56999999999994</v>
      </c>
      <c r="Q25" s="27">
        <f t="shared" si="24"/>
        <v>203</v>
      </c>
      <c r="R25" s="27">
        <f t="shared" si="24"/>
        <v>14227.27</v>
      </c>
      <c r="S25" s="27">
        <f t="shared" si="24"/>
        <v>2450</v>
      </c>
      <c r="T25" s="27">
        <f t="shared" si="24"/>
        <v>-4.4800000000002456</v>
      </c>
      <c r="U25" s="27">
        <f t="shared" si="24"/>
        <v>-104.59000000000015</v>
      </c>
      <c r="V25" s="27">
        <f t="shared" si="24"/>
        <v>236</v>
      </c>
      <c r="W25" s="27">
        <f t="shared" si="24"/>
        <v>1027.56</v>
      </c>
    </row>
    <row r="26" spans="1:23" s="35" customFormat="1" ht="18.75">
      <c r="A26" s="9">
        <v>44641</v>
      </c>
      <c r="B26" s="10" t="s">
        <v>23</v>
      </c>
      <c r="C26" s="11">
        <v>5294.75</v>
      </c>
      <c r="D26" s="11">
        <v>1525.74</v>
      </c>
      <c r="E26" s="11">
        <v>12.5</v>
      </c>
      <c r="F26" s="11">
        <v>41</v>
      </c>
      <c r="G26" s="11">
        <v>46</v>
      </c>
      <c r="H26" s="11">
        <f t="shared" ref="H26:H32" si="25">SUM(C26:G26,P26)</f>
        <v>6984.99</v>
      </c>
      <c r="I26" s="11">
        <v>3255.89</v>
      </c>
      <c r="J26" s="11">
        <f>SUM(K26:N26)</f>
        <v>3693.0999999999995</v>
      </c>
      <c r="K26" s="11">
        <f>3693.1-406.74-132.87</f>
        <v>3153.49</v>
      </c>
      <c r="L26" s="11">
        <v>0</v>
      </c>
      <c r="M26" s="11">
        <v>406.74</v>
      </c>
      <c r="N26" s="11">
        <v>132.87</v>
      </c>
      <c r="O26" s="11">
        <v>69.650000000000006</v>
      </c>
      <c r="P26" s="33">
        <v>65</v>
      </c>
      <c r="Q26" s="33">
        <v>12</v>
      </c>
      <c r="R26" s="11">
        <v>3009.21</v>
      </c>
      <c r="S26" s="11">
        <v>350</v>
      </c>
      <c r="T26" s="31">
        <f t="shared" ref="T26:T32" si="26">SUM(O26,P26,Q26,R26)-I26</f>
        <v>-100.02999999999975</v>
      </c>
      <c r="U26" s="32">
        <f>SUM(I26+J26+W26)-(H26)</f>
        <v>0</v>
      </c>
      <c r="V26" s="33">
        <f t="shared" ref="V26:V32" si="27">SUM(G26-W26)</f>
        <v>10</v>
      </c>
      <c r="W26" s="33">
        <v>36</v>
      </c>
    </row>
    <row r="27" spans="1:23" s="35" customFormat="1" ht="18.75">
      <c r="A27" s="9">
        <v>44642</v>
      </c>
      <c r="B27" s="10" t="s">
        <v>24</v>
      </c>
      <c r="C27" s="11">
        <v>5680.65</v>
      </c>
      <c r="D27" s="11">
        <v>2845.55</v>
      </c>
      <c r="E27" s="11">
        <v>10.5</v>
      </c>
      <c r="F27" s="11">
        <v>14</v>
      </c>
      <c r="G27" s="11">
        <v>140</v>
      </c>
      <c r="H27" s="11">
        <f t="shared" si="25"/>
        <v>8755.7000000000007</v>
      </c>
      <c r="I27" s="11">
        <v>1724.97</v>
      </c>
      <c r="J27" s="11">
        <f t="shared" ref="J27:J32" si="28">SUM(K27:N27)</f>
        <v>6970.73</v>
      </c>
      <c r="K27" s="11">
        <f>6970.73-310.99-277.24</f>
        <v>6382.5</v>
      </c>
      <c r="L27" s="11">
        <v>0</v>
      </c>
      <c r="M27" s="11">
        <v>310.99</v>
      </c>
      <c r="N27" s="11">
        <v>277.24</v>
      </c>
      <c r="O27" s="11">
        <v>1181.75</v>
      </c>
      <c r="P27" s="33">
        <v>65</v>
      </c>
      <c r="Q27" s="33">
        <v>5</v>
      </c>
      <c r="R27" s="11">
        <v>472</v>
      </c>
      <c r="S27" s="11">
        <v>350</v>
      </c>
      <c r="T27" s="31">
        <f t="shared" si="26"/>
        <v>-1.2200000000000273</v>
      </c>
      <c r="U27" s="32">
        <f>SUM(I27+J27+W27)-(H27)</f>
        <v>0</v>
      </c>
      <c r="V27" s="33">
        <f t="shared" si="27"/>
        <v>80</v>
      </c>
      <c r="W27" s="33">
        <v>60</v>
      </c>
    </row>
    <row r="28" spans="1:23" s="35" customFormat="1" ht="18.75">
      <c r="A28" s="9">
        <v>44643</v>
      </c>
      <c r="B28" s="10" t="s">
        <v>25</v>
      </c>
      <c r="C28" s="11">
        <v>6196.81</v>
      </c>
      <c r="D28" s="11">
        <v>2677</v>
      </c>
      <c r="E28" s="11">
        <v>2</v>
      </c>
      <c r="F28" s="11">
        <v>22</v>
      </c>
      <c r="G28" s="11">
        <v>47.67</v>
      </c>
      <c r="H28" s="11">
        <f t="shared" si="25"/>
        <v>9060.4800000000014</v>
      </c>
      <c r="I28" s="11">
        <v>2178.17</v>
      </c>
      <c r="J28" s="11">
        <f t="shared" si="28"/>
        <v>6839.64</v>
      </c>
      <c r="K28" s="11">
        <f>6839.64-125.43</f>
        <v>6714.21</v>
      </c>
      <c r="L28" s="11">
        <v>0</v>
      </c>
      <c r="M28" s="11">
        <v>0</v>
      </c>
      <c r="N28" s="11">
        <v>125.43</v>
      </c>
      <c r="O28" s="11">
        <v>255.81</v>
      </c>
      <c r="P28" s="33">
        <v>115</v>
      </c>
      <c r="Q28" s="33">
        <v>33.4</v>
      </c>
      <c r="R28" s="11">
        <v>1873.82</v>
      </c>
      <c r="S28" s="11">
        <v>350</v>
      </c>
      <c r="T28" s="31">
        <f t="shared" si="26"/>
        <v>99.859999999999673</v>
      </c>
      <c r="U28" s="32">
        <f t="shared" ref="U28:U32" si="29">SUM(I28+J28+W28)-(H28)</f>
        <v>0</v>
      </c>
      <c r="V28" s="33">
        <f t="shared" si="27"/>
        <v>5</v>
      </c>
      <c r="W28" s="33">
        <v>42.67</v>
      </c>
    </row>
    <row r="29" spans="1:23" s="35" customFormat="1" ht="18.75">
      <c r="A29" s="9">
        <v>44644</v>
      </c>
      <c r="B29" s="10" t="s">
        <v>26</v>
      </c>
      <c r="C29" s="11">
        <v>7165.72</v>
      </c>
      <c r="D29" s="11">
        <v>2669.61</v>
      </c>
      <c r="E29" s="11">
        <v>8</v>
      </c>
      <c r="F29" s="11">
        <v>37</v>
      </c>
      <c r="G29" s="11">
        <v>80.180000000000007</v>
      </c>
      <c r="H29" s="11">
        <f t="shared" si="25"/>
        <v>10010.51</v>
      </c>
      <c r="I29" s="11">
        <v>2357.04</v>
      </c>
      <c r="J29" s="11">
        <f t="shared" si="28"/>
        <v>7625.47</v>
      </c>
      <c r="K29" s="11">
        <f>7625.47-106.21</f>
        <v>7519.26</v>
      </c>
      <c r="L29" s="11">
        <v>0</v>
      </c>
      <c r="M29" s="11">
        <v>0</v>
      </c>
      <c r="N29" s="11">
        <v>106.21</v>
      </c>
      <c r="O29" s="11">
        <v>491.29</v>
      </c>
      <c r="P29" s="33">
        <v>50</v>
      </c>
      <c r="Q29" s="33">
        <v>2</v>
      </c>
      <c r="R29" s="11">
        <v>1810.09</v>
      </c>
      <c r="S29" s="11">
        <v>350</v>
      </c>
      <c r="T29" s="31">
        <f t="shared" si="26"/>
        <v>-3.6599999999998545</v>
      </c>
      <c r="U29" s="32">
        <f t="shared" si="29"/>
        <v>0</v>
      </c>
      <c r="V29" s="33">
        <v>52.18</v>
      </c>
      <c r="W29" s="33">
        <v>28</v>
      </c>
    </row>
    <row r="30" spans="1:23" s="35" customFormat="1" ht="18.75">
      <c r="A30" s="9">
        <v>44645</v>
      </c>
      <c r="B30" s="10" t="s">
        <v>20</v>
      </c>
      <c r="C30" s="11">
        <v>9968.15</v>
      </c>
      <c r="D30" s="11">
        <v>4556.83</v>
      </c>
      <c r="E30" s="11">
        <v>56</v>
      </c>
      <c r="F30" s="11">
        <v>36</v>
      </c>
      <c r="G30" s="11">
        <v>382.86</v>
      </c>
      <c r="H30" s="11">
        <f t="shared" si="25"/>
        <v>15111.48</v>
      </c>
      <c r="I30" s="11">
        <v>4022.25</v>
      </c>
      <c r="J30" s="11">
        <f t="shared" si="28"/>
        <v>11142.23</v>
      </c>
      <c r="K30" s="11">
        <f>11142.23-174.7-305.39</f>
        <v>10662.14</v>
      </c>
      <c r="L30" s="11">
        <v>0</v>
      </c>
      <c r="M30" s="11">
        <v>174.7</v>
      </c>
      <c r="N30" s="11">
        <v>305.39</v>
      </c>
      <c r="O30" s="11">
        <v>0</v>
      </c>
      <c r="P30" s="33">
        <v>111.64</v>
      </c>
      <c r="Q30" s="33">
        <v>10</v>
      </c>
      <c r="R30" s="11">
        <v>3837.02</v>
      </c>
      <c r="S30" s="11">
        <v>350</v>
      </c>
      <c r="T30" s="31">
        <f t="shared" si="26"/>
        <v>-63.590000000000146</v>
      </c>
      <c r="U30" s="32">
        <f t="shared" si="29"/>
        <v>70</v>
      </c>
      <c r="V30" s="33">
        <f t="shared" si="27"/>
        <v>365.86</v>
      </c>
      <c r="W30" s="33">
        <v>17</v>
      </c>
    </row>
    <row r="31" spans="1:23" s="35" customFormat="1" ht="18.75">
      <c r="A31" s="9">
        <v>44646</v>
      </c>
      <c r="B31" s="10" t="s">
        <v>21</v>
      </c>
      <c r="C31" s="11">
        <v>7398.26</v>
      </c>
      <c r="D31" s="11">
        <v>4491.87</v>
      </c>
      <c r="E31" s="11">
        <v>28</v>
      </c>
      <c r="F31" s="11">
        <v>37</v>
      </c>
      <c r="G31" s="11">
        <v>250</v>
      </c>
      <c r="H31" s="11">
        <f t="shared" si="25"/>
        <v>12305.130000000001</v>
      </c>
      <c r="I31" s="11">
        <v>2912.51</v>
      </c>
      <c r="J31" s="11">
        <f t="shared" si="28"/>
        <v>9262.6200000000008</v>
      </c>
      <c r="K31" s="11">
        <f>9262.62-65.94</f>
        <v>9196.68</v>
      </c>
      <c r="L31" s="11">
        <v>0</v>
      </c>
      <c r="M31" s="11">
        <v>0</v>
      </c>
      <c r="N31" s="11">
        <v>65.94</v>
      </c>
      <c r="O31" s="11">
        <v>0</v>
      </c>
      <c r="P31" s="33">
        <v>100</v>
      </c>
      <c r="Q31" s="33">
        <v>39</v>
      </c>
      <c r="R31" s="11">
        <v>2773.79</v>
      </c>
      <c r="S31" s="11">
        <v>350</v>
      </c>
      <c r="T31" s="31">
        <f t="shared" si="26"/>
        <v>0.27999999999974534</v>
      </c>
      <c r="U31" s="32">
        <f t="shared" si="29"/>
        <v>0</v>
      </c>
      <c r="V31" s="33">
        <f t="shared" si="27"/>
        <v>120</v>
      </c>
      <c r="W31" s="33">
        <v>130</v>
      </c>
    </row>
    <row r="32" spans="1:23" s="35" customFormat="1" ht="18.75">
      <c r="A32" s="9">
        <v>44647</v>
      </c>
      <c r="B32" s="10" t="s">
        <v>22</v>
      </c>
      <c r="C32" s="11">
        <v>6288.81</v>
      </c>
      <c r="D32" s="11">
        <v>3088.19</v>
      </c>
      <c r="E32" s="11">
        <v>0</v>
      </c>
      <c r="F32" s="11">
        <v>53</v>
      </c>
      <c r="G32" s="11">
        <v>61</v>
      </c>
      <c r="H32" s="11">
        <f t="shared" si="25"/>
        <v>9601</v>
      </c>
      <c r="I32" s="11">
        <v>2522.16</v>
      </c>
      <c r="J32" s="11">
        <f t="shared" si="28"/>
        <v>7027.84</v>
      </c>
      <c r="K32" s="11">
        <f>7027.84-189.45-200.6</f>
        <v>6637.79</v>
      </c>
      <c r="L32" s="11">
        <v>0</v>
      </c>
      <c r="M32" s="11">
        <v>189.45</v>
      </c>
      <c r="N32" s="11">
        <v>200.6</v>
      </c>
      <c r="O32" s="11">
        <v>0</v>
      </c>
      <c r="P32" s="33">
        <v>110</v>
      </c>
      <c r="Q32" s="33">
        <v>10</v>
      </c>
      <c r="R32" s="11">
        <v>2391.65</v>
      </c>
      <c r="S32" s="11">
        <v>350</v>
      </c>
      <c r="T32" s="31">
        <f t="shared" si="26"/>
        <v>-10.509999999999764</v>
      </c>
      <c r="U32" s="32">
        <f t="shared" si="29"/>
        <v>10</v>
      </c>
      <c r="V32" s="33">
        <f t="shared" si="27"/>
        <v>0</v>
      </c>
      <c r="W32" s="33">
        <v>61</v>
      </c>
    </row>
    <row r="33" spans="1:24" ht="37.5" customHeight="1">
      <c r="A33" s="65" t="s">
        <v>27</v>
      </c>
      <c r="B33" s="66"/>
      <c r="C33" s="27">
        <f>SUM(C26:C32)</f>
        <v>47993.15</v>
      </c>
      <c r="D33" s="27">
        <f t="shared" ref="D33:W33" si="30">SUM(D26:D32)</f>
        <v>21854.789999999997</v>
      </c>
      <c r="E33" s="27">
        <f t="shared" si="30"/>
        <v>117</v>
      </c>
      <c r="F33" s="27">
        <f t="shared" si="30"/>
        <v>240</v>
      </c>
      <c r="G33" s="27">
        <f t="shared" si="30"/>
        <v>1007.71</v>
      </c>
      <c r="H33" s="27">
        <f t="shared" si="30"/>
        <v>71829.290000000008</v>
      </c>
      <c r="I33" s="27">
        <f t="shared" si="30"/>
        <v>18972.990000000002</v>
      </c>
      <c r="J33" s="27">
        <f t="shared" si="30"/>
        <v>52561.630000000005</v>
      </c>
      <c r="K33" s="27">
        <f t="shared" si="30"/>
        <v>50266.07</v>
      </c>
      <c r="L33" s="27">
        <f t="shared" si="30"/>
        <v>0</v>
      </c>
      <c r="M33" s="27">
        <f t="shared" si="30"/>
        <v>1081.8800000000001</v>
      </c>
      <c r="N33" s="27">
        <f t="shared" si="30"/>
        <v>1213.6799999999998</v>
      </c>
      <c r="O33" s="27">
        <f t="shared" si="30"/>
        <v>1998.5</v>
      </c>
      <c r="P33" s="27">
        <f t="shared" si="30"/>
        <v>616.64</v>
      </c>
      <c r="Q33" s="27">
        <f t="shared" si="30"/>
        <v>111.4</v>
      </c>
      <c r="R33" s="27">
        <f t="shared" si="30"/>
        <v>16167.58</v>
      </c>
      <c r="S33" s="27">
        <f t="shared" si="30"/>
        <v>2450</v>
      </c>
      <c r="T33" s="27">
        <f t="shared" si="30"/>
        <v>-78.870000000000118</v>
      </c>
      <c r="U33" s="27">
        <f t="shared" si="30"/>
        <v>80</v>
      </c>
      <c r="V33" s="27">
        <f t="shared" si="30"/>
        <v>633.04</v>
      </c>
      <c r="W33" s="27">
        <f t="shared" si="30"/>
        <v>374.67</v>
      </c>
    </row>
    <row r="34" spans="1:24" ht="20.25" customHeight="1">
      <c r="A34" s="9">
        <v>44648</v>
      </c>
      <c r="B34" s="10" t="s">
        <v>23</v>
      </c>
      <c r="C34" s="11">
        <f>6804.4+65.94</f>
        <v>6870.3399999999992</v>
      </c>
      <c r="D34" s="11">
        <v>3101.77</v>
      </c>
      <c r="E34" s="11">
        <v>32</v>
      </c>
      <c r="F34" s="11">
        <v>35</v>
      </c>
      <c r="G34" s="11">
        <v>303</v>
      </c>
      <c r="H34" s="11">
        <f t="shared" ref="H34:H37" si="31">SUM(C34:G34,P34)</f>
        <v>10447.109999999999</v>
      </c>
      <c r="I34" s="11">
        <f>2269.82</f>
        <v>2269.8200000000002</v>
      </c>
      <c r="J34" s="11">
        <f>SUM(K34:N34)</f>
        <v>7823.35</v>
      </c>
      <c r="K34" s="11">
        <f>7823.35-117.62-273.57</f>
        <v>7432.1600000000008</v>
      </c>
      <c r="L34" s="11">
        <v>0</v>
      </c>
      <c r="M34" s="11">
        <v>117.62</v>
      </c>
      <c r="N34" s="11">
        <v>273.57</v>
      </c>
      <c r="O34" s="11">
        <v>409.35</v>
      </c>
      <c r="P34" s="33">
        <v>105</v>
      </c>
      <c r="Q34" s="33">
        <v>37</v>
      </c>
      <c r="R34" s="11">
        <v>1721.79</v>
      </c>
      <c r="S34" s="11">
        <v>350</v>
      </c>
      <c r="T34" s="31">
        <f t="shared" ref="T34:T37" si="32">SUM(O34,P34,Q34,R34)-I34</f>
        <v>3.319999999999709</v>
      </c>
      <c r="U34" s="32">
        <f>SUM(I34+J34+W34)-(H34)</f>
        <v>-65.93999999999869</v>
      </c>
      <c r="V34" s="33">
        <v>15</v>
      </c>
      <c r="W34" s="33">
        <v>288</v>
      </c>
      <c r="X34" t="s">
        <v>64</v>
      </c>
    </row>
    <row r="35" spans="1:24" ht="20.25" customHeight="1">
      <c r="A35" s="9">
        <v>44649</v>
      </c>
      <c r="B35" s="10" t="s">
        <v>24</v>
      </c>
      <c r="C35" s="11">
        <v>6040.92</v>
      </c>
      <c r="D35" s="11">
        <v>2504.64</v>
      </c>
      <c r="E35" s="11">
        <v>10</v>
      </c>
      <c r="F35" s="11">
        <v>36</v>
      </c>
      <c r="G35" s="11">
        <v>60</v>
      </c>
      <c r="H35" s="11">
        <f t="shared" si="31"/>
        <v>8736.56</v>
      </c>
      <c r="I35" s="11">
        <v>1979.92</v>
      </c>
      <c r="J35" s="11">
        <f t="shared" ref="J35:J37" si="33">SUM(K35:N35)</f>
        <v>6736.64</v>
      </c>
      <c r="K35" s="11">
        <f>6736.64-214.84-339.49</f>
        <v>6182.31</v>
      </c>
      <c r="L35" s="11">
        <v>0</v>
      </c>
      <c r="M35" s="11">
        <v>214.84</v>
      </c>
      <c r="N35" s="11">
        <v>339.49</v>
      </c>
      <c r="O35" s="11">
        <v>183.65</v>
      </c>
      <c r="P35" s="33">
        <v>85</v>
      </c>
      <c r="Q35" s="33">
        <v>2</v>
      </c>
      <c r="R35" s="11">
        <v>1708.83</v>
      </c>
      <c r="S35" s="11">
        <v>350</v>
      </c>
      <c r="T35" s="31">
        <f t="shared" si="32"/>
        <v>-0.44000000000005457</v>
      </c>
      <c r="U35" s="32">
        <f>SUM(I35+J35+W35)-(H35)</f>
        <v>0</v>
      </c>
      <c r="V35" s="33">
        <f t="shared" ref="V35:V36" si="34">SUM(G35-W35)</f>
        <v>40</v>
      </c>
      <c r="W35" s="33">
        <v>20</v>
      </c>
    </row>
    <row r="36" spans="1:24" ht="20.25" customHeight="1">
      <c r="A36" s="9">
        <v>44650</v>
      </c>
      <c r="B36" s="10" t="s">
        <v>25</v>
      </c>
      <c r="C36" s="11">
        <v>4795.1899999999996</v>
      </c>
      <c r="D36" s="11">
        <v>2073.52</v>
      </c>
      <c r="E36" s="11">
        <v>6</v>
      </c>
      <c r="F36" s="11">
        <v>22</v>
      </c>
      <c r="G36" s="11">
        <v>83</v>
      </c>
      <c r="H36" s="11">
        <f t="shared" si="31"/>
        <v>7109.7099999999991</v>
      </c>
      <c r="I36" s="11">
        <v>1501.07</v>
      </c>
      <c r="J36" s="11">
        <f t="shared" si="33"/>
        <v>5361.88</v>
      </c>
      <c r="K36" s="11">
        <f>5361.88-172.61-109.25</f>
        <v>5080.0200000000004</v>
      </c>
      <c r="L36" s="11">
        <v>0</v>
      </c>
      <c r="M36" s="11">
        <v>172.61</v>
      </c>
      <c r="N36" s="11">
        <v>109.25</v>
      </c>
      <c r="O36" s="11">
        <v>144.54</v>
      </c>
      <c r="P36" s="33">
        <v>130</v>
      </c>
      <c r="Q36" s="33">
        <v>5</v>
      </c>
      <c r="R36" s="11">
        <v>1235.2</v>
      </c>
      <c r="S36" s="11">
        <v>350</v>
      </c>
      <c r="T36" s="31">
        <f t="shared" si="32"/>
        <v>13.670000000000073</v>
      </c>
      <c r="U36" s="32">
        <f t="shared" ref="U36:U37" si="35">SUM(I36+J36+W36)-(H36)</f>
        <v>-163.75999999999931</v>
      </c>
      <c r="V36" s="33">
        <f t="shared" si="34"/>
        <v>0</v>
      </c>
      <c r="W36" s="33">
        <v>83</v>
      </c>
      <c r="X36" t="s">
        <v>65</v>
      </c>
    </row>
    <row r="37" spans="1:24" s="35" customFormat="1" ht="20.25" customHeight="1">
      <c r="A37" s="9">
        <v>44651</v>
      </c>
      <c r="B37" s="10" t="s">
        <v>26</v>
      </c>
      <c r="C37" s="11">
        <v>5215.3500000000004</v>
      </c>
      <c r="D37" s="11">
        <v>2735.61</v>
      </c>
      <c r="E37" s="11">
        <v>0</v>
      </c>
      <c r="F37" s="11">
        <v>51</v>
      </c>
      <c r="G37" s="11">
        <v>130</v>
      </c>
      <c r="H37" s="11">
        <f t="shared" si="31"/>
        <v>8236.9600000000009</v>
      </c>
      <c r="I37" s="11">
        <v>1703.77</v>
      </c>
      <c r="J37" s="11">
        <f t="shared" si="33"/>
        <v>6443.19</v>
      </c>
      <c r="K37" s="11">
        <f>6443.19-222.05-140.43</f>
        <v>6080.7099999999991</v>
      </c>
      <c r="L37" s="11">
        <v>0</v>
      </c>
      <c r="M37" s="11">
        <v>222.05</v>
      </c>
      <c r="N37" s="11">
        <v>140.43</v>
      </c>
      <c r="O37" s="11">
        <v>52.4</v>
      </c>
      <c r="P37" s="33">
        <v>105</v>
      </c>
      <c r="Q37" s="33">
        <v>25</v>
      </c>
      <c r="R37" s="11">
        <v>1543.05</v>
      </c>
      <c r="S37" s="11">
        <v>350</v>
      </c>
      <c r="T37" s="31">
        <f t="shared" si="32"/>
        <v>21.680000000000064</v>
      </c>
      <c r="U37" s="32">
        <f t="shared" si="35"/>
        <v>0</v>
      </c>
      <c r="V37" s="33">
        <v>40</v>
      </c>
      <c r="W37" s="33">
        <v>90</v>
      </c>
    </row>
    <row r="38" spans="1:24" ht="51.75" customHeight="1">
      <c r="A38" s="67" t="s">
        <v>17</v>
      </c>
      <c r="B38" s="68"/>
      <c r="C38" s="30">
        <f>SUM(C9,C17,C25,C33,C34:C37)</f>
        <v>216426.07</v>
      </c>
      <c r="D38" s="30">
        <f t="shared" ref="D38:W38" si="36">SUM(D9,D17,D25,D33,D34:D37)</f>
        <v>94388.27</v>
      </c>
      <c r="E38" s="30">
        <f t="shared" si="36"/>
        <v>453</v>
      </c>
      <c r="F38" s="30">
        <f t="shared" si="36"/>
        <v>1291</v>
      </c>
      <c r="G38" s="30">
        <f t="shared" si="36"/>
        <v>4922.49</v>
      </c>
      <c r="H38" s="30">
        <f t="shared" si="36"/>
        <v>320349.04000000004</v>
      </c>
      <c r="I38" s="30">
        <f t="shared" si="36"/>
        <v>75411.060000000012</v>
      </c>
      <c r="J38" s="30">
        <f t="shared" si="36"/>
        <v>241467.53000000003</v>
      </c>
      <c r="K38" s="30">
        <f t="shared" si="36"/>
        <v>229473.57000000004</v>
      </c>
      <c r="L38" s="30">
        <f t="shared" si="36"/>
        <v>424.56999999999994</v>
      </c>
      <c r="M38" s="30">
        <f t="shared" si="36"/>
        <v>4787.18</v>
      </c>
      <c r="N38" s="30">
        <f t="shared" si="36"/>
        <v>6782.2099999999991</v>
      </c>
      <c r="O38" s="30">
        <f t="shared" si="36"/>
        <v>5890.7699999999995</v>
      </c>
      <c r="P38" s="30">
        <f t="shared" si="36"/>
        <v>2868.21</v>
      </c>
      <c r="Q38" s="30">
        <f t="shared" si="36"/>
        <v>831.4</v>
      </c>
      <c r="R38" s="30">
        <f t="shared" si="36"/>
        <v>65763.27</v>
      </c>
      <c r="S38" s="30">
        <f t="shared" si="36"/>
        <v>11200</v>
      </c>
      <c r="T38" s="30">
        <f t="shared" si="36"/>
        <v>-57.410000000000991</v>
      </c>
      <c r="U38" s="30">
        <f t="shared" si="36"/>
        <v>-355.52999999999793</v>
      </c>
      <c r="V38" s="30">
        <f t="shared" si="36"/>
        <v>1807.57</v>
      </c>
      <c r="W38" s="30">
        <f t="shared" si="36"/>
        <v>3114.92</v>
      </c>
    </row>
    <row r="40" spans="1:24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</row>
    <row r="41" spans="1:24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</row>
    <row r="42" spans="1:24"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</row>
    <row r="43" spans="1:24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4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</row>
    <row r="46" spans="1:24" hidden="1"/>
    <row r="47" spans="1:24" ht="18.75" hidden="1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3"/>
      <c r="Q47" s="33"/>
      <c r="R47" s="11"/>
      <c r="S47" s="11"/>
      <c r="T47" s="31"/>
      <c r="U47" s="32"/>
      <c r="V47" s="33"/>
      <c r="W47" s="33"/>
    </row>
    <row r="48" spans="1:24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3"/>
      <c r="Q48" s="33"/>
      <c r="R48" s="11"/>
      <c r="S48" s="11"/>
      <c r="T48" s="31"/>
      <c r="U48" s="32"/>
      <c r="V48" s="33"/>
      <c r="W48" s="33"/>
    </row>
    <row r="49" spans="1:23" s="28" customFormat="1" ht="18.75" hidden="1">
      <c r="A49"/>
      <c r="B4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3"/>
      <c r="Q49" s="33"/>
      <c r="R49" s="11"/>
      <c r="S49" s="11"/>
      <c r="T49" s="31"/>
      <c r="U49" s="32"/>
      <c r="V49" s="33"/>
      <c r="W49" s="33"/>
    </row>
    <row r="50" spans="1:23" s="28" customFormat="1" hidden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</row>
    <row r="51" spans="1:23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</sheetData>
  <mergeCells count="5">
    <mergeCell ref="A9:B9"/>
    <mergeCell ref="A17:B17"/>
    <mergeCell ref="A25:B25"/>
    <mergeCell ref="A33:B33"/>
    <mergeCell ref="A38:B38"/>
  </mergeCells>
  <conditionalFormatting sqref="T47:U49 T18:U24 T10:U16 T26:U32 T2:U8 T34:U37">
    <cfRule type="cellIs" dxfId="302" priority="14" operator="lessThan">
      <formula>0</formula>
    </cfRule>
    <cfRule type="cellIs" dxfId="301" priority="15" operator="greaterThan">
      <formula>0</formula>
    </cfRule>
  </conditionalFormatting>
  <conditionalFormatting sqref="T47:V49 T34:V37 T18:V24 T26:V32 T10:V16 T2:V8">
    <cfRule type="cellIs" dxfId="300" priority="11" operator="equal">
      <formula>0</formula>
    </cfRule>
    <cfRule type="cellIs" dxfId="299" priority="12" operator="lessThan">
      <formula>0</formula>
    </cfRule>
    <cfRule type="cellIs" dxfId="298" priority="13" operator="greaterThan">
      <formula>0</formula>
    </cfRule>
  </conditionalFormatting>
  <conditionalFormatting sqref="T2:U2">
    <cfRule type="cellIs" dxfId="297" priority="4" operator="lessThan">
      <formula>0</formula>
    </cfRule>
    <cfRule type="cellIs" dxfId="296" priority="5" operator="greaterThan">
      <formula>0</formula>
    </cfRule>
  </conditionalFormatting>
  <conditionalFormatting sqref="T2:V2">
    <cfRule type="cellIs" dxfId="295" priority="1" operator="equal">
      <formula>0</formula>
    </cfRule>
    <cfRule type="cellIs" dxfId="294" priority="2" operator="lessThan">
      <formula>0</formula>
    </cfRule>
    <cfRule type="cellIs" dxfId="293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T9 T17:V17 T25:V25 T33:V33" formula="1"/>
  </ignoredErrors>
</worksheet>
</file>

<file path=xl/worksheets/sheet12.xml><?xml version="1.0" encoding="utf-8"?>
<worksheet xmlns="http://schemas.openxmlformats.org/spreadsheetml/2006/main" xmlns:r="http://schemas.openxmlformats.org/officeDocument/2006/relationships">
  <dimension ref="A1:X55"/>
  <sheetViews>
    <sheetView topLeftCell="A13" zoomScale="60" zoomScaleNormal="60" workbookViewId="0">
      <selection activeCell="V39" sqref="V39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5.710937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20.85546875" customWidth="1"/>
    <col min="15" max="16" width="16.7109375" customWidth="1"/>
    <col min="17" max="17" width="14.28515625" customWidth="1"/>
    <col min="18" max="18" width="13" customWidth="1"/>
    <col min="19" max="19" width="14.85546875" customWidth="1"/>
    <col min="20" max="20" width="16.85546875" customWidth="1"/>
    <col min="21" max="21" width="18.42578125" customWidth="1"/>
    <col min="22" max="23" width="15.85546875" customWidth="1"/>
  </cols>
  <sheetData>
    <row r="1" spans="1:24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</row>
    <row r="2" spans="1:24" ht="20.25" customHeight="1">
      <c r="A2" s="9">
        <v>44648</v>
      </c>
      <c r="B2" s="10" t="s">
        <v>23</v>
      </c>
      <c r="C2" s="11">
        <f>6804.4+65.94</f>
        <v>6870.3399999999992</v>
      </c>
      <c r="D2" s="11">
        <v>3101.77</v>
      </c>
      <c r="E2" s="11">
        <v>32</v>
      </c>
      <c r="F2" s="11">
        <v>35</v>
      </c>
      <c r="G2" s="11">
        <v>303</v>
      </c>
      <c r="H2" s="11">
        <f t="shared" ref="H2:H5" si="0">SUM(C2:G2,P2)</f>
        <v>10447.109999999999</v>
      </c>
      <c r="I2" s="11">
        <f>2269.82</f>
        <v>2269.8200000000002</v>
      </c>
      <c r="J2" s="11">
        <f>SUM(K2:N2)</f>
        <v>7823.35</v>
      </c>
      <c r="K2" s="11">
        <f>7823.35-117.62-273.57</f>
        <v>7432.1600000000008</v>
      </c>
      <c r="L2" s="11">
        <v>0</v>
      </c>
      <c r="M2" s="11">
        <v>117.62</v>
      </c>
      <c r="N2" s="11">
        <v>273.57</v>
      </c>
      <c r="O2" s="11">
        <v>409.35</v>
      </c>
      <c r="P2" s="33">
        <v>105</v>
      </c>
      <c r="Q2" s="33">
        <v>37</v>
      </c>
      <c r="R2" s="11">
        <v>1721.79</v>
      </c>
      <c r="S2" s="11">
        <v>350</v>
      </c>
      <c r="T2" s="31">
        <f t="shared" ref="T2:T5" si="1">SUM(O2,P2,Q2,R2)-I2</f>
        <v>3.319999999999709</v>
      </c>
      <c r="U2" s="32">
        <f>SUM(I2+J2+W2)-(H2)</f>
        <v>-65.93999999999869</v>
      </c>
      <c r="V2" s="33">
        <v>15</v>
      </c>
      <c r="W2" s="33">
        <v>288</v>
      </c>
      <c r="X2" t="s">
        <v>64</v>
      </c>
    </row>
    <row r="3" spans="1:24" ht="20.25" customHeight="1">
      <c r="A3" s="9">
        <v>44649</v>
      </c>
      <c r="B3" s="10" t="s">
        <v>24</v>
      </c>
      <c r="C3" s="11">
        <v>6040.92</v>
      </c>
      <c r="D3" s="11">
        <v>2504.64</v>
      </c>
      <c r="E3" s="11">
        <v>10</v>
      </c>
      <c r="F3" s="11">
        <v>36</v>
      </c>
      <c r="G3" s="11">
        <v>60</v>
      </c>
      <c r="H3" s="11">
        <f t="shared" si="0"/>
        <v>8736.56</v>
      </c>
      <c r="I3" s="11">
        <v>1979.92</v>
      </c>
      <c r="J3" s="11">
        <f t="shared" ref="J3:J5" si="2">SUM(K3:N3)</f>
        <v>6736.64</v>
      </c>
      <c r="K3" s="11">
        <f>6736.64-214.84-339.49</f>
        <v>6182.31</v>
      </c>
      <c r="L3" s="11">
        <v>0</v>
      </c>
      <c r="M3" s="11">
        <v>214.84</v>
      </c>
      <c r="N3" s="11">
        <v>339.49</v>
      </c>
      <c r="O3" s="11">
        <v>183.65</v>
      </c>
      <c r="P3" s="33">
        <v>85</v>
      </c>
      <c r="Q3" s="33">
        <v>2</v>
      </c>
      <c r="R3" s="11">
        <v>1708.83</v>
      </c>
      <c r="S3" s="11">
        <v>350</v>
      </c>
      <c r="T3" s="31">
        <f t="shared" si="1"/>
        <v>-0.44000000000005457</v>
      </c>
      <c r="U3" s="32">
        <f>SUM(I3+J3+W3)-(H3)</f>
        <v>0</v>
      </c>
      <c r="V3" s="33">
        <f t="shared" ref="V3:V4" si="3">SUM(G3-W3)</f>
        <v>40</v>
      </c>
      <c r="W3" s="33">
        <v>20</v>
      </c>
    </row>
    <row r="4" spans="1:24" ht="20.25" customHeight="1">
      <c r="A4" s="9">
        <v>44650</v>
      </c>
      <c r="B4" s="10" t="s">
        <v>25</v>
      </c>
      <c r="C4" s="11">
        <v>4795.1899999999996</v>
      </c>
      <c r="D4" s="11">
        <v>2073.52</v>
      </c>
      <c r="E4" s="11">
        <v>6</v>
      </c>
      <c r="F4" s="11">
        <v>22</v>
      </c>
      <c r="G4" s="11">
        <v>83</v>
      </c>
      <c r="H4" s="11">
        <f t="shared" si="0"/>
        <v>7109.7099999999991</v>
      </c>
      <c r="I4" s="11">
        <v>1501.07</v>
      </c>
      <c r="J4" s="11">
        <f t="shared" si="2"/>
        <v>5361.88</v>
      </c>
      <c r="K4" s="11">
        <f>5361.88-172.61-109.25</f>
        <v>5080.0200000000004</v>
      </c>
      <c r="L4" s="11">
        <v>0</v>
      </c>
      <c r="M4" s="11">
        <v>172.61</v>
      </c>
      <c r="N4" s="11">
        <v>109.25</v>
      </c>
      <c r="O4" s="11">
        <v>144.54</v>
      </c>
      <c r="P4" s="33">
        <v>130</v>
      </c>
      <c r="Q4" s="33">
        <v>5</v>
      </c>
      <c r="R4" s="11">
        <v>1235.2</v>
      </c>
      <c r="S4" s="11">
        <v>350</v>
      </c>
      <c r="T4" s="31">
        <f t="shared" si="1"/>
        <v>13.670000000000073</v>
      </c>
      <c r="U4" s="32">
        <f t="shared" ref="U4:U5" si="4">SUM(I4+J4+W4)-(H4)</f>
        <v>-163.75999999999931</v>
      </c>
      <c r="V4" s="33">
        <f t="shared" si="3"/>
        <v>0</v>
      </c>
      <c r="W4" s="33">
        <v>83</v>
      </c>
      <c r="X4" t="s">
        <v>65</v>
      </c>
    </row>
    <row r="5" spans="1:24" ht="20.25" customHeight="1">
      <c r="A5" s="9">
        <v>44651</v>
      </c>
      <c r="B5" s="10" t="s">
        <v>26</v>
      </c>
      <c r="C5" s="11">
        <v>5215.3500000000004</v>
      </c>
      <c r="D5" s="11">
        <v>2735.61</v>
      </c>
      <c r="E5" s="11">
        <v>0</v>
      </c>
      <c r="F5" s="11">
        <v>51</v>
      </c>
      <c r="G5" s="11">
        <v>130</v>
      </c>
      <c r="H5" s="11">
        <f t="shared" si="0"/>
        <v>8236.9600000000009</v>
      </c>
      <c r="I5" s="11">
        <v>1703.77</v>
      </c>
      <c r="J5" s="11">
        <f t="shared" si="2"/>
        <v>6443.19</v>
      </c>
      <c r="K5" s="11">
        <f>6443.19-222.05-140.43</f>
        <v>6080.7099999999991</v>
      </c>
      <c r="L5" s="11">
        <v>0</v>
      </c>
      <c r="M5" s="11">
        <v>222.05</v>
      </c>
      <c r="N5" s="11">
        <v>140.43</v>
      </c>
      <c r="O5" s="11">
        <v>52.4</v>
      </c>
      <c r="P5" s="33">
        <v>105</v>
      </c>
      <c r="Q5" s="33">
        <v>25</v>
      </c>
      <c r="R5" s="11">
        <v>1543.05</v>
      </c>
      <c r="S5" s="11">
        <v>350</v>
      </c>
      <c r="T5" s="31">
        <f t="shared" si="1"/>
        <v>21.680000000000064</v>
      </c>
      <c r="U5" s="32">
        <f t="shared" si="4"/>
        <v>0</v>
      </c>
      <c r="V5" s="33">
        <v>40</v>
      </c>
      <c r="W5" s="33">
        <v>90</v>
      </c>
      <c r="X5" s="35"/>
    </row>
    <row r="6" spans="1:24" ht="20.25" customHeight="1">
      <c r="A6" s="9">
        <v>44652</v>
      </c>
      <c r="B6" s="10" t="s">
        <v>20</v>
      </c>
      <c r="C6" s="11">
        <v>8333.56</v>
      </c>
      <c r="D6" s="11">
        <v>4408.1000000000004</v>
      </c>
      <c r="E6" s="11">
        <v>44.5</v>
      </c>
      <c r="F6" s="11">
        <v>41</v>
      </c>
      <c r="G6" s="11">
        <v>190.26</v>
      </c>
      <c r="H6" s="11">
        <f t="shared" ref="H6:H8" si="5">SUM(C6:G6,P6)</f>
        <v>13293.42</v>
      </c>
      <c r="I6" s="11">
        <v>2739.21</v>
      </c>
      <c r="J6" s="11">
        <f t="shared" ref="J6:J8" si="6">SUM(K6:N6)</f>
        <v>10514.83</v>
      </c>
      <c r="K6" s="11">
        <f>10514.83-142.77-214.49</f>
        <v>10157.57</v>
      </c>
      <c r="L6" s="11">
        <v>0</v>
      </c>
      <c r="M6" s="11">
        <v>142.77000000000001</v>
      </c>
      <c r="N6" s="11">
        <v>214.49</v>
      </c>
      <c r="O6" s="11">
        <v>0</v>
      </c>
      <c r="P6" s="33">
        <v>276</v>
      </c>
      <c r="Q6" s="33">
        <v>45</v>
      </c>
      <c r="R6" s="11">
        <v>2416.11</v>
      </c>
      <c r="S6" s="11">
        <v>350</v>
      </c>
      <c r="T6" s="31">
        <f t="shared" ref="T6:T8" si="7">SUM(O6,P6,Q6,R6)-I6</f>
        <v>-2.0999999999999091</v>
      </c>
      <c r="U6" s="32">
        <f t="shared" ref="U6" si="8">SUM(I6+J6+W6)-(H6)</f>
        <v>0</v>
      </c>
      <c r="V6" s="33">
        <f t="shared" ref="V6:V7" si="9">SUM(G6-W6)</f>
        <v>150.88</v>
      </c>
      <c r="W6" s="33">
        <v>39.380000000000003</v>
      </c>
    </row>
    <row r="7" spans="1:24" ht="18.75">
      <c r="A7" s="9">
        <v>44653</v>
      </c>
      <c r="B7" s="10" t="s">
        <v>21</v>
      </c>
      <c r="C7" s="11">
        <v>6949.49</v>
      </c>
      <c r="D7" s="11">
        <v>3847.64</v>
      </c>
      <c r="E7" s="11">
        <v>0</v>
      </c>
      <c r="F7" s="11">
        <v>87</v>
      </c>
      <c r="G7" s="11">
        <v>237.99</v>
      </c>
      <c r="H7" s="11">
        <f t="shared" si="5"/>
        <v>11377.119999999999</v>
      </c>
      <c r="I7" s="11">
        <f>2299.99</f>
        <v>2299.9899999999998</v>
      </c>
      <c r="J7" s="11">
        <f t="shared" si="6"/>
        <v>8859.14</v>
      </c>
      <c r="K7" s="11">
        <f>8859.14-216.04</f>
        <v>8643.0999999999985</v>
      </c>
      <c r="L7" s="11">
        <v>0</v>
      </c>
      <c r="M7" s="11">
        <v>216.04</v>
      </c>
      <c r="N7" s="11">
        <v>0</v>
      </c>
      <c r="O7" s="11">
        <v>0</v>
      </c>
      <c r="P7" s="33">
        <v>255</v>
      </c>
      <c r="Q7" s="33">
        <v>35</v>
      </c>
      <c r="R7" s="11">
        <v>2009.75</v>
      </c>
      <c r="S7" s="11">
        <v>350</v>
      </c>
      <c r="T7" s="31">
        <f t="shared" si="7"/>
        <v>-0.23999999999978172</v>
      </c>
      <c r="U7" s="32">
        <f t="shared" ref="U7:U8" si="10">SUM(I7+J7+W7)-(H7)</f>
        <v>0</v>
      </c>
      <c r="V7" s="33">
        <f t="shared" si="9"/>
        <v>20</v>
      </c>
      <c r="W7" s="33">
        <v>217.99</v>
      </c>
    </row>
    <row r="8" spans="1:24" ht="18.75">
      <c r="A8" s="9">
        <v>44654</v>
      </c>
      <c r="B8" s="10" t="s">
        <v>22</v>
      </c>
      <c r="C8" s="11">
        <v>6810.02</v>
      </c>
      <c r="D8" s="11">
        <v>2811.99</v>
      </c>
      <c r="E8" s="11">
        <v>0</v>
      </c>
      <c r="F8" s="11">
        <v>57</v>
      </c>
      <c r="G8" s="11">
        <v>62.52</v>
      </c>
      <c r="H8" s="11">
        <f t="shared" si="5"/>
        <v>9939.5</v>
      </c>
      <c r="I8" s="11">
        <v>2026.3</v>
      </c>
      <c r="J8" s="11">
        <f t="shared" si="6"/>
        <v>7908.48</v>
      </c>
      <c r="K8" s="11">
        <f>7908.48-109.15-129.08</f>
        <v>7670.25</v>
      </c>
      <c r="L8" s="11">
        <v>0</v>
      </c>
      <c r="M8" s="11">
        <v>109.15</v>
      </c>
      <c r="N8" s="11">
        <v>129.08000000000001</v>
      </c>
      <c r="O8" s="11">
        <v>0</v>
      </c>
      <c r="P8" s="33">
        <v>197.97</v>
      </c>
      <c r="Q8" s="33">
        <v>95</v>
      </c>
      <c r="R8" s="11">
        <v>1699.99</v>
      </c>
      <c r="S8" s="11">
        <v>350</v>
      </c>
      <c r="T8" s="31">
        <f t="shared" si="7"/>
        <v>-33.339999999999918</v>
      </c>
      <c r="U8" s="32">
        <f t="shared" si="10"/>
        <v>37.799999999999272</v>
      </c>
      <c r="V8" s="33">
        <f t="shared" ref="V8" si="11">SUM(G8-W8)</f>
        <v>20</v>
      </c>
      <c r="W8" s="33">
        <v>42.52</v>
      </c>
    </row>
    <row r="9" spans="1:24" ht="37.5" customHeight="1">
      <c r="A9" s="65" t="s">
        <v>27</v>
      </c>
      <c r="B9" s="66"/>
      <c r="C9" s="27">
        <f>SUM(C2:C8)</f>
        <v>45014.869999999995</v>
      </c>
      <c r="D9" s="27">
        <f t="shared" ref="D9:W9" si="12">SUM(D2:D8)</f>
        <v>21483.270000000004</v>
      </c>
      <c r="E9" s="27">
        <f t="shared" si="12"/>
        <v>92.5</v>
      </c>
      <c r="F9" s="27">
        <f t="shared" si="12"/>
        <v>329</v>
      </c>
      <c r="G9" s="27">
        <f t="shared" si="12"/>
        <v>1066.77</v>
      </c>
      <c r="H9" s="27">
        <f t="shared" si="12"/>
        <v>69140.37999999999</v>
      </c>
      <c r="I9" s="27">
        <f t="shared" si="12"/>
        <v>14520.08</v>
      </c>
      <c r="J9" s="27">
        <f t="shared" si="12"/>
        <v>53647.509999999995</v>
      </c>
      <c r="K9" s="27">
        <f t="shared" si="12"/>
        <v>51246.12</v>
      </c>
      <c r="L9" s="27">
        <f t="shared" si="12"/>
        <v>0</v>
      </c>
      <c r="M9" s="27">
        <f t="shared" si="12"/>
        <v>1195.0800000000002</v>
      </c>
      <c r="N9" s="27">
        <f t="shared" si="12"/>
        <v>1206.31</v>
      </c>
      <c r="O9" s="27">
        <f t="shared" si="12"/>
        <v>789.93999999999994</v>
      </c>
      <c r="P9" s="27">
        <f t="shared" si="12"/>
        <v>1153.97</v>
      </c>
      <c r="Q9" s="27">
        <f t="shared" si="12"/>
        <v>244</v>
      </c>
      <c r="R9" s="27">
        <f t="shared" si="12"/>
        <v>12334.72</v>
      </c>
      <c r="S9" s="27">
        <f t="shared" si="12"/>
        <v>2450</v>
      </c>
      <c r="T9" s="27">
        <f t="shared" si="12"/>
        <v>2.5500000000001819</v>
      </c>
      <c r="U9" s="27">
        <f t="shared" si="12"/>
        <v>-191.89999999999873</v>
      </c>
      <c r="V9" s="27">
        <f t="shared" si="12"/>
        <v>285.88</v>
      </c>
      <c r="W9" s="27">
        <f t="shared" si="12"/>
        <v>780.89</v>
      </c>
    </row>
    <row r="10" spans="1:24" ht="18.75">
      <c r="A10" s="9">
        <v>44655</v>
      </c>
      <c r="B10" s="10" t="s">
        <v>23</v>
      </c>
      <c r="C10" s="11">
        <v>8131.87</v>
      </c>
      <c r="D10" s="11">
        <v>2236.42</v>
      </c>
      <c r="E10" s="11">
        <v>15.5</v>
      </c>
      <c r="F10" s="11">
        <v>46</v>
      </c>
      <c r="G10" s="11">
        <v>234.64</v>
      </c>
      <c r="H10" s="11">
        <f t="shared" ref="H10:H16" si="13">SUM(C10:G10,P10)</f>
        <v>10756.43</v>
      </c>
      <c r="I10" s="11">
        <v>2254.42</v>
      </c>
      <c r="J10" s="11">
        <f>SUM(K10:N10)</f>
        <v>8388.3700000000008</v>
      </c>
      <c r="K10" s="11">
        <f>8388.37-110.58-78.98-56.28</f>
        <v>8142.5300000000016</v>
      </c>
      <c r="L10" s="11">
        <v>56.28</v>
      </c>
      <c r="M10" s="11">
        <v>110.58</v>
      </c>
      <c r="N10" s="11">
        <v>78.98</v>
      </c>
      <c r="O10" s="11">
        <v>94.91</v>
      </c>
      <c r="P10" s="33">
        <v>92</v>
      </c>
      <c r="Q10" s="33">
        <v>63</v>
      </c>
      <c r="R10" s="11">
        <v>1998.8</v>
      </c>
      <c r="S10" s="11">
        <v>350</v>
      </c>
      <c r="T10" s="31">
        <f t="shared" ref="T10:T16" si="14">SUM(O10,P10,Q10,R10)-I10</f>
        <v>-5.7100000000000364</v>
      </c>
      <c r="U10" s="32">
        <f t="shared" ref="U10:U16" si="15">SUM(I10+J10+W10)-(H10)</f>
        <v>0</v>
      </c>
      <c r="V10" s="33">
        <f t="shared" ref="V10:V16" si="16">SUM(G10-W10)</f>
        <v>120.99999999999999</v>
      </c>
      <c r="W10" s="33">
        <v>113.64</v>
      </c>
    </row>
    <row r="11" spans="1:24" ht="18.75">
      <c r="A11" s="9">
        <v>44656</v>
      </c>
      <c r="B11" s="10" t="s">
        <v>24</v>
      </c>
      <c r="C11" s="11">
        <v>8225.4</v>
      </c>
      <c r="D11" s="11">
        <v>2497.89</v>
      </c>
      <c r="E11" s="11">
        <v>2</v>
      </c>
      <c r="F11" s="11">
        <v>34</v>
      </c>
      <c r="G11" s="11">
        <v>97</v>
      </c>
      <c r="H11" s="11">
        <f t="shared" si="13"/>
        <v>10936.289999999999</v>
      </c>
      <c r="I11" s="11">
        <v>2029.64</v>
      </c>
      <c r="J11" s="11">
        <f t="shared" ref="J11:J16" si="17">SUM(K11:N11)</f>
        <v>8849.65</v>
      </c>
      <c r="K11" s="11">
        <f>8849.65-283.74-160.24-181.86</f>
        <v>8223.81</v>
      </c>
      <c r="L11" s="11">
        <v>160.24</v>
      </c>
      <c r="M11" s="11">
        <v>283.74</v>
      </c>
      <c r="N11" s="11">
        <v>181.86</v>
      </c>
      <c r="O11" s="11">
        <v>234.34</v>
      </c>
      <c r="P11" s="33">
        <v>80</v>
      </c>
      <c r="Q11" s="33">
        <v>20</v>
      </c>
      <c r="R11" s="11">
        <v>1706.37</v>
      </c>
      <c r="S11" s="11">
        <v>350</v>
      </c>
      <c r="T11" s="31">
        <f t="shared" si="14"/>
        <v>11.069999999999936</v>
      </c>
      <c r="U11" s="32">
        <f t="shared" si="15"/>
        <v>0</v>
      </c>
      <c r="V11" s="33">
        <f t="shared" si="16"/>
        <v>40</v>
      </c>
      <c r="W11" s="33">
        <v>57</v>
      </c>
    </row>
    <row r="12" spans="1:24" ht="18.75">
      <c r="A12" s="9">
        <v>44657</v>
      </c>
      <c r="B12" s="10" t="s">
        <v>25</v>
      </c>
      <c r="C12" s="11">
        <v>7531.78</v>
      </c>
      <c r="D12" s="11">
        <v>2946.63</v>
      </c>
      <c r="E12" s="11">
        <v>4.5</v>
      </c>
      <c r="F12" s="11">
        <v>55</v>
      </c>
      <c r="G12" s="11">
        <v>140</v>
      </c>
      <c r="H12" s="11">
        <f t="shared" si="13"/>
        <v>10789.91</v>
      </c>
      <c r="I12" s="11">
        <v>2372.6999999999998</v>
      </c>
      <c r="J12" s="11">
        <f t="shared" si="17"/>
        <v>8297.2099999999991</v>
      </c>
      <c r="K12" s="11">
        <f>8297.21-303.98</f>
        <v>7993.23</v>
      </c>
      <c r="L12" s="11">
        <v>0</v>
      </c>
      <c r="M12" s="11">
        <v>0</v>
      </c>
      <c r="N12" s="11">
        <v>303.98</v>
      </c>
      <c r="O12" s="11">
        <v>272.58</v>
      </c>
      <c r="P12" s="33">
        <v>112</v>
      </c>
      <c r="Q12" s="33">
        <v>30</v>
      </c>
      <c r="R12" s="11">
        <v>1956.16</v>
      </c>
      <c r="S12" s="11">
        <v>350</v>
      </c>
      <c r="T12" s="31">
        <f t="shared" si="14"/>
        <v>-1.9599999999995816</v>
      </c>
      <c r="U12" s="32">
        <f t="shared" si="15"/>
        <v>0</v>
      </c>
      <c r="V12" s="33">
        <f t="shared" si="16"/>
        <v>20</v>
      </c>
      <c r="W12" s="33">
        <v>120</v>
      </c>
    </row>
    <row r="13" spans="1:24" ht="18.75">
      <c r="A13" s="9">
        <v>44658</v>
      </c>
      <c r="B13" s="10" t="s">
        <v>26</v>
      </c>
      <c r="C13" s="11">
        <v>7176.93</v>
      </c>
      <c r="D13" s="11">
        <v>2944.41</v>
      </c>
      <c r="E13" s="11">
        <v>4</v>
      </c>
      <c r="F13" s="11">
        <v>40</v>
      </c>
      <c r="G13" s="11">
        <v>85.67</v>
      </c>
      <c r="H13" s="11">
        <f t="shared" si="13"/>
        <v>10366.01</v>
      </c>
      <c r="I13" s="11">
        <v>2470.2399999999998</v>
      </c>
      <c r="J13" s="11">
        <f t="shared" si="17"/>
        <v>7810.1</v>
      </c>
      <c r="K13" s="11">
        <f>7810.1-395.91-139.69</f>
        <v>7274.5000000000009</v>
      </c>
      <c r="L13" s="11">
        <v>0</v>
      </c>
      <c r="M13" s="11">
        <v>395.91</v>
      </c>
      <c r="N13" s="11">
        <v>139.69</v>
      </c>
      <c r="O13" s="11">
        <v>869</v>
      </c>
      <c r="P13" s="33">
        <v>115</v>
      </c>
      <c r="Q13" s="33">
        <v>9</v>
      </c>
      <c r="R13" s="11">
        <v>1480.8</v>
      </c>
      <c r="S13" s="11">
        <v>350</v>
      </c>
      <c r="T13" s="31">
        <f t="shared" si="14"/>
        <v>3.5600000000004002</v>
      </c>
      <c r="U13" s="32">
        <f t="shared" si="15"/>
        <v>0</v>
      </c>
      <c r="V13" s="33">
        <f t="shared" si="16"/>
        <v>0</v>
      </c>
      <c r="W13" s="33">
        <v>85.67</v>
      </c>
    </row>
    <row r="14" spans="1:24" ht="18.75">
      <c r="A14" s="9">
        <v>44659</v>
      </c>
      <c r="B14" s="10" t="s">
        <v>20</v>
      </c>
      <c r="C14" s="11">
        <v>11432.64</v>
      </c>
      <c r="D14" s="11">
        <v>4303.7700000000004</v>
      </c>
      <c r="E14" s="11">
        <v>28.5</v>
      </c>
      <c r="F14" s="11">
        <v>58</v>
      </c>
      <c r="G14" s="11">
        <v>374.32</v>
      </c>
      <c r="H14" s="11">
        <f t="shared" si="13"/>
        <v>16272.23</v>
      </c>
      <c r="I14" s="11">
        <v>3271.51</v>
      </c>
      <c r="J14" s="11">
        <f t="shared" si="17"/>
        <v>12900.72</v>
      </c>
      <c r="K14" s="11">
        <f>12900.72-275.08-180.83</f>
        <v>12444.81</v>
      </c>
      <c r="L14" s="11">
        <v>0</v>
      </c>
      <c r="M14" s="11">
        <v>275.08</v>
      </c>
      <c r="N14" s="11">
        <v>180.83</v>
      </c>
      <c r="O14" s="11">
        <v>0</v>
      </c>
      <c r="P14" s="33">
        <v>75</v>
      </c>
      <c r="Q14" s="33">
        <v>34.200000000000003</v>
      </c>
      <c r="R14" s="11">
        <f>2881.26+274.32</f>
        <v>3155.5800000000004</v>
      </c>
      <c r="S14" s="11">
        <v>350</v>
      </c>
      <c r="T14" s="31">
        <f t="shared" si="14"/>
        <v>-6.7300000000000182</v>
      </c>
      <c r="U14" s="32">
        <f t="shared" si="15"/>
        <v>0</v>
      </c>
      <c r="V14" s="33">
        <f t="shared" si="16"/>
        <v>274.32</v>
      </c>
      <c r="W14" s="33">
        <v>100</v>
      </c>
    </row>
    <row r="15" spans="1:24" ht="18.75">
      <c r="A15" s="9">
        <v>44660</v>
      </c>
      <c r="B15" s="10" t="s">
        <v>21</v>
      </c>
      <c r="C15" s="11">
        <v>7324.48</v>
      </c>
      <c r="D15" s="11">
        <v>4181.22</v>
      </c>
      <c r="E15" s="11">
        <v>12</v>
      </c>
      <c r="F15" s="11">
        <v>41</v>
      </c>
      <c r="G15" s="11">
        <v>172</v>
      </c>
      <c r="H15" s="11">
        <f t="shared" si="13"/>
        <v>12211.7</v>
      </c>
      <c r="I15" s="11">
        <v>2412.61</v>
      </c>
      <c r="J15" s="11">
        <f t="shared" si="17"/>
        <v>9684.09</v>
      </c>
      <c r="K15" s="11">
        <f>9684.09-100.01</f>
        <v>9584.08</v>
      </c>
      <c r="L15" s="11">
        <v>0</v>
      </c>
      <c r="M15" s="11">
        <v>0</v>
      </c>
      <c r="N15" s="11">
        <v>100.01</v>
      </c>
      <c r="O15" s="11">
        <v>210.31</v>
      </c>
      <c r="P15" s="33">
        <v>481</v>
      </c>
      <c r="Q15" s="33">
        <v>19</v>
      </c>
      <c r="R15" s="11">
        <v>1713.93</v>
      </c>
      <c r="S15" s="11">
        <v>350</v>
      </c>
      <c r="T15" s="31">
        <f t="shared" si="14"/>
        <v>11.629999999999654</v>
      </c>
      <c r="U15" s="32">
        <f t="shared" si="15"/>
        <v>0</v>
      </c>
      <c r="V15" s="33">
        <f t="shared" si="16"/>
        <v>57</v>
      </c>
      <c r="W15" s="33">
        <v>115</v>
      </c>
    </row>
    <row r="16" spans="1:24" ht="18.75">
      <c r="A16" s="9">
        <v>44661</v>
      </c>
      <c r="B16" s="10" t="s">
        <v>22</v>
      </c>
      <c r="C16" s="11">
        <v>7213</v>
      </c>
      <c r="D16" s="11">
        <v>2933.39</v>
      </c>
      <c r="E16" s="11">
        <v>0</v>
      </c>
      <c r="F16" s="11">
        <v>89</v>
      </c>
      <c r="G16" s="11">
        <v>170</v>
      </c>
      <c r="H16" s="11">
        <f t="shared" si="13"/>
        <v>10771.39</v>
      </c>
      <c r="I16" s="11">
        <v>2541.21</v>
      </c>
      <c r="J16" s="11">
        <f t="shared" si="17"/>
        <v>8120.18</v>
      </c>
      <c r="K16" s="11">
        <f>8120.18-113.75</f>
        <v>8006.43</v>
      </c>
      <c r="L16" s="11">
        <v>0</v>
      </c>
      <c r="M16" s="11">
        <v>0</v>
      </c>
      <c r="N16" s="11">
        <v>113.75</v>
      </c>
      <c r="O16" s="11">
        <v>0</v>
      </c>
      <c r="P16" s="33">
        <v>366</v>
      </c>
      <c r="Q16" s="33">
        <v>31</v>
      </c>
      <c r="R16" s="11">
        <v>2134.4899999999998</v>
      </c>
      <c r="S16" s="11">
        <v>350</v>
      </c>
      <c r="T16" s="31">
        <f t="shared" si="14"/>
        <v>-9.7200000000002547</v>
      </c>
      <c r="U16" s="32">
        <f t="shared" si="15"/>
        <v>0</v>
      </c>
      <c r="V16" s="33">
        <f t="shared" si="16"/>
        <v>60</v>
      </c>
      <c r="W16" s="33">
        <v>110</v>
      </c>
    </row>
    <row r="17" spans="1:24" ht="37.5" customHeight="1">
      <c r="A17" s="65" t="s">
        <v>27</v>
      </c>
      <c r="B17" s="66"/>
      <c r="C17" s="27">
        <f>SUM(C10:C16)</f>
        <v>57036.099999999991</v>
      </c>
      <c r="D17" s="27">
        <f t="shared" ref="D17:W17" si="18">SUM(D10:D16)</f>
        <v>22043.73</v>
      </c>
      <c r="E17" s="27">
        <f t="shared" si="18"/>
        <v>66.5</v>
      </c>
      <c r="F17" s="27">
        <f t="shared" si="18"/>
        <v>363</v>
      </c>
      <c r="G17" s="27">
        <f t="shared" si="18"/>
        <v>1273.6299999999999</v>
      </c>
      <c r="H17" s="27">
        <f t="shared" si="18"/>
        <v>82103.959999999992</v>
      </c>
      <c r="I17" s="27">
        <f t="shared" si="18"/>
        <v>17352.330000000002</v>
      </c>
      <c r="J17" s="27">
        <f t="shared" si="18"/>
        <v>64050.32</v>
      </c>
      <c r="K17" s="27">
        <f t="shared" si="18"/>
        <v>61669.39</v>
      </c>
      <c r="L17" s="27">
        <f t="shared" si="18"/>
        <v>216.52</v>
      </c>
      <c r="M17" s="27">
        <f t="shared" si="18"/>
        <v>1065.31</v>
      </c>
      <c r="N17" s="27">
        <f t="shared" si="18"/>
        <v>1099.0999999999999</v>
      </c>
      <c r="O17" s="27">
        <f t="shared" si="18"/>
        <v>1681.1399999999999</v>
      </c>
      <c r="P17" s="27">
        <f t="shared" si="18"/>
        <v>1321</v>
      </c>
      <c r="Q17" s="27">
        <f t="shared" si="18"/>
        <v>206.2</v>
      </c>
      <c r="R17" s="27">
        <f t="shared" si="18"/>
        <v>14146.130000000001</v>
      </c>
      <c r="S17" s="27">
        <f t="shared" si="18"/>
        <v>2450</v>
      </c>
      <c r="T17" s="27">
        <f t="shared" si="18"/>
        <v>2.1400000000001</v>
      </c>
      <c r="U17" s="27">
        <f t="shared" si="18"/>
        <v>0</v>
      </c>
      <c r="V17" s="27">
        <f t="shared" si="18"/>
        <v>572.31999999999994</v>
      </c>
      <c r="W17" s="27">
        <f t="shared" si="18"/>
        <v>701.31</v>
      </c>
    </row>
    <row r="18" spans="1:24" s="35" customFormat="1" ht="18.75">
      <c r="A18" s="9">
        <v>44662</v>
      </c>
      <c r="B18" s="10" t="s">
        <v>23</v>
      </c>
      <c r="C18" s="11">
        <v>8332.94</v>
      </c>
      <c r="D18" s="11">
        <v>2301.04</v>
      </c>
      <c r="E18" s="11">
        <v>2</v>
      </c>
      <c r="F18" s="11">
        <v>35</v>
      </c>
      <c r="G18" s="11">
        <v>136</v>
      </c>
      <c r="H18" s="11">
        <f t="shared" ref="H18:H24" si="19">SUM(C18:G18,P18)</f>
        <v>10830.98</v>
      </c>
      <c r="I18" s="11">
        <v>2806.29</v>
      </c>
      <c r="J18" s="11">
        <f>SUM(K18:N18)</f>
        <v>7893.69</v>
      </c>
      <c r="K18" s="11">
        <f>7893.69-60-39.13-427.74</f>
        <v>7366.82</v>
      </c>
      <c r="L18" s="11">
        <v>39.130000000000003</v>
      </c>
      <c r="M18" s="11">
        <v>60</v>
      </c>
      <c r="N18" s="11">
        <v>427.74</v>
      </c>
      <c r="O18" s="11">
        <v>262.52</v>
      </c>
      <c r="P18" s="33">
        <v>24</v>
      </c>
      <c r="Q18" s="33">
        <v>7</v>
      </c>
      <c r="R18" s="11">
        <v>2507.77</v>
      </c>
      <c r="S18" s="11">
        <v>350</v>
      </c>
      <c r="T18" s="31">
        <f t="shared" ref="T18:T24" si="20">SUM(O18,P18,Q18,R18)-I18</f>
        <v>-5</v>
      </c>
      <c r="U18" s="32">
        <f t="shared" ref="U18:U24" si="21">SUM(I18+J18+W18)-(H18)</f>
        <v>5</v>
      </c>
      <c r="V18" s="33">
        <f t="shared" ref="V18:V20" si="22">SUM(G18-W18)</f>
        <v>0</v>
      </c>
      <c r="W18" s="33">
        <v>136</v>
      </c>
    </row>
    <row r="19" spans="1:24" s="35" customFormat="1" ht="18.75">
      <c r="A19" s="9">
        <v>44663</v>
      </c>
      <c r="B19" s="10" t="s">
        <v>24</v>
      </c>
      <c r="C19" s="11">
        <v>5790.27</v>
      </c>
      <c r="D19" s="11">
        <v>2613.33</v>
      </c>
      <c r="E19" s="11">
        <v>30.5</v>
      </c>
      <c r="F19" s="11">
        <v>31</v>
      </c>
      <c r="G19" s="11">
        <v>247.52</v>
      </c>
      <c r="H19" s="11">
        <f t="shared" si="19"/>
        <v>8787.6200000000008</v>
      </c>
      <c r="I19" s="11">
        <v>1897.71</v>
      </c>
      <c r="J19" s="11">
        <f t="shared" ref="J19:J24" si="23">SUM(K19:N19)</f>
        <v>6696.43</v>
      </c>
      <c r="K19" s="11">
        <f>6696.43-280.53-129.54</f>
        <v>6286.3600000000006</v>
      </c>
      <c r="L19" s="11">
        <v>0</v>
      </c>
      <c r="M19" s="11">
        <v>280.52999999999997</v>
      </c>
      <c r="N19" s="11">
        <v>129.54</v>
      </c>
      <c r="O19" s="11">
        <v>0</v>
      </c>
      <c r="P19" s="33">
        <v>75</v>
      </c>
      <c r="Q19" s="33">
        <v>40</v>
      </c>
      <c r="R19" s="11">
        <v>1655.25</v>
      </c>
      <c r="S19" s="11">
        <v>350</v>
      </c>
      <c r="T19" s="31">
        <f t="shared" si="20"/>
        <v>-127.46000000000004</v>
      </c>
      <c r="U19" s="32">
        <f t="shared" si="21"/>
        <v>-105.96000000000095</v>
      </c>
      <c r="V19" s="33">
        <f t="shared" si="22"/>
        <v>160</v>
      </c>
      <c r="W19" s="33">
        <v>87.52</v>
      </c>
      <c r="X19" s="35" t="s">
        <v>66</v>
      </c>
    </row>
    <row r="20" spans="1:24" s="35" customFormat="1" ht="18.75">
      <c r="A20" s="9">
        <v>44664</v>
      </c>
      <c r="B20" s="10" t="s">
        <v>25</v>
      </c>
      <c r="C20" s="11">
        <v>6911.38</v>
      </c>
      <c r="D20" s="11">
        <v>2942.71</v>
      </c>
      <c r="E20" s="11">
        <v>4</v>
      </c>
      <c r="F20" s="11">
        <v>64</v>
      </c>
      <c r="G20" s="11">
        <v>284.5</v>
      </c>
      <c r="H20" s="11">
        <f t="shared" si="19"/>
        <v>10241.64</v>
      </c>
      <c r="I20" s="11">
        <v>2572.23</v>
      </c>
      <c r="J20" s="11">
        <f t="shared" si="23"/>
        <v>7609.41</v>
      </c>
      <c r="K20" s="11">
        <f>7609.41-70.02-107.54</f>
        <v>7431.8499999999995</v>
      </c>
      <c r="L20" s="11">
        <v>0</v>
      </c>
      <c r="M20" s="11">
        <v>70.02</v>
      </c>
      <c r="N20" s="11">
        <v>107.54</v>
      </c>
      <c r="O20" s="11">
        <v>0</v>
      </c>
      <c r="P20" s="33">
        <v>35.049999999999997</v>
      </c>
      <c r="Q20" s="33">
        <v>46</v>
      </c>
      <c r="R20" s="11">
        <v>2564.08</v>
      </c>
      <c r="S20" s="11">
        <v>350</v>
      </c>
      <c r="T20" s="31">
        <f t="shared" si="20"/>
        <v>72.900000000000091</v>
      </c>
      <c r="U20" s="32">
        <f t="shared" si="21"/>
        <v>0</v>
      </c>
      <c r="V20" s="33">
        <f t="shared" si="22"/>
        <v>224.5</v>
      </c>
      <c r="W20" s="33">
        <v>60</v>
      </c>
    </row>
    <row r="21" spans="1:24" s="35" customFormat="1" ht="18.75">
      <c r="A21" s="9">
        <v>44665</v>
      </c>
      <c r="B21" s="10" t="s">
        <v>26</v>
      </c>
      <c r="C21" s="11">
        <v>8216.92</v>
      </c>
      <c r="D21" s="11">
        <v>3135.43</v>
      </c>
      <c r="E21" s="11">
        <v>4</v>
      </c>
      <c r="F21" s="11">
        <v>86</v>
      </c>
      <c r="G21" s="11">
        <v>165</v>
      </c>
      <c r="H21" s="11">
        <f t="shared" si="19"/>
        <v>11667.53</v>
      </c>
      <c r="I21" s="11">
        <v>2363.4</v>
      </c>
      <c r="J21" s="11">
        <f t="shared" si="23"/>
        <v>9149.130000000001</v>
      </c>
      <c r="K21" s="11">
        <f>9149.13-496.74-144.16-330.45</f>
        <v>8177.78</v>
      </c>
      <c r="L21" s="11">
        <v>144.16</v>
      </c>
      <c r="M21" s="11">
        <v>496.74</v>
      </c>
      <c r="N21" s="11">
        <v>330.45</v>
      </c>
      <c r="O21" s="11">
        <v>0</v>
      </c>
      <c r="P21" s="33">
        <v>60.18</v>
      </c>
      <c r="Q21" s="33">
        <v>38</v>
      </c>
      <c r="R21" s="11">
        <v>2178.25</v>
      </c>
      <c r="S21" s="11">
        <v>350</v>
      </c>
      <c r="T21" s="31">
        <f t="shared" si="20"/>
        <v>-86.970000000000255</v>
      </c>
      <c r="U21" s="32">
        <f t="shared" si="21"/>
        <v>0</v>
      </c>
      <c r="V21" s="33">
        <f t="shared" ref="V21:V24" si="24">SUM(G21-W21)</f>
        <v>10</v>
      </c>
      <c r="W21" s="33">
        <v>155</v>
      </c>
    </row>
    <row r="22" spans="1:24" s="35" customFormat="1" ht="18.75">
      <c r="A22" s="9">
        <v>44666</v>
      </c>
      <c r="B22" s="10" t="s">
        <v>20</v>
      </c>
      <c r="C22" s="11">
        <v>7655.93</v>
      </c>
      <c r="D22" s="11">
        <v>4045.89</v>
      </c>
      <c r="E22" s="11">
        <v>25</v>
      </c>
      <c r="F22" s="11">
        <v>61</v>
      </c>
      <c r="G22" s="11">
        <v>75</v>
      </c>
      <c r="H22" s="11">
        <f t="shared" si="19"/>
        <v>12009.82</v>
      </c>
      <c r="I22" s="43">
        <v>2569.54</v>
      </c>
      <c r="J22" s="11">
        <f t="shared" si="23"/>
        <v>9390.2800000000007</v>
      </c>
      <c r="K22" s="11">
        <f>9390.28-105.56</f>
        <v>9284.7200000000012</v>
      </c>
      <c r="L22" s="11">
        <v>0</v>
      </c>
      <c r="M22" s="11">
        <v>0</v>
      </c>
      <c r="N22" s="11">
        <v>105.56</v>
      </c>
      <c r="O22" s="11">
        <v>0</v>
      </c>
      <c r="P22" s="33">
        <v>147</v>
      </c>
      <c r="Q22" s="33">
        <v>41</v>
      </c>
      <c r="R22" s="11">
        <v>2383.71</v>
      </c>
      <c r="S22" s="11">
        <v>350</v>
      </c>
      <c r="T22" s="31">
        <f t="shared" si="20"/>
        <v>2.1700000000000728</v>
      </c>
      <c r="U22" s="32">
        <f t="shared" si="21"/>
        <v>0</v>
      </c>
      <c r="V22" s="33">
        <f t="shared" si="24"/>
        <v>25</v>
      </c>
      <c r="W22" s="33">
        <v>50</v>
      </c>
    </row>
    <row r="23" spans="1:24" s="35" customFormat="1" ht="18.75">
      <c r="A23" s="9">
        <v>44667</v>
      </c>
      <c r="B23" s="10" t="s">
        <v>21</v>
      </c>
      <c r="C23" s="11">
        <v>6141.53</v>
      </c>
      <c r="D23" s="11">
        <v>3783.93</v>
      </c>
      <c r="E23" s="11">
        <v>0</v>
      </c>
      <c r="F23" s="11">
        <v>72</v>
      </c>
      <c r="G23" s="11">
        <v>130</v>
      </c>
      <c r="H23" s="11">
        <f t="shared" si="19"/>
        <v>10197.469999999999</v>
      </c>
      <c r="I23" s="11">
        <v>2731.2</v>
      </c>
      <c r="J23" s="11">
        <f t="shared" si="23"/>
        <v>7386.27</v>
      </c>
      <c r="K23" s="11">
        <f>7386.27-99.3</f>
        <v>7286.97</v>
      </c>
      <c r="L23" s="11">
        <v>0</v>
      </c>
      <c r="M23" s="11">
        <v>99.3</v>
      </c>
      <c r="N23" s="11">
        <v>0</v>
      </c>
      <c r="O23" s="11">
        <v>440</v>
      </c>
      <c r="P23" s="33">
        <v>70.010000000000005</v>
      </c>
      <c r="Q23" s="33">
        <v>19</v>
      </c>
      <c r="R23" s="11">
        <v>2193.2199999999998</v>
      </c>
      <c r="S23" s="11">
        <v>350</v>
      </c>
      <c r="T23" s="31">
        <f t="shared" si="20"/>
        <v>-8.9700000000002547</v>
      </c>
      <c r="U23" s="32">
        <f t="shared" si="21"/>
        <v>0</v>
      </c>
      <c r="V23" s="33">
        <f t="shared" si="24"/>
        <v>50</v>
      </c>
      <c r="W23" s="33">
        <v>80</v>
      </c>
    </row>
    <row r="24" spans="1:24" s="35" customFormat="1" ht="18.75">
      <c r="A24" s="9">
        <v>44668</v>
      </c>
      <c r="B24" s="10" t="s">
        <v>22</v>
      </c>
      <c r="C24" s="11">
        <v>4078.67</v>
      </c>
      <c r="D24" s="11">
        <v>4111.49</v>
      </c>
      <c r="E24" s="11">
        <v>2.5</v>
      </c>
      <c r="F24" s="11">
        <v>52</v>
      </c>
      <c r="G24" s="11">
        <v>65</v>
      </c>
      <c r="H24" s="11">
        <f t="shared" si="19"/>
        <v>8409.66</v>
      </c>
      <c r="I24" s="11">
        <v>2332.83</v>
      </c>
      <c r="J24" s="11">
        <f t="shared" si="23"/>
        <v>6011.83</v>
      </c>
      <c r="K24" s="11">
        <f>6011.83</f>
        <v>6011.83</v>
      </c>
      <c r="L24" s="11">
        <v>0</v>
      </c>
      <c r="M24" s="11">
        <v>0</v>
      </c>
      <c r="N24" s="11">
        <v>0</v>
      </c>
      <c r="O24" s="11">
        <v>0</v>
      </c>
      <c r="P24" s="33">
        <v>100</v>
      </c>
      <c r="Q24" s="33">
        <v>64</v>
      </c>
      <c r="R24" s="11">
        <v>2179.09</v>
      </c>
      <c r="S24" s="11">
        <v>350</v>
      </c>
      <c r="T24" s="31">
        <f t="shared" si="20"/>
        <v>10.260000000000218</v>
      </c>
      <c r="U24" s="32">
        <f t="shared" si="21"/>
        <v>0</v>
      </c>
      <c r="V24" s="33">
        <f t="shared" si="24"/>
        <v>0</v>
      </c>
      <c r="W24" s="33">
        <v>65</v>
      </c>
    </row>
    <row r="25" spans="1:24" ht="37.5" customHeight="1">
      <c r="A25" s="65" t="s">
        <v>27</v>
      </c>
      <c r="B25" s="66"/>
      <c r="C25" s="27">
        <f>SUM(C18:C24)</f>
        <v>47127.64</v>
      </c>
      <c r="D25" s="27">
        <f t="shared" ref="D25:W25" si="25">SUM(D18:D24)</f>
        <v>22933.82</v>
      </c>
      <c r="E25" s="27">
        <f t="shared" si="25"/>
        <v>68</v>
      </c>
      <c r="F25" s="27">
        <f t="shared" si="25"/>
        <v>401</v>
      </c>
      <c r="G25" s="27">
        <f t="shared" si="25"/>
        <v>1103.02</v>
      </c>
      <c r="H25" s="27">
        <f t="shared" si="25"/>
        <v>72144.72</v>
      </c>
      <c r="I25" s="27">
        <f t="shared" si="25"/>
        <v>17273.199999999997</v>
      </c>
      <c r="J25" s="27">
        <f t="shared" si="25"/>
        <v>54137.040000000008</v>
      </c>
      <c r="K25" s="27">
        <f t="shared" si="25"/>
        <v>51846.33</v>
      </c>
      <c r="L25" s="27">
        <f t="shared" si="25"/>
        <v>183.29</v>
      </c>
      <c r="M25" s="27">
        <f t="shared" si="25"/>
        <v>1006.5899999999999</v>
      </c>
      <c r="N25" s="27">
        <f t="shared" si="25"/>
        <v>1100.83</v>
      </c>
      <c r="O25" s="27">
        <f t="shared" si="25"/>
        <v>702.52</v>
      </c>
      <c r="P25" s="27">
        <f t="shared" si="25"/>
        <v>511.24</v>
      </c>
      <c r="Q25" s="27">
        <f t="shared" si="25"/>
        <v>255</v>
      </c>
      <c r="R25" s="27">
        <f t="shared" si="25"/>
        <v>15661.37</v>
      </c>
      <c r="S25" s="27">
        <f t="shared" si="25"/>
        <v>2450</v>
      </c>
      <c r="T25" s="27">
        <f t="shared" si="25"/>
        <v>-143.07000000000016</v>
      </c>
      <c r="U25" s="27">
        <f t="shared" si="25"/>
        <v>-100.96000000000095</v>
      </c>
      <c r="V25" s="27">
        <f t="shared" si="25"/>
        <v>469.5</v>
      </c>
      <c r="W25" s="27">
        <f t="shared" si="25"/>
        <v>633.52</v>
      </c>
    </row>
    <row r="26" spans="1:24" s="35" customFormat="1" ht="18.75">
      <c r="A26" s="9">
        <v>44669</v>
      </c>
      <c r="B26" s="10" t="s">
        <v>23</v>
      </c>
      <c r="C26" s="11">
        <v>5040.46</v>
      </c>
      <c r="D26" s="11">
        <v>3371.93</v>
      </c>
      <c r="E26" s="11">
        <v>0</v>
      </c>
      <c r="F26" s="11">
        <v>31</v>
      </c>
      <c r="G26" s="11">
        <v>305.5</v>
      </c>
      <c r="H26" s="11">
        <f t="shared" ref="H26:H32" si="26">SUM(C26:G26,P26)</f>
        <v>8808.89</v>
      </c>
      <c r="I26" s="11">
        <v>1845.98</v>
      </c>
      <c r="J26" s="11">
        <f>SUM(K26:N26)</f>
        <v>6692.41</v>
      </c>
      <c r="K26" s="11">
        <f>6692.41-194.68-138.12</f>
        <v>6359.61</v>
      </c>
      <c r="L26" s="11">
        <v>0</v>
      </c>
      <c r="M26" s="11">
        <v>194.68</v>
      </c>
      <c r="N26" s="11">
        <v>138.12</v>
      </c>
      <c r="O26" s="11">
        <v>58.45</v>
      </c>
      <c r="P26" s="33">
        <v>60</v>
      </c>
      <c r="Q26" s="33">
        <v>11</v>
      </c>
      <c r="R26" s="11">
        <v>1724.7</v>
      </c>
      <c r="S26" s="11">
        <v>350</v>
      </c>
      <c r="T26" s="31">
        <f t="shared" ref="T26:T32" si="27">SUM(O26,P26,Q26,R26)-I26</f>
        <v>8.1700000000000728</v>
      </c>
      <c r="U26" s="32">
        <f>SUM(I26+J26+W26)-(H26)</f>
        <v>0</v>
      </c>
      <c r="V26" s="33">
        <f t="shared" ref="V26:V32" si="28">SUM(G26-W26)</f>
        <v>35</v>
      </c>
      <c r="W26" s="33">
        <v>270.5</v>
      </c>
    </row>
    <row r="27" spans="1:24" s="35" customFormat="1" ht="18.75">
      <c r="A27" s="9">
        <v>44670</v>
      </c>
      <c r="B27" s="10" t="s">
        <v>24</v>
      </c>
      <c r="C27" s="11">
        <v>4601.3</v>
      </c>
      <c r="D27" s="11">
        <v>2612.86</v>
      </c>
      <c r="E27" s="11">
        <v>19.5</v>
      </c>
      <c r="F27" s="11">
        <v>23</v>
      </c>
      <c r="G27" s="11">
        <v>129</v>
      </c>
      <c r="H27" s="11">
        <f t="shared" si="26"/>
        <v>7410.66</v>
      </c>
      <c r="I27" s="11">
        <v>1962.92</v>
      </c>
      <c r="J27" s="11">
        <f t="shared" ref="J27:J32" si="29">SUM(K27:N27)</f>
        <v>5422.74</v>
      </c>
      <c r="K27" s="11">
        <f>5422.74-127.08-5-317.7</f>
        <v>4972.96</v>
      </c>
      <c r="L27" s="11">
        <v>5</v>
      </c>
      <c r="M27" s="11">
        <v>127.08</v>
      </c>
      <c r="N27" s="11">
        <v>317.7</v>
      </c>
      <c r="O27" s="11">
        <v>0</v>
      </c>
      <c r="P27" s="33">
        <v>25</v>
      </c>
      <c r="Q27" s="33">
        <v>22</v>
      </c>
      <c r="R27" s="11">
        <v>1914.23</v>
      </c>
      <c r="S27" s="11">
        <v>350</v>
      </c>
      <c r="T27" s="31">
        <f t="shared" si="27"/>
        <v>-1.6900000000000546</v>
      </c>
      <c r="U27" s="32">
        <f>SUM(I27+J27+W27)-(H27)</f>
        <v>0</v>
      </c>
      <c r="V27" s="33">
        <f t="shared" si="28"/>
        <v>104</v>
      </c>
      <c r="W27" s="33">
        <v>25</v>
      </c>
    </row>
    <row r="28" spans="1:24" s="35" customFormat="1" ht="18.75">
      <c r="A28" s="9">
        <v>44671</v>
      </c>
      <c r="B28" s="10" t="s">
        <v>25</v>
      </c>
      <c r="C28" s="11">
        <v>7179.48</v>
      </c>
      <c r="D28" s="11">
        <v>2877.42</v>
      </c>
      <c r="E28" s="11">
        <v>7</v>
      </c>
      <c r="F28" s="11">
        <v>12</v>
      </c>
      <c r="G28" s="11">
        <v>147.59</v>
      </c>
      <c r="H28" s="11">
        <f t="shared" si="26"/>
        <v>10298.49</v>
      </c>
      <c r="I28" s="11">
        <v>2569.42</v>
      </c>
      <c r="J28" s="11">
        <f t="shared" si="29"/>
        <v>7641.48</v>
      </c>
      <c r="K28" s="11">
        <f>7641.48-125.91-80.18</f>
        <v>7435.3899999999994</v>
      </c>
      <c r="L28" s="11">
        <v>0</v>
      </c>
      <c r="M28" s="11">
        <v>125.91</v>
      </c>
      <c r="N28" s="11">
        <v>80.180000000000007</v>
      </c>
      <c r="O28" s="11">
        <v>0</v>
      </c>
      <c r="P28" s="33">
        <v>75</v>
      </c>
      <c r="Q28" s="33">
        <v>0</v>
      </c>
      <c r="R28" s="11">
        <v>2503.0500000000002</v>
      </c>
      <c r="S28" s="11">
        <v>350</v>
      </c>
      <c r="T28" s="31">
        <f t="shared" si="27"/>
        <v>8.6300000000001091</v>
      </c>
      <c r="U28" s="32">
        <f t="shared" ref="U28:U32" si="30">SUM(I28+J28+W28)-(H28)</f>
        <v>0</v>
      </c>
      <c r="V28" s="33">
        <f t="shared" si="28"/>
        <v>60</v>
      </c>
      <c r="W28" s="33">
        <v>87.59</v>
      </c>
    </row>
    <row r="29" spans="1:24" s="35" customFormat="1" ht="18.75">
      <c r="A29" s="9">
        <v>44672</v>
      </c>
      <c r="B29" s="10" t="s">
        <v>26</v>
      </c>
      <c r="C29" s="11">
        <v>6488.25</v>
      </c>
      <c r="D29" s="11">
        <v>2904.19</v>
      </c>
      <c r="E29" s="11">
        <v>6.5</v>
      </c>
      <c r="F29" s="11">
        <v>29</v>
      </c>
      <c r="G29" s="11">
        <v>50</v>
      </c>
      <c r="H29" s="11">
        <f t="shared" si="26"/>
        <v>9532.94</v>
      </c>
      <c r="I29" s="11">
        <v>2515.4499999999998</v>
      </c>
      <c r="J29" s="11">
        <f t="shared" si="29"/>
        <v>6987.49</v>
      </c>
      <c r="K29" s="11">
        <f>6987.49-109.45-299.95</f>
        <v>6578.09</v>
      </c>
      <c r="L29" s="11">
        <v>0</v>
      </c>
      <c r="M29" s="11">
        <v>109.45</v>
      </c>
      <c r="N29" s="11">
        <v>299.95</v>
      </c>
      <c r="O29" s="11">
        <v>651.59</v>
      </c>
      <c r="P29" s="33">
        <v>55</v>
      </c>
      <c r="Q29" s="33">
        <v>35</v>
      </c>
      <c r="R29" s="11">
        <v>1775.7</v>
      </c>
      <c r="S29" s="11">
        <v>350</v>
      </c>
      <c r="T29" s="31">
        <f t="shared" si="27"/>
        <v>1.8400000000001455</v>
      </c>
      <c r="U29" s="32">
        <f t="shared" si="30"/>
        <v>0</v>
      </c>
      <c r="V29" s="33">
        <f t="shared" si="28"/>
        <v>20</v>
      </c>
      <c r="W29" s="33">
        <v>30</v>
      </c>
    </row>
    <row r="30" spans="1:24" s="35" customFormat="1" ht="18.75">
      <c r="A30" s="9">
        <v>44673</v>
      </c>
      <c r="B30" s="10" t="s">
        <v>20</v>
      </c>
      <c r="C30" s="11">
        <v>7634.68</v>
      </c>
      <c r="D30" s="11">
        <v>4185.71</v>
      </c>
      <c r="E30" s="11">
        <v>25</v>
      </c>
      <c r="F30" s="11">
        <v>45</v>
      </c>
      <c r="G30" s="11">
        <v>155.33000000000001</v>
      </c>
      <c r="H30" s="11">
        <f t="shared" si="26"/>
        <v>12160.72</v>
      </c>
      <c r="I30" s="11">
        <v>2518.92</v>
      </c>
      <c r="J30" s="11">
        <f t="shared" si="29"/>
        <v>9402.4599999999991</v>
      </c>
      <c r="K30" s="11">
        <f>9402.46-280.17</f>
        <v>9122.2899999999991</v>
      </c>
      <c r="L30" s="11">
        <v>0</v>
      </c>
      <c r="M30" s="11">
        <v>280.17</v>
      </c>
      <c r="N30" s="11">
        <v>0</v>
      </c>
      <c r="O30" s="11">
        <v>0</v>
      </c>
      <c r="P30" s="33">
        <v>115</v>
      </c>
      <c r="Q30" s="33">
        <v>44</v>
      </c>
      <c r="R30" s="11">
        <v>2361.9</v>
      </c>
      <c r="S30" s="11">
        <v>350</v>
      </c>
      <c r="T30" s="31">
        <f t="shared" si="27"/>
        <v>1.9800000000000182</v>
      </c>
      <c r="U30" s="32">
        <f t="shared" si="30"/>
        <v>-136.01000000000022</v>
      </c>
      <c r="V30" s="33">
        <f t="shared" si="28"/>
        <v>52.000000000000014</v>
      </c>
      <c r="W30" s="33">
        <v>103.33</v>
      </c>
    </row>
    <row r="31" spans="1:24" s="35" customFormat="1" ht="18.75">
      <c r="A31" s="9">
        <v>44674</v>
      </c>
      <c r="B31" s="10" t="s">
        <v>21</v>
      </c>
      <c r="C31" s="11">
        <v>6790.55</v>
      </c>
      <c r="D31" s="11">
        <v>4408.18</v>
      </c>
      <c r="E31" s="11">
        <v>17</v>
      </c>
      <c r="F31" s="11">
        <v>52</v>
      </c>
      <c r="G31" s="11">
        <v>75</v>
      </c>
      <c r="H31" s="11">
        <f t="shared" si="26"/>
        <v>11462.73</v>
      </c>
      <c r="I31" s="11">
        <v>2444.9299999999998</v>
      </c>
      <c r="J31" s="11">
        <f t="shared" si="29"/>
        <v>9002.7999999999993</v>
      </c>
      <c r="K31" s="11">
        <f>9002.8-110.64</f>
        <v>8892.16</v>
      </c>
      <c r="L31" s="11">
        <v>0</v>
      </c>
      <c r="M31" s="11">
        <v>110.64</v>
      </c>
      <c r="N31" s="11">
        <v>0</v>
      </c>
      <c r="O31" s="11">
        <v>165.25</v>
      </c>
      <c r="P31" s="33">
        <v>120</v>
      </c>
      <c r="Q31" s="33">
        <v>28</v>
      </c>
      <c r="R31" s="11">
        <v>2134.2399999999998</v>
      </c>
      <c r="S31" s="11">
        <v>350</v>
      </c>
      <c r="T31" s="31">
        <f t="shared" si="27"/>
        <v>2.5599999999999454</v>
      </c>
      <c r="U31" s="32">
        <f t="shared" si="30"/>
        <v>0</v>
      </c>
      <c r="V31" s="33">
        <f t="shared" si="28"/>
        <v>60</v>
      </c>
      <c r="W31" s="33">
        <v>15</v>
      </c>
    </row>
    <row r="32" spans="1:24" s="35" customFormat="1" ht="18.75">
      <c r="A32" s="9">
        <v>44675</v>
      </c>
      <c r="B32" s="10" t="s">
        <v>22</v>
      </c>
      <c r="C32" s="11">
        <v>7109.41</v>
      </c>
      <c r="D32" s="11">
        <v>3354.48</v>
      </c>
      <c r="E32" s="11">
        <v>0</v>
      </c>
      <c r="F32" s="11">
        <v>33</v>
      </c>
      <c r="G32" s="11">
        <v>250</v>
      </c>
      <c r="H32" s="11">
        <f t="shared" si="26"/>
        <v>10841.89</v>
      </c>
      <c r="I32" s="11">
        <v>2494.59</v>
      </c>
      <c r="J32" s="11">
        <f t="shared" si="29"/>
        <v>8117.2999999999993</v>
      </c>
      <c r="K32" s="11">
        <f>8117.3-297.23-65.29</f>
        <v>7754.78</v>
      </c>
      <c r="L32" s="11">
        <v>65.290000000000006</v>
      </c>
      <c r="M32" s="11">
        <v>0</v>
      </c>
      <c r="N32" s="11">
        <v>297.23</v>
      </c>
      <c r="O32" s="11">
        <v>0</v>
      </c>
      <c r="P32" s="33">
        <v>95</v>
      </c>
      <c r="Q32" s="33">
        <v>36</v>
      </c>
      <c r="R32" s="11">
        <v>2388.5500000000002</v>
      </c>
      <c r="S32" s="11">
        <v>350</v>
      </c>
      <c r="T32" s="31">
        <f t="shared" si="27"/>
        <v>24.960000000000036</v>
      </c>
      <c r="U32" s="32">
        <f t="shared" si="30"/>
        <v>0</v>
      </c>
      <c r="V32" s="33">
        <f t="shared" si="28"/>
        <v>20</v>
      </c>
      <c r="W32" s="33">
        <v>230</v>
      </c>
    </row>
    <row r="33" spans="1:23" ht="37.5" customHeight="1">
      <c r="A33" s="65" t="s">
        <v>27</v>
      </c>
      <c r="B33" s="66"/>
      <c r="C33" s="27">
        <f>SUM(C26:C32)</f>
        <v>44844.130000000005</v>
      </c>
      <c r="D33" s="27">
        <f t="shared" ref="D33:W33" si="31">SUM(D26:D32)</f>
        <v>23714.77</v>
      </c>
      <c r="E33" s="27">
        <f t="shared" si="31"/>
        <v>75</v>
      </c>
      <c r="F33" s="27">
        <f t="shared" si="31"/>
        <v>225</v>
      </c>
      <c r="G33" s="27">
        <f t="shared" si="31"/>
        <v>1112.42</v>
      </c>
      <c r="H33" s="27">
        <f t="shared" si="31"/>
        <v>70516.320000000007</v>
      </c>
      <c r="I33" s="27">
        <f t="shared" si="31"/>
        <v>16352.210000000001</v>
      </c>
      <c r="J33" s="27">
        <f t="shared" si="31"/>
        <v>53266.679999999993</v>
      </c>
      <c r="K33" s="27">
        <f t="shared" si="31"/>
        <v>51115.28</v>
      </c>
      <c r="L33" s="27">
        <f t="shared" si="31"/>
        <v>70.290000000000006</v>
      </c>
      <c r="M33" s="27">
        <f t="shared" si="31"/>
        <v>947.93</v>
      </c>
      <c r="N33" s="27">
        <f t="shared" si="31"/>
        <v>1133.18</v>
      </c>
      <c r="O33" s="27">
        <f t="shared" si="31"/>
        <v>875.29000000000008</v>
      </c>
      <c r="P33" s="27">
        <f t="shared" si="31"/>
        <v>545</v>
      </c>
      <c r="Q33" s="27">
        <f t="shared" si="31"/>
        <v>176</v>
      </c>
      <c r="R33" s="27">
        <f t="shared" si="31"/>
        <v>14802.369999999999</v>
      </c>
      <c r="S33" s="27">
        <f t="shared" si="31"/>
        <v>2450</v>
      </c>
      <c r="T33" s="27">
        <f t="shared" si="31"/>
        <v>46.450000000000273</v>
      </c>
      <c r="U33" s="27">
        <f t="shared" si="31"/>
        <v>-136.01000000000022</v>
      </c>
      <c r="V33" s="27">
        <f t="shared" si="31"/>
        <v>351</v>
      </c>
      <c r="W33" s="27">
        <f t="shared" si="31"/>
        <v>761.42000000000007</v>
      </c>
    </row>
    <row r="34" spans="1:23" ht="20.25" customHeight="1">
      <c r="A34" s="9">
        <v>44676</v>
      </c>
      <c r="B34" s="10" t="s">
        <v>23</v>
      </c>
      <c r="C34" s="11">
        <v>7788.95</v>
      </c>
      <c r="D34" s="11">
        <v>2560.56</v>
      </c>
      <c r="E34" s="11">
        <v>0</v>
      </c>
      <c r="F34" s="11">
        <v>54</v>
      </c>
      <c r="G34" s="11">
        <v>115</v>
      </c>
      <c r="H34" s="11">
        <f t="shared" ref="H34:H39" si="32">SUM(C34:G34,P34)</f>
        <v>10648.51</v>
      </c>
      <c r="I34" s="11">
        <v>1992.07</v>
      </c>
      <c r="J34" s="11">
        <f>SUM(K34:N34)</f>
        <v>8894.18</v>
      </c>
      <c r="K34" s="11">
        <f>8566.44-84.03-20.02</f>
        <v>8462.39</v>
      </c>
      <c r="L34" s="11">
        <v>20.02</v>
      </c>
      <c r="M34" s="11">
        <v>84.03</v>
      </c>
      <c r="N34" s="11">
        <v>327.74</v>
      </c>
      <c r="O34" s="11">
        <v>431.51</v>
      </c>
      <c r="P34" s="33">
        <v>130</v>
      </c>
      <c r="Q34" s="33">
        <v>30</v>
      </c>
      <c r="R34" s="11">
        <v>1378.93</v>
      </c>
      <c r="S34" s="11">
        <v>350</v>
      </c>
      <c r="T34" s="31">
        <f t="shared" ref="T34:T35" si="33">SUM(O34,P34,Q34,R34)-I34</f>
        <v>-21.629999999999882</v>
      </c>
      <c r="U34" s="32">
        <f>SUM(I34+J34+W34)-(H34)</f>
        <v>327.73999999999978</v>
      </c>
      <c r="V34" s="33">
        <f t="shared" ref="V34:V39" si="34">SUM(G34-W34)</f>
        <v>25</v>
      </c>
      <c r="W34" s="33">
        <v>90</v>
      </c>
    </row>
    <row r="35" spans="1:23" ht="20.25" customHeight="1">
      <c r="A35" s="9">
        <v>44677</v>
      </c>
      <c r="B35" s="10" t="s">
        <v>24</v>
      </c>
      <c r="C35" s="11">
        <v>7323.53</v>
      </c>
      <c r="D35" s="11">
        <v>2986.89</v>
      </c>
      <c r="E35" s="11">
        <v>27.5</v>
      </c>
      <c r="F35" s="11">
        <v>51</v>
      </c>
      <c r="G35" s="11">
        <v>274.68</v>
      </c>
      <c r="H35" s="11">
        <f t="shared" si="32"/>
        <v>10663.6</v>
      </c>
      <c r="I35" s="11">
        <v>1939.53</v>
      </c>
      <c r="J35" s="11">
        <f t="shared" ref="J35:J39" si="35">SUM(K35:N35)</f>
        <v>8454.39</v>
      </c>
      <c r="K35" s="11">
        <f>8454.39-515.02</f>
        <v>7939.369999999999</v>
      </c>
      <c r="L35" s="11">
        <v>0</v>
      </c>
      <c r="M35" s="11">
        <v>0</v>
      </c>
      <c r="N35" s="11">
        <v>515.02</v>
      </c>
      <c r="O35" s="11">
        <v>0</v>
      </c>
      <c r="P35" s="33">
        <v>0</v>
      </c>
      <c r="Q35" s="33">
        <v>24</v>
      </c>
      <c r="R35" s="11">
        <v>1917.45</v>
      </c>
      <c r="S35" s="11">
        <v>350</v>
      </c>
      <c r="T35" s="31">
        <f t="shared" si="33"/>
        <v>1.9200000000000728</v>
      </c>
      <c r="U35" s="32">
        <f>SUM(I35+J35+W35)-(H35)</f>
        <v>0</v>
      </c>
      <c r="V35" s="33">
        <f t="shared" si="34"/>
        <v>5</v>
      </c>
      <c r="W35" s="33">
        <v>269.68</v>
      </c>
    </row>
    <row r="36" spans="1:23" ht="20.25" customHeight="1">
      <c r="A36" s="9">
        <v>44678</v>
      </c>
      <c r="B36" s="10" t="s">
        <v>25</v>
      </c>
      <c r="C36" s="11">
        <v>8272.5</v>
      </c>
      <c r="D36" s="11">
        <v>3125.79</v>
      </c>
      <c r="E36" s="11">
        <v>7</v>
      </c>
      <c r="F36" s="11">
        <v>58</v>
      </c>
      <c r="G36" s="11">
        <v>113.6</v>
      </c>
      <c r="H36" s="11">
        <f t="shared" si="32"/>
        <v>11696.890000000001</v>
      </c>
      <c r="I36" s="11">
        <v>2626.26</v>
      </c>
      <c r="J36" s="11">
        <f t="shared" si="35"/>
        <v>9003.6299999999992</v>
      </c>
      <c r="K36" s="11">
        <f>9003.63-146.93-123.92-345.15</f>
        <v>8387.6299999999992</v>
      </c>
      <c r="L36" s="11">
        <v>123.92</v>
      </c>
      <c r="M36" s="11">
        <v>146.93</v>
      </c>
      <c r="N36" s="11">
        <v>345.15</v>
      </c>
      <c r="O36" s="11">
        <v>0</v>
      </c>
      <c r="P36" s="33">
        <v>120</v>
      </c>
      <c r="Q36" s="33">
        <v>10</v>
      </c>
      <c r="R36" s="11">
        <v>2495.1799999999998</v>
      </c>
      <c r="S36" s="11">
        <v>350</v>
      </c>
      <c r="T36" s="31">
        <f t="shared" ref="T36:T39" si="36">SUM(O36,P36,Q36,R36)-I36</f>
        <v>-1.080000000000382</v>
      </c>
      <c r="U36" s="32">
        <f t="shared" ref="U36:U39" si="37">SUM(I36+J36+W36)-(H36)</f>
        <v>0</v>
      </c>
      <c r="V36" s="33">
        <f t="shared" si="34"/>
        <v>46.599999999999994</v>
      </c>
      <c r="W36" s="33">
        <v>67</v>
      </c>
    </row>
    <row r="37" spans="1:23" ht="20.25" customHeight="1">
      <c r="A37" s="9">
        <v>44679</v>
      </c>
      <c r="B37" s="10" t="s">
        <v>26</v>
      </c>
      <c r="C37" s="11">
        <v>6735.02</v>
      </c>
      <c r="D37" s="11">
        <v>3478.94</v>
      </c>
      <c r="E37" s="11">
        <v>5.5</v>
      </c>
      <c r="F37" s="11">
        <v>49</v>
      </c>
      <c r="G37" s="11">
        <v>130</v>
      </c>
      <c r="H37" s="11">
        <f t="shared" si="32"/>
        <v>10508.460000000001</v>
      </c>
      <c r="I37" s="11">
        <v>2575.1799999999998</v>
      </c>
      <c r="J37" s="11">
        <f t="shared" si="35"/>
        <v>7933.28</v>
      </c>
      <c r="K37" s="11">
        <f>7933.28-226.32-96.11</f>
        <v>7610.85</v>
      </c>
      <c r="L37" s="11">
        <v>0</v>
      </c>
      <c r="M37" s="11">
        <v>226.32</v>
      </c>
      <c r="N37" s="11">
        <v>96.11</v>
      </c>
      <c r="O37" s="11">
        <v>0</v>
      </c>
      <c r="P37" s="33">
        <v>110</v>
      </c>
      <c r="Q37" s="33">
        <v>53</v>
      </c>
      <c r="R37" s="11">
        <v>2238.65</v>
      </c>
      <c r="S37" s="11">
        <v>350</v>
      </c>
      <c r="T37" s="31">
        <f t="shared" si="36"/>
        <v>-173.52999999999975</v>
      </c>
      <c r="U37" s="32">
        <f t="shared" si="37"/>
        <v>0</v>
      </c>
      <c r="V37" s="33">
        <f t="shared" si="34"/>
        <v>130</v>
      </c>
      <c r="W37" s="33">
        <v>0</v>
      </c>
    </row>
    <row r="38" spans="1:23" ht="20.25" customHeight="1">
      <c r="A38" s="9">
        <v>44680</v>
      </c>
      <c r="B38" s="10" t="s">
        <v>20</v>
      </c>
      <c r="C38" s="11">
        <v>8592</v>
      </c>
      <c r="D38" s="11">
        <v>4830.83</v>
      </c>
      <c r="E38" s="11">
        <v>55</v>
      </c>
      <c r="F38" s="11">
        <v>71</v>
      </c>
      <c r="G38" s="11">
        <v>181.64</v>
      </c>
      <c r="H38" s="11">
        <f t="shared" si="32"/>
        <v>13849.47</v>
      </c>
      <c r="I38" s="11">
        <v>2907.77</v>
      </c>
      <c r="J38" s="11">
        <f t="shared" si="35"/>
        <v>10833.06</v>
      </c>
      <c r="K38" s="11">
        <f>10833.06-112.49</f>
        <v>10720.57</v>
      </c>
      <c r="L38" s="11">
        <v>112.49</v>
      </c>
      <c r="M38" s="11">
        <v>0</v>
      </c>
      <c r="N38" s="11">
        <v>0</v>
      </c>
      <c r="O38" s="11">
        <v>0</v>
      </c>
      <c r="P38" s="33">
        <v>119</v>
      </c>
      <c r="Q38" s="33">
        <v>33.299999999999997</v>
      </c>
      <c r="R38" s="11">
        <v>2934.7</v>
      </c>
      <c r="S38" s="11">
        <v>350</v>
      </c>
      <c r="T38" s="31">
        <f t="shared" si="36"/>
        <v>179.23000000000002</v>
      </c>
      <c r="U38" s="32">
        <f t="shared" si="37"/>
        <v>0</v>
      </c>
      <c r="V38" s="33">
        <f t="shared" si="34"/>
        <v>72.999999999999986</v>
      </c>
      <c r="W38" s="33">
        <v>108.64</v>
      </c>
    </row>
    <row r="39" spans="1:23" ht="20.25" customHeight="1">
      <c r="A39" s="9">
        <v>44681</v>
      </c>
      <c r="B39" s="10" t="s">
        <v>21</v>
      </c>
      <c r="C39" s="11">
        <v>7575.26</v>
      </c>
      <c r="D39" s="11">
        <v>4292.25</v>
      </c>
      <c r="E39" s="11">
        <v>4</v>
      </c>
      <c r="F39" s="11">
        <v>62</v>
      </c>
      <c r="G39" s="11">
        <v>188</v>
      </c>
      <c r="H39" s="11">
        <f t="shared" si="32"/>
        <v>12246.51</v>
      </c>
      <c r="I39" s="11">
        <v>2404.54</v>
      </c>
      <c r="J39" s="11">
        <f t="shared" si="35"/>
        <v>9708.9699999999993</v>
      </c>
      <c r="K39" s="11">
        <f>9708.97-28.99</f>
        <v>9679.98</v>
      </c>
      <c r="L39" s="11">
        <v>28.99</v>
      </c>
      <c r="M39" s="11">
        <v>0</v>
      </c>
      <c r="N39" s="11">
        <v>0</v>
      </c>
      <c r="O39" s="11">
        <v>590.11</v>
      </c>
      <c r="P39" s="33">
        <v>125</v>
      </c>
      <c r="Q39" s="33">
        <v>27</v>
      </c>
      <c r="R39" s="11">
        <v>1662.4</v>
      </c>
      <c r="S39" s="11">
        <v>350</v>
      </c>
      <c r="T39" s="31">
        <f t="shared" si="36"/>
        <v>-2.9999999999745341E-2</v>
      </c>
      <c r="U39" s="32">
        <f t="shared" si="37"/>
        <v>0</v>
      </c>
      <c r="V39" s="33">
        <f t="shared" si="34"/>
        <v>55</v>
      </c>
      <c r="W39" s="33">
        <v>133</v>
      </c>
    </row>
    <row r="40" spans="1:23" s="35" customFormat="1" ht="36.75" customHeight="1">
      <c r="A40" s="45"/>
      <c r="B40" s="46"/>
      <c r="C40" s="47">
        <f>SUM(C34:C39)</f>
        <v>46287.26</v>
      </c>
      <c r="D40" s="47">
        <f t="shared" ref="D40:W40" si="38">SUM(D34:D39)</f>
        <v>21275.260000000002</v>
      </c>
      <c r="E40" s="47">
        <f t="shared" si="38"/>
        <v>99</v>
      </c>
      <c r="F40" s="47">
        <f t="shared" si="38"/>
        <v>345</v>
      </c>
      <c r="G40" s="47">
        <f t="shared" si="38"/>
        <v>1002.92</v>
      </c>
      <c r="H40" s="47">
        <f t="shared" si="38"/>
        <v>69613.440000000002</v>
      </c>
      <c r="I40" s="47">
        <f t="shared" si="38"/>
        <v>14445.350000000002</v>
      </c>
      <c r="J40" s="47">
        <f t="shared" si="38"/>
        <v>54827.509999999995</v>
      </c>
      <c r="K40" s="47">
        <f t="shared" si="38"/>
        <v>52800.789999999994</v>
      </c>
      <c r="L40" s="47">
        <f t="shared" si="38"/>
        <v>285.42</v>
      </c>
      <c r="M40" s="47">
        <f t="shared" si="38"/>
        <v>457.28</v>
      </c>
      <c r="N40" s="47">
        <f t="shared" si="38"/>
        <v>1284.0199999999998</v>
      </c>
      <c r="O40" s="47">
        <f t="shared" si="38"/>
        <v>1021.62</v>
      </c>
      <c r="P40" s="47">
        <f t="shared" si="38"/>
        <v>604</v>
      </c>
      <c r="Q40" s="47">
        <f t="shared" si="38"/>
        <v>177.3</v>
      </c>
      <c r="R40" s="47">
        <f t="shared" si="38"/>
        <v>12627.31</v>
      </c>
      <c r="S40" s="47">
        <f t="shared" si="38"/>
        <v>2100</v>
      </c>
      <c r="T40" s="47">
        <f t="shared" si="38"/>
        <v>-15.119999999999663</v>
      </c>
      <c r="U40" s="47">
        <f t="shared" si="38"/>
        <v>327.73999999999978</v>
      </c>
      <c r="V40" s="47">
        <f t="shared" si="38"/>
        <v>334.59999999999997</v>
      </c>
      <c r="W40" s="47">
        <f t="shared" si="38"/>
        <v>668.32</v>
      </c>
    </row>
    <row r="41" spans="1:23" ht="51.75" customHeight="1">
      <c r="A41" s="67" t="s">
        <v>17</v>
      </c>
      <c r="B41" s="68"/>
      <c r="C41" s="30">
        <f>SUM(C40,C33,C25,C17,C9)</f>
        <v>240310</v>
      </c>
      <c r="D41" s="30">
        <f t="shared" ref="D41:W41" si="39">SUM(D40,D33,D25,D17,D9)</f>
        <v>111450.85</v>
      </c>
      <c r="E41" s="30">
        <f t="shared" si="39"/>
        <v>401</v>
      </c>
      <c r="F41" s="30">
        <f t="shared" si="39"/>
        <v>1663</v>
      </c>
      <c r="G41" s="30">
        <f t="shared" si="39"/>
        <v>5558.76</v>
      </c>
      <c r="H41" s="30">
        <f t="shared" si="39"/>
        <v>363518.82</v>
      </c>
      <c r="I41" s="30">
        <f t="shared" si="39"/>
        <v>79943.17</v>
      </c>
      <c r="J41" s="30">
        <f t="shared" si="39"/>
        <v>279929.06</v>
      </c>
      <c r="K41" s="30">
        <f t="shared" si="39"/>
        <v>268677.90999999997</v>
      </c>
      <c r="L41" s="30">
        <f t="shared" si="39"/>
        <v>755.52</v>
      </c>
      <c r="M41" s="30">
        <f t="shared" si="39"/>
        <v>4672.1900000000005</v>
      </c>
      <c r="N41" s="30">
        <f t="shared" si="39"/>
        <v>5823.4399999999987</v>
      </c>
      <c r="O41" s="30">
        <f t="shared" si="39"/>
        <v>5070.5099999999993</v>
      </c>
      <c r="P41" s="30">
        <f t="shared" si="39"/>
        <v>4135.21</v>
      </c>
      <c r="Q41" s="30">
        <f t="shared" si="39"/>
        <v>1058.5</v>
      </c>
      <c r="R41" s="30">
        <f t="shared" si="39"/>
        <v>69571.900000000009</v>
      </c>
      <c r="S41" s="30">
        <f t="shared" si="39"/>
        <v>11900</v>
      </c>
      <c r="T41" s="30">
        <f t="shared" si="39"/>
        <v>-107.04999999999927</v>
      </c>
      <c r="U41" s="30">
        <f t="shared" si="39"/>
        <v>-101.13000000000011</v>
      </c>
      <c r="V41" s="30">
        <f t="shared" si="39"/>
        <v>2013.2999999999997</v>
      </c>
      <c r="W41" s="30">
        <f t="shared" si="39"/>
        <v>3545.46</v>
      </c>
    </row>
    <row r="43" spans="1:23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</row>
    <row r="44" spans="1:23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</row>
    <row r="45" spans="1:23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</row>
    <row r="46" spans="1:23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</row>
    <row r="47" spans="1:23"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9" spans="1:23" hidden="1"/>
    <row r="50" spans="1:23" ht="18.75" hidden="1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3"/>
      <c r="Q50" s="33"/>
      <c r="R50" s="11"/>
      <c r="S50" s="11"/>
      <c r="T50" s="31"/>
      <c r="U50" s="32"/>
      <c r="V50" s="33"/>
      <c r="W50" s="33"/>
    </row>
    <row r="51" spans="1:23" ht="18.75" hidden="1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33"/>
      <c r="Q51" s="33"/>
      <c r="R51" s="11"/>
      <c r="S51" s="11"/>
      <c r="T51" s="31"/>
      <c r="U51" s="32"/>
      <c r="V51" s="33"/>
      <c r="W51" s="33"/>
    </row>
    <row r="52" spans="1:23" s="28" customFormat="1" ht="18.75" hidden="1">
      <c r="A52"/>
      <c r="B5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3"/>
      <c r="Q52" s="33"/>
      <c r="R52" s="11"/>
      <c r="S52" s="11"/>
      <c r="T52" s="31"/>
      <c r="U52" s="32"/>
      <c r="V52" s="33"/>
      <c r="W52" s="33"/>
    </row>
    <row r="53" spans="1:23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  <row r="54" spans="1:23" s="28" customFormat="1" hidden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</row>
    <row r="55" spans="1:23" s="28" customFormat="1" hidden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</sheetData>
  <mergeCells count="5">
    <mergeCell ref="A9:B9"/>
    <mergeCell ref="A17:B17"/>
    <mergeCell ref="A25:B25"/>
    <mergeCell ref="A33:B33"/>
    <mergeCell ref="A41:B41"/>
  </mergeCells>
  <conditionalFormatting sqref="T50:U52 T18:U24 T10:U16 T2:U8 T26:U32 T34:U39">
    <cfRule type="cellIs" dxfId="292" priority="14" operator="lessThan">
      <formula>0</formula>
    </cfRule>
    <cfRule type="cellIs" dxfId="291" priority="15" operator="greaterThan">
      <formula>0</formula>
    </cfRule>
  </conditionalFormatting>
  <conditionalFormatting sqref="T50:V52 T18:V24 T2:V8 T26:V32 T10:V16 T34:V39">
    <cfRule type="cellIs" dxfId="290" priority="11" operator="equal">
      <formula>0</formula>
    </cfRule>
    <cfRule type="cellIs" dxfId="289" priority="12" operator="lessThan">
      <formula>0</formula>
    </cfRule>
    <cfRule type="cellIs" dxfId="288" priority="13" operator="greaterThan">
      <formula>0</formula>
    </cfRule>
  </conditionalFormatting>
  <conditionalFormatting sqref="T2:U5">
    <cfRule type="cellIs" dxfId="287" priority="4" operator="lessThan">
      <formula>0</formula>
    </cfRule>
    <cfRule type="cellIs" dxfId="286" priority="5" operator="greaterThan">
      <formula>0</formula>
    </cfRule>
  </conditionalFormatting>
  <conditionalFormatting sqref="T2:V5">
    <cfRule type="cellIs" dxfId="285" priority="1" operator="equal">
      <formula>0</formula>
    </cfRule>
    <cfRule type="cellIs" dxfId="284" priority="2" operator="lessThan">
      <formula>0</formula>
    </cfRule>
    <cfRule type="cellIs" dxfId="283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T9:V9 T17:W17 T25:V25 T33:V33 H9:J9 H17:J17" formula="1"/>
  </ignoredErrors>
</worksheet>
</file>

<file path=xl/worksheets/sheet13.xml><?xml version="1.0" encoding="utf-8"?>
<worksheet xmlns="http://schemas.openxmlformats.org/spreadsheetml/2006/main" xmlns:r="http://schemas.openxmlformats.org/officeDocument/2006/relationships">
  <dimension ref="A1:X58"/>
  <sheetViews>
    <sheetView topLeftCell="B19" zoomScale="60" zoomScaleNormal="60" workbookViewId="0">
      <selection activeCell="B42" sqref="A42:XFD43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5.710937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20.85546875" customWidth="1"/>
    <col min="15" max="16" width="16.7109375" customWidth="1"/>
    <col min="17" max="17" width="14.28515625" customWidth="1"/>
    <col min="18" max="18" width="13" customWidth="1"/>
    <col min="19" max="19" width="14.85546875" customWidth="1"/>
    <col min="20" max="20" width="16.85546875" customWidth="1"/>
    <col min="21" max="21" width="18.42578125" customWidth="1"/>
    <col min="22" max="23" width="15.85546875" customWidth="1"/>
  </cols>
  <sheetData>
    <row r="1" spans="1:24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</row>
    <row r="2" spans="1:24" ht="20.25" customHeight="1">
      <c r="A2" s="9">
        <v>44676</v>
      </c>
      <c r="B2" s="10" t="s">
        <v>23</v>
      </c>
      <c r="C2" s="11">
        <v>7788.95</v>
      </c>
      <c r="D2" s="11">
        <v>2560.56</v>
      </c>
      <c r="E2" s="11">
        <v>0</v>
      </c>
      <c r="F2" s="11">
        <v>54</v>
      </c>
      <c r="G2" s="11">
        <v>115</v>
      </c>
      <c r="H2" s="11">
        <f t="shared" ref="H2:H7" si="0">SUM(C2:G2,P2)</f>
        <v>10648.51</v>
      </c>
      <c r="I2" s="11">
        <v>1992.07</v>
      </c>
      <c r="J2" s="11">
        <f>SUM(K2:N2)</f>
        <v>8566.44</v>
      </c>
      <c r="K2" s="11">
        <f>8566.44-84.03-20.02-327.74</f>
        <v>8134.65</v>
      </c>
      <c r="L2" s="11">
        <v>20.02</v>
      </c>
      <c r="M2" s="11">
        <v>84.03</v>
      </c>
      <c r="N2" s="11">
        <v>327.74</v>
      </c>
      <c r="O2" s="11">
        <v>431.51</v>
      </c>
      <c r="P2" s="33">
        <v>130</v>
      </c>
      <c r="Q2" s="33">
        <v>30</v>
      </c>
      <c r="R2" s="11">
        <v>1378.93</v>
      </c>
      <c r="S2" s="11">
        <v>350</v>
      </c>
      <c r="T2" s="31">
        <f t="shared" ref="T2:T7" si="1">SUM(O2,P2,Q2,R2)-I2</f>
        <v>-21.629999999999882</v>
      </c>
      <c r="U2" s="32">
        <f>SUM(I2+J2+W2)-(H2)</f>
        <v>0</v>
      </c>
      <c r="V2" s="33">
        <f t="shared" ref="V2:V7" si="2">SUM(G2-W2)</f>
        <v>25</v>
      </c>
      <c r="W2" s="33">
        <v>90</v>
      </c>
    </row>
    <row r="3" spans="1:24" ht="20.25" customHeight="1">
      <c r="A3" s="9">
        <v>44677</v>
      </c>
      <c r="B3" s="10" t="s">
        <v>24</v>
      </c>
      <c r="C3" s="11">
        <v>7323.53</v>
      </c>
      <c r="D3" s="11">
        <v>2986.89</v>
      </c>
      <c r="E3" s="11">
        <v>27.5</v>
      </c>
      <c r="F3" s="11">
        <v>51</v>
      </c>
      <c r="G3" s="11">
        <v>274.68</v>
      </c>
      <c r="H3" s="11">
        <f t="shared" si="0"/>
        <v>10663.6</v>
      </c>
      <c r="I3" s="11">
        <v>1939.53</v>
      </c>
      <c r="J3" s="11">
        <f t="shared" ref="J3:J7" si="3">SUM(K3:N3)</f>
        <v>8454.39</v>
      </c>
      <c r="K3" s="11">
        <f>8454.39-515.02</f>
        <v>7939.369999999999</v>
      </c>
      <c r="L3" s="11">
        <v>0</v>
      </c>
      <c r="M3" s="11">
        <v>0</v>
      </c>
      <c r="N3" s="11">
        <v>515.02</v>
      </c>
      <c r="O3" s="11">
        <v>0</v>
      </c>
      <c r="P3" s="33">
        <v>0</v>
      </c>
      <c r="Q3" s="33">
        <v>24</v>
      </c>
      <c r="R3" s="11">
        <v>1917.45</v>
      </c>
      <c r="S3" s="11">
        <v>350</v>
      </c>
      <c r="T3" s="31">
        <f t="shared" si="1"/>
        <v>1.9200000000000728</v>
      </c>
      <c r="U3" s="32">
        <f>SUM(I3+J3+W3)-(H3)</f>
        <v>0</v>
      </c>
      <c r="V3" s="33">
        <f t="shared" si="2"/>
        <v>5</v>
      </c>
      <c r="W3" s="33">
        <v>269.68</v>
      </c>
    </row>
    <row r="4" spans="1:24" ht="20.25" customHeight="1">
      <c r="A4" s="9">
        <v>44678</v>
      </c>
      <c r="B4" s="10" t="s">
        <v>25</v>
      </c>
      <c r="C4" s="11">
        <v>8272.5</v>
      </c>
      <c r="D4" s="11">
        <v>3125.79</v>
      </c>
      <c r="E4" s="11">
        <v>7</v>
      </c>
      <c r="F4" s="11">
        <v>58</v>
      </c>
      <c r="G4" s="11">
        <v>113.6</v>
      </c>
      <c r="H4" s="11">
        <f t="shared" si="0"/>
        <v>11696.890000000001</v>
      </c>
      <c r="I4" s="11">
        <v>2626.26</v>
      </c>
      <c r="J4" s="11">
        <f t="shared" si="3"/>
        <v>9003.6299999999992</v>
      </c>
      <c r="K4" s="11">
        <f>9003.63-146.93-123.92-345.15</f>
        <v>8387.6299999999992</v>
      </c>
      <c r="L4" s="11">
        <v>123.92</v>
      </c>
      <c r="M4" s="11">
        <v>146.93</v>
      </c>
      <c r="N4" s="11">
        <v>345.15</v>
      </c>
      <c r="O4" s="11">
        <v>0</v>
      </c>
      <c r="P4" s="33">
        <v>120</v>
      </c>
      <c r="Q4" s="33">
        <v>10</v>
      </c>
      <c r="R4" s="11">
        <v>2495.1799999999998</v>
      </c>
      <c r="S4" s="11">
        <v>350</v>
      </c>
      <c r="T4" s="31">
        <f t="shared" si="1"/>
        <v>-1.080000000000382</v>
      </c>
      <c r="U4" s="32">
        <f t="shared" ref="U4:U7" si="4">SUM(I4+J4+W4)-(H4)</f>
        <v>0</v>
      </c>
      <c r="V4" s="33">
        <f t="shared" si="2"/>
        <v>46.599999999999994</v>
      </c>
      <c r="W4" s="33">
        <v>67</v>
      </c>
    </row>
    <row r="5" spans="1:24" ht="20.25" customHeight="1">
      <c r="A5" s="9">
        <v>44679</v>
      </c>
      <c r="B5" s="10" t="s">
        <v>26</v>
      </c>
      <c r="C5" s="11">
        <v>6735.02</v>
      </c>
      <c r="D5" s="11">
        <v>3478.94</v>
      </c>
      <c r="E5" s="11">
        <v>5.5</v>
      </c>
      <c r="F5" s="11">
        <v>49</v>
      </c>
      <c r="G5" s="11">
        <v>130</v>
      </c>
      <c r="H5" s="11">
        <f t="shared" si="0"/>
        <v>10508.460000000001</v>
      </c>
      <c r="I5" s="11">
        <v>2575.1799999999998</v>
      </c>
      <c r="J5" s="11">
        <f t="shared" si="3"/>
        <v>7933.28</v>
      </c>
      <c r="K5" s="11">
        <f>7933.28-226.32-96.11</f>
        <v>7610.85</v>
      </c>
      <c r="L5" s="11">
        <v>0</v>
      </c>
      <c r="M5" s="11">
        <v>226.32</v>
      </c>
      <c r="N5" s="11">
        <v>96.11</v>
      </c>
      <c r="O5" s="11">
        <v>0</v>
      </c>
      <c r="P5" s="33">
        <v>110</v>
      </c>
      <c r="Q5" s="33">
        <v>53</v>
      </c>
      <c r="R5" s="11">
        <v>2238.65</v>
      </c>
      <c r="S5" s="11">
        <v>350</v>
      </c>
      <c r="T5" s="31">
        <f t="shared" si="1"/>
        <v>-173.52999999999975</v>
      </c>
      <c r="U5" s="32">
        <f t="shared" si="4"/>
        <v>0</v>
      </c>
      <c r="V5" s="33">
        <f t="shared" si="2"/>
        <v>130</v>
      </c>
      <c r="W5" s="33">
        <v>0</v>
      </c>
    </row>
    <row r="6" spans="1:24" ht="20.25" customHeight="1">
      <c r="A6" s="9">
        <v>44680</v>
      </c>
      <c r="B6" s="10" t="s">
        <v>20</v>
      </c>
      <c r="C6" s="11">
        <v>8592</v>
      </c>
      <c r="D6" s="11">
        <v>4830.83</v>
      </c>
      <c r="E6" s="11">
        <v>55</v>
      </c>
      <c r="F6" s="11">
        <v>71</v>
      </c>
      <c r="G6" s="11">
        <v>181.64</v>
      </c>
      <c r="H6" s="11">
        <f t="shared" si="0"/>
        <v>13849.47</v>
      </c>
      <c r="I6" s="11">
        <v>2907.77</v>
      </c>
      <c r="J6" s="11">
        <f t="shared" si="3"/>
        <v>10833.06</v>
      </c>
      <c r="K6" s="11">
        <f>10833.06-112.49</f>
        <v>10720.57</v>
      </c>
      <c r="L6" s="11">
        <v>112.49</v>
      </c>
      <c r="M6" s="11">
        <v>0</v>
      </c>
      <c r="N6" s="11">
        <v>0</v>
      </c>
      <c r="O6" s="11">
        <v>0</v>
      </c>
      <c r="P6" s="33">
        <v>119</v>
      </c>
      <c r="Q6" s="33">
        <v>33.299999999999997</v>
      </c>
      <c r="R6" s="11">
        <v>2934.7</v>
      </c>
      <c r="S6" s="11">
        <v>350</v>
      </c>
      <c r="T6" s="31">
        <f t="shared" si="1"/>
        <v>179.23000000000002</v>
      </c>
      <c r="U6" s="32">
        <f t="shared" si="4"/>
        <v>0</v>
      </c>
      <c r="V6" s="33">
        <f t="shared" si="2"/>
        <v>72.999999999999986</v>
      </c>
      <c r="W6" s="33">
        <v>108.64</v>
      </c>
    </row>
    <row r="7" spans="1:24" ht="20.25" customHeight="1">
      <c r="A7" s="9">
        <v>44681</v>
      </c>
      <c r="B7" s="10" t="s">
        <v>21</v>
      </c>
      <c r="C7" s="11">
        <v>7575.26</v>
      </c>
      <c r="D7" s="11">
        <v>4292.25</v>
      </c>
      <c r="E7" s="11">
        <v>4</v>
      </c>
      <c r="F7" s="11">
        <v>62</v>
      </c>
      <c r="G7" s="11">
        <v>188</v>
      </c>
      <c r="H7" s="11">
        <f t="shared" si="0"/>
        <v>12246.51</v>
      </c>
      <c r="I7" s="11">
        <v>2404.54</v>
      </c>
      <c r="J7" s="11">
        <f t="shared" si="3"/>
        <v>9708.9699999999993</v>
      </c>
      <c r="K7" s="11">
        <f>9708.97-28.99</f>
        <v>9679.98</v>
      </c>
      <c r="L7" s="11">
        <v>28.99</v>
      </c>
      <c r="M7" s="11">
        <v>0</v>
      </c>
      <c r="N7" s="11">
        <v>0</v>
      </c>
      <c r="O7" s="11">
        <v>590.11</v>
      </c>
      <c r="P7" s="33">
        <v>125</v>
      </c>
      <c r="Q7" s="33">
        <v>27</v>
      </c>
      <c r="R7" s="11">
        <v>1662.4</v>
      </c>
      <c r="S7" s="11">
        <v>350</v>
      </c>
      <c r="T7" s="31">
        <f t="shared" si="1"/>
        <v>-2.9999999999745341E-2</v>
      </c>
      <c r="U7" s="32">
        <f t="shared" si="4"/>
        <v>0</v>
      </c>
      <c r="V7" s="33">
        <f t="shared" si="2"/>
        <v>55</v>
      </c>
      <c r="W7" s="33">
        <v>133</v>
      </c>
    </row>
    <row r="8" spans="1:24" ht="18.75">
      <c r="A8" s="9">
        <v>44682</v>
      </c>
      <c r="B8" s="10" t="s">
        <v>22</v>
      </c>
      <c r="C8" s="11">
        <v>4985.45</v>
      </c>
      <c r="D8" s="11">
        <v>3745.43</v>
      </c>
      <c r="E8" s="11">
        <v>5</v>
      </c>
      <c r="F8" s="11">
        <v>120</v>
      </c>
      <c r="G8" s="11">
        <v>40</v>
      </c>
      <c r="H8" s="11">
        <f t="shared" ref="H8" si="5">SUM(C8:G8,P8)</f>
        <v>8980.9299999999985</v>
      </c>
      <c r="I8" s="11">
        <v>1612.32</v>
      </c>
      <c r="J8" s="11">
        <f t="shared" ref="J8" si="6">SUM(K8:N8)</f>
        <v>7328.61</v>
      </c>
      <c r="K8" s="11">
        <f>7328.61-124.7-10.01-74.81</f>
        <v>7119.0899999999992</v>
      </c>
      <c r="L8" s="11">
        <v>10.01</v>
      </c>
      <c r="M8" s="11">
        <v>124.7</v>
      </c>
      <c r="N8" s="11">
        <v>74.81</v>
      </c>
      <c r="O8" s="11">
        <v>0</v>
      </c>
      <c r="P8" s="33">
        <v>85.05</v>
      </c>
      <c r="Q8" s="33">
        <v>93.8</v>
      </c>
      <c r="R8" s="11">
        <v>1433.77</v>
      </c>
      <c r="S8" s="11">
        <v>350</v>
      </c>
      <c r="T8" s="31">
        <f t="shared" ref="T8" si="7">SUM(O8,P8,Q8,R8)-I8</f>
        <v>0.29999999999995453</v>
      </c>
      <c r="U8" s="32">
        <f t="shared" ref="U8" si="8">SUM(I8+J8+W8)-(H8)</f>
        <v>0</v>
      </c>
      <c r="V8" s="33">
        <f t="shared" ref="V8" si="9">SUM(G8-W8)</f>
        <v>0</v>
      </c>
      <c r="W8" s="33">
        <v>40</v>
      </c>
    </row>
    <row r="9" spans="1:24" ht="37.5" customHeight="1">
      <c r="A9" s="65" t="s">
        <v>27</v>
      </c>
      <c r="B9" s="66"/>
      <c r="C9" s="27">
        <f>SUM(C2:C8)</f>
        <v>51272.71</v>
      </c>
      <c r="D9" s="27">
        <f t="shared" ref="D9:W9" si="10">SUM(D2:D8)</f>
        <v>25020.690000000002</v>
      </c>
      <c r="E9" s="27">
        <f t="shared" si="10"/>
        <v>104</v>
      </c>
      <c r="F9" s="27">
        <f t="shared" si="10"/>
        <v>465</v>
      </c>
      <c r="G9" s="27">
        <f t="shared" si="10"/>
        <v>1042.92</v>
      </c>
      <c r="H9" s="27">
        <f t="shared" si="10"/>
        <v>78594.37</v>
      </c>
      <c r="I9" s="27">
        <f t="shared" si="10"/>
        <v>16057.670000000002</v>
      </c>
      <c r="J9" s="27">
        <f t="shared" si="10"/>
        <v>61828.38</v>
      </c>
      <c r="K9" s="27">
        <f t="shared" si="10"/>
        <v>59592.14</v>
      </c>
      <c r="L9" s="27">
        <f t="shared" si="10"/>
        <v>295.43</v>
      </c>
      <c r="M9" s="27">
        <f t="shared" si="10"/>
        <v>581.98</v>
      </c>
      <c r="N9" s="27">
        <f t="shared" si="10"/>
        <v>1358.8299999999997</v>
      </c>
      <c r="O9" s="27">
        <f t="shared" si="10"/>
        <v>1021.62</v>
      </c>
      <c r="P9" s="27">
        <f t="shared" si="10"/>
        <v>689.05</v>
      </c>
      <c r="Q9" s="27">
        <f t="shared" si="10"/>
        <v>271.10000000000002</v>
      </c>
      <c r="R9" s="27">
        <f t="shared" si="10"/>
        <v>14061.08</v>
      </c>
      <c r="S9" s="27">
        <f t="shared" si="10"/>
        <v>2450</v>
      </c>
      <c r="T9" s="27">
        <f t="shared" si="10"/>
        <v>-14.819999999999709</v>
      </c>
      <c r="U9" s="27">
        <f t="shared" si="10"/>
        <v>0</v>
      </c>
      <c r="V9" s="27">
        <f t="shared" si="10"/>
        <v>334.59999999999997</v>
      </c>
      <c r="W9" s="27">
        <f t="shared" si="10"/>
        <v>708.32</v>
      </c>
    </row>
    <row r="10" spans="1:24" ht="18.75">
      <c r="A10" s="9">
        <v>44683</v>
      </c>
      <c r="B10" s="10" t="s">
        <v>23</v>
      </c>
      <c r="C10" s="11">
        <v>6500.59</v>
      </c>
      <c r="D10" s="11">
        <v>3087.1</v>
      </c>
      <c r="E10" s="11">
        <v>13</v>
      </c>
      <c r="F10" s="11">
        <v>30</v>
      </c>
      <c r="G10" s="11">
        <v>138.5</v>
      </c>
      <c r="H10" s="11">
        <f t="shared" ref="H10:H16" si="11">SUM(C10:G10,P10)</f>
        <v>9859.19</v>
      </c>
      <c r="I10" s="11">
        <v>2123.66</v>
      </c>
      <c r="J10" s="11">
        <f>SUM(K10:N10)</f>
        <v>7555.04</v>
      </c>
      <c r="K10" s="11">
        <f>7555.04-130.55-1.39</f>
        <v>7423.0999999999995</v>
      </c>
      <c r="L10" s="11">
        <v>1.39</v>
      </c>
      <c r="M10" s="11">
        <v>130.55000000000001</v>
      </c>
      <c r="N10" s="11">
        <v>0</v>
      </c>
      <c r="O10" s="11">
        <v>75.099999999999994</v>
      </c>
      <c r="P10" s="33">
        <v>90</v>
      </c>
      <c r="Q10" s="33">
        <v>23</v>
      </c>
      <c r="R10" s="11">
        <v>1938.76</v>
      </c>
      <c r="S10" s="11">
        <v>350</v>
      </c>
      <c r="T10" s="31">
        <f t="shared" ref="T10:T16" si="12">SUM(O10,P10,Q10,R10)-I10</f>
        <v>3.2000000000002728</v>
      </c>
      <c r="U10" s="32">
        <f t="shared" ref="U10:U16" si="13">SUM(I10+J10+W10)-(H10)</f>
        <v>-68.989999999999782</v>
      </c>
      <c r="V10" s="33">
        <f t="shared" ref="V10:V16" si="14">SUM(G10-W10)</f>
        <v>27</v>
      </c>
      <c r="W10" s="33">
        <v>111.5</v>
      </c>
      <c r="X10" t="s">
        <v>67</v>
      </c>
    </row>
    <row r="11" spans="1:24" ht="18.75">
      <c r="A11" s="9">
        <v>44684</v>
      </c>
      <c r="B11" s="10" t="s">
        <v>24</v>
      </c>
      <c r="C11" s="11">
        <v>7759.19</v>
      </c>
      <c r="D11" s="11">
        <v>2779</v>
      </c>
      <c r="E11" s="11">
        <v>43</v>
      </c>
      <c r="F11" s="11">
        <v>27</v>
      </c>
      <c r="G11" s="11">
        <v>192.53</v>
      </c>
      <c r="H11" s="11">
        <f t="shared" si="11"/>
        <v>10851.72</v>
      </c>
      <c r="I11" s="11">
        <v>2173.75</v>
      </c>
      <c r="J11" s="11">
        <f t="shared" ref="J11:J16" si="15">SUM(K11:N11)</f>
        <v>8395.94</v>
      </c>
      <c r="K11" s="11">
        <f>8395.94-69.27-54.74-410.6</f>
        <v>7861.33</v>
      </c>
      <c r="L11" s="11">
        <v>54.74</v>
      </c>
      <c r="M11" s="11">
        <v>69.27</v>
      </c>
      <c r="N11" s="11">
        <v>410.6</v>
      </c>
      <c r="O11" s="11">
        <v>0</v>
      </c>
      <c r="P11" s="33">
        <v>51</v>
      </c>
      <c r="Q11" s="33">
        <v>16</v>
      </c>
      <c r="R11" s="11">
        <v>2093.23</v>
      </c>
      <c r="S11" s="11">
        <v>350</v>
      </c>
      <c r="T11" s="31">
        <f t="shared" si="12"/>
        <v>-13.519999999999982</v>
      </c>
      <c r="U11" s="32">
        <f t="shared" si="13"/>
        <v>-145.02999999999884</v>
      </c>
      <c r="V11" s="33">
        <f t="shared" si="14"/>
        <v>55.53</v>
      </c>
      <c r="W11" s="33">
        <v>137</v>
      </c>
    </row>
    <row r="12" spans="1:24" ht="18.75">
      <c r="A12" s="9">
        <v>44685</v>
      </c>
      <c r="B12" s="10" t="s">
        <v>25</v>
      </c>
      <c r="C12" s="11">
        <v>5837.95</v>
      </c>
      <c r="D12" s="11">
        <v>3050.37</v>
      </c>
      <c r="E12" s="11">
        <v>13</v>
      </c>
      <c r="F12" s="11">
        <v>62</v>
      </c>
      <c r="G12" s="11">
        <v>225</v>
      </c>
      <c r="H12" s="11">
        <f t="shared" si="11"/>
        <v>9193.32</v>
      </c>
      <c r="I12" s="11">
        <v>2017.78</v>
      </c>
      <c r="J12" s="11">
        <f t="shared" si="15"/>
        <v>6995.54</v>
      </c>
      <c r="K12" s="11">
        <f>6995.54-188.45-451.33</f>
        <v>6355.76</v>
      </c>
      <c r="L12" s="11">
        <v>0</v>
      </c>
      <c r="M12" s="11">
        <v>188.45</v>
      </c>
      <c r="N12" s="11">
        <v>451.33</v>
      </c>
      <c r="O12" s="11">
        <v>219.71</v>
      </c>
      <c r="P12" s="33">
        <v>5</v>
      </c>
      <c r="Q12" s="33">
        <v>17</v>
      </c>
      <c r="R12" s="11">
        <v>1768.7</v>
      </c>
      <c r="S12" s="11">
        <v>350</v>
      </c>
      <c r="T12" s="31">
        <f t="shared" si="12"/>
        <v>-7.3699999999998909</v>
      </c>
      <c r="U12" s="32">
        <f t="shared" si="13"/>
        <v>0</v>
      </c>
      <c r="V12" s="33">
        <f t="shared" si="14"/>
        <v>45</v>
      </c>
      <c r="W12" s="33">
        <v>180</v>
      </c>
    </row>
    <row r="13" spans="1:24" ht="18.75">
      <c r="A13" s="9">
        <v>44686</v>
      </c>
      <c r="B13" s="10" t="s">
        <v>26</v>
      </c>
      <c r="C13" s="11">
        <v>6394.21</v>
      </c>
      <c r="D13" s="11">
        <v>2904.21</v>
      </c>
      <c r="E13" s="11">
        <v>12.5</v>
      </c>
      <c r="F13" s="11">
        <v>30</v>
      </c>
      <c r="G13" s="11">
        <v>45</v>
      </c>
      <c r="H13" s="11">
        <f t="shared" si="11"/>
        <v>9442.92</v>
      </c>
      <c r="I13" s="11">
        <v>1977.15</v>
      </c>
      <c r="J13" s="11">
        <f t="shared" si="15"/>
        <v>7440.77</v>
      </c>
      <c r="K13" s="11">
        <f>7440.77-14</f>
        <v>7426.77</v>
      </c>
      <c r="L13" s="11">
        <v>0</v>
      </c>
      <c r="M13" s="11">
        <v>14</v>
      </c>
      <c r="N13" s="11">
        <v>0</v>
      </c>
      <c r="O13" s="11">
        <v>677.2</v>
      </c>
      <c r="P13" s="33">
        <v>57</v>
      </c>
      <c r="Q13" s="33">
        <v>0</v>
      </c>
      <c r="R13" s="11">
        <v>1244.79</v>
      </c>
      <c r="S13" s="11">
        <v>350</v>
      </c>
      <c r="T13" s="31">
        <f t="shared" si="12"/>
        <v>1.8399999999999181</v>
      </c>
      <c r="U13" s="32">
        <f t="shared" si="13"/>
        <v>0</v>
      </c>
      <c r="V13" s="33">
        <f t="shared" si="14"/>
        <v>20</v>
      </c>
      <c r="W13" s="33">
        <v>25</v>
      </c>
    </row>
    <row r="14" spans="1:24" ht="18.75">
      <c r="A14" s="9">
        <v>44687</v>
      </c>
      <c r="B14" s="10" t="s">
        <v>20</v>
      </c>
      <c r="C14" s="11">
        <v>6871.85</v>
      </c>
      <c r="D14" s="11">
        <v>3778.86</v>
      </c>
      <c r="E14" s="11">
        <v>54</v>
      </c>
      <c r="F14" s="11">
        <v>47</v>
      </c>
      <c r="G14" s="11">
        <v>0</v>
      </c>
      <c r="H14" s="11">
        <f t="shared" si="11"/>
        <v>10863.910000000002</v>
      </c>
      <c r="I14" s="11">
        <v>2186.8000000000002</v>
      </c>
      <c r="J14" s="11">
        <f t="shared" si="15"/>
        <v>8542.0399999999991</v>
      </c>
      <c r="K14" s="11">
        <f>8542.04-293.54-15.11-246.63</f>
        <v>7986.7599999999993</v>
      </c>
      <c r="L14" s="11">
        <v>15.11</v>
      </c>
      <c r="M14" s="11">
        <v>293.54000000000002</v>
      </c>
      <c r="N14" s="11">
        <v>246.63</v>
      </c>
      <c r="O14" s="11">
        <v>0</v>
      </c>
      <c r="P14" s="33">
        <v>112.2</v>
      </c>
      <c r="Q14" s="33">
        <v>51</v>
      </c>
      <c r="R14" s="11">
        <v>1984.14</v>
      </c>
      <c r="S14" s="11">
        <v>350</v>
      </c>
      <c r="T14" s="31">
        <f t="shared" si="12"/>
        <v>-39.460000000000036</v>
      </c>
      <c r="U14" s="32">
        <f t="shared" si="13"/>
        <v>-135.07000000000153</v>
      </c>
      <c r="V14" s="33">
        <f t="shared" si="14"/>
        <v>0</v>
      </c>
      <c r="W14" s="33">
        <v>0</v>
      </c>
      <c r="X14" t="s">
        <v>68</v>
      </c>
    </row>
    <row r="15" spans="1:24" ht="18.75">
      <c r="A15" s="9">
        <v>44688</v>
      </c>
      <c r="B15" s="10" t="s">
        <v>21</v>
      </c>
      <c r="C15" s="11">
        <v>5523.21</v>
      </c>
      <c r="D15" s="11">
        <v>4417.17</v>
      </c>
      <c r="E15" s="11">
        <v>26</v>
      </c>
      <c r="F15" s="11">
        <v>67</v>
      </c>
      <c r="G15" s="11">
        <v>0</v>
      </c>
      <c r="H15" s="11">
        <f t="shared" si="11"/>
        <v>10278.380000000001</v>
      </c>
      <c r="I15" s="11">
        <v>2843.92</v>
      </c>
      <c r="J15" s="11">
        <f t="shared" si="15"/>
        <v>7434.46</v>
      </c>
      <c r="K15" s="11">
        <f>7434.46-65.76</f>
        <v>7368.7</v>
      </c>
      <c r="L15" s="11">
        <v>0</v>
      </c>
      <c r="M15" s="11">
        <v>65.760000000000005</v>
      </c>
      <c r="N15" s="11">
        <v>0</v>
      </c>
      <c r="O15" s="11">
        <v>0</v>
      </c>
      <c r="P15" s="33">
        <v>245</v>
      </c>
      <c r="Q15" s="33">
        <v>22</v>
      </c>
      <c r="R15" s="11">
        <v>2524.89</v>
      </c>
      <c r="S15" s="11">
        <v>350</v>
      </c>
      <c r="T15" s="31">
        <f t="shared" si="12"/>
        <v>-52.0300000000002</v>
      </c>
      <c r="U15" s="32">
        <f t="shared" si="13"/>
        <v>0</v>
      </c>
      <c r="V15" s="33">
        <f t="shared" si="14"/>
        <v>0</v>
      </c>
      <c r="W15" s="33">
        <v>0</v>
      </c>
    </row>
    <row r="16" spans="1:24" ht="18.75">
      <c r="A16" s="9">
        <v>44689</v>
      </c>
      <c r="B16" s="10" t="s">
        <v>22</v>
      </c>
      <c r="C16" s="11">
        <v>5137.2299999999996</v>
      </c>
      <c r="D16" s="11">
        <v>3423.12</v>
      </c>
      <c r="E16" s="11">
        <v>0</v>
      </c>
      <c r="F16" s="11">
        <v>78</v>
      </c>
      <c r="G16" s="11">
        <v>0</v>
      </c>
      <c r="H16" s="11">
        <f t="shared" si="11"/>
        <v>8730.3499999999985</v>
      </c>
      <c r="I16" s="11">
        <v>1848.92</v>
      </c>
      <c r="J16" s="11">
        <f t="shared" si="15"/>
        <v>6878.43</v>
      </c>
      <c r="K16" s="11">
        <f>6878.43-90.71-89.91-54.82</f>
        <v>6642.9900000000007</v>
      </c>
      <c r="L16" s="11">
        <v>89.91</v>
      </c>
      <c r="M16" s="11">
        <v>90.71</v>
      </c>
      <c r="N16" s="11">
        <v>54.82</v>
      </c>
      <c r="O16" s="11">
        <v>0</v>
      </c>
      <c r="P16" s="33">
        <v>92</v>
      </c>
      <c r="Q16" s="33">
        <v>69</v>
      </c>
      <c r="R16" s="11">
        <v>1735.23</v>
      </c>
      <c r="S16" s="11">
        <v>350</v>
      </c>
      <c r="T16" s="31">
        <f t="shared" si="12"/>
        <v>47.309999999999945</v>
      </c>
      <c r="U16" s="32">
        <f t="shared" si="13"/>
        <v>-2.999999999998181</v>
      </c>
      <c r="V16" s="33">
        <f t="shared" si="14"/>
        <v>0</v>
      </c>
      <c r="W16" s="33">
        <v>0</v>
      </c>
    </row>
    <row r="17" spans="1:24" ht="37.5" customHeight="1">
      <c r="A17" s="65" t="s">
        <v>27</v>
      </c>
      <c r="B17" s="66"/>
      <c r="C17" s="27">
        <f>SUM(C10:C16)</f>
        <v>44024.229999999996</v>
      </c>
      <c r="D17" s="27">
        <f t="shared" ref="D17:W17" si="16">SUM(D10:D16)</f>
        <v>23439.829999999998</v>
      </c>
      <c r="E17" s="27">
        <f t="shared" si="16"/>
        <v>161.5</v>
      </c>
      <c r="F17" s="27">
        <f t="shared" si="16"/>
        <v>341</v>
      </c>
      <c r="G17" s="27">
        <f t="shared" si="16"/>
        <v>601.03</v>
      </c>
      <c r="H17" s="27">
        <f t="shared" si="16"/>
        <v>69219.790000000008</v>
      </c>
      <c r="I17" s="27">
        <f t="shared" si="16"/>
        <v>15171.98</v>
      </c>
      <c r="J17" s="27">
        <f t="shared" si="16"/>
        <v>53242.22</v>
      </c>
      <c r="K17" s="27">
        <f t="shared" si="16"/>
        <v>51065.409999999996</v>
      </c>
      <c r="L17" s="27">
        <f t="shared" si="16"/>
        <v>161.15</v>
      </c>
      <c r="M17" s="27">
        <f t="shared" si="16"/>
        <v>852.28</v>
      </c>
      <c r="N17" s="27">
        <f t="shared" si="16"/>
        <v>1163.3799999999999</v>
      </c>
      <c r="O17" s="27">
        <f t="shared" si="16"/>
        <v>972.01</v>
      </c>
      <c r="P17" s="27">
        <f t="shared" si="16"/>
        <v>652.20000000000005</v>
      </c>
      <c r="Q17" s="27">
        <f t="shared" si="16"/>
        <v>198</v>
      </c>
      <c r="R17" s="27">
        <f t="shared" si="16"/>
        <v>13289.739999999998</v>
      </c>
      <c r="S17" s="27">
        <f t="shared" si="16"/>
        <v>2450</v>
      </c>
      <c r="T17" s="27">
        <f t="shared" si="16"/>
        <v>-60.029999999999973</v>
      </c>
      <c r="U17" s="27">
        <f t="shared" si="16"/>
        <v>-352.08999999999833</v>
      </c>
      <c r="V17" s="27">
        <f t="shared" si="16"/>
        <v>147.53</v>
      </c>
      <c r="W17" s="27">
        <f t="shared" si="16"/>
        <v>453.5</v>
      </c>
    </row>
    <row r="18" spans="1:24" s="35" customFormat="1" ht="18.75">
      <c r="A18" s="9">
        <v>44690</v>
      </c>
      <c r="B18" s="10" t="s">
        <v>23</v>
      </c>
      <c r="C18" s="11">
        <v>7834.04</v>
      </c>
      <c r="D18" s="11">
        <v>2624.37</v>
      </c>
      <c r="E18" s="11">
        <v>11</v>
      </c>
      <c r="F18" s="11">
        <v>60</v>
      </c>
      <c r="G18" s="11">
        <v>0</v>
      </c>
      <c r="H18" s="11">
        <f t="shared" ref="H18:H24" si="17">SUM(C18:G18,P18)</f>
        <v>10579.41</v>
      </c>
      <c r="I18" s="11">
        <v>2090.46</v>
      </c>
      <c r="J18" s="11">
        <f>SUM(K18:N18)</f>
        <v>8501.94</v>
      </c>
      <c r="K18" s="11">
        <f>8501.94-284.77-175.35</f>
        <v>8041.82</v>
      </c>
      <c r="L18" s="11">
        <v>0</v>
      </c>
      <c r="M18" s="11">
        <v>284.77</v>
      </c>
      <c r="N18" s="11">
        <v>175.35</v>
      </c>
      <c r="O18" s="11">
        <v>202.63</v>
      </c>
      <c r="P18" s="33">
        <v>50</v>
      </c>
      <c r="Q18" s="33">
        <v>20</v>
      </c>
      <c r="R18" s="11">
        <v>1806.15</v>
      </c>
      <c r="S18" s="11">
        <v>350</v>
      </c>
      <c r="T18" s="31">
        <f t="shared" ref="T18:T24" si="18">SUM(O18,P18,Q18,R18)-I18</f>
        <v>-11.679999999999836</v>
      </c>
      <c r="U18" s="32">
        <f t="shared" ref="U18:U24" si="19">SUM(I18+J18+W18)-(H18)</f>
        <v>12.990000000001601</v>
      </c>
      <c r="V18" s="33">
        <f t="shared" ref="V18:V20" si="20">SUM(G18-W18)</f>
        <v>0</v>
      </c>
      <c r="W18" s="33">
        <v>0</v>
      </c>
    </row>
    <row r="19" spans="1:24" s="35" customFormat="1" ht="18.75">
      <c r="A19" s="9">
        <v>44691</v>
      </c>
      <c r="B19" s="10" t="s">
        <v>24</v>
      </c>
      <c r="C19" s="11">
        <v>6855.04</v>
      </c>
      <c r="D19" s="11">
        <v>2545.54</v>
      </c>
      <c r="E19" s="11">
        <v>49.5</v>
      </c>
      <c r="F19" s="11">
        <v>8</v>
      </c>
      <c r="G19" s="11">
        <v>0</v>
      </c>
      <c r="H19" s="11">
        <f t="shared" si="17"/>
        <v>9468.08</v>
      </c>
      <c r="I19" s="11">
        <v>1953.35</v>
      </c>
      <c r="J19" s="11">
        <f t="shared" ref="J19:J24" si="21">SUM(K19:N19)</f>
        <v>7514.73</v>
      </c>
      <c r="K19" s="11">
        <f>7514.73-165.25-413.11</f>
        <v>6936.37</v>
      </c>
      <c r="L19" s="11">
        <v>0</v>
      </c>
      <c r="M19" s="11">
        <v>165.25</v>
      </c>
      <c r="N19" s="11">
        <v>413.11</v>
      </c>
      <c r="O19" s="11">
        <v>518.44000000000005</v>
      </c>
      <c r="P19" s="33">
        <v>10</v>
      </c>
      <c r="Q19" s="33">
        <v>20</v>
      </c>
      <c r="R19" s="11">
        <v>1406.65</v>
      </c>
      <c r="S19" s="11">
        <v>350</v>
      </c>
      <c r="T19" s="31">
        <f t="shared" si="18"/>
        <v>1.7400000000002365</v>
      </c>
      <c r="U19" s="32">
        <f t="shared" si="19"/>
        <v>0</v>
      </c>
      <c r="V19" s="33">
        <f t="shared" si="20"/>
        <v>0</v>
      </c>
      <c r="W19" s="33">
        <v>0</v>
      </c>
    </row>
    <row r="20" spans="1:24" s="35" customFormat="1" ht="18.75">
      <c r="A20" s="9">
        <v>44692</v>
      </c>
      <c r="B20" s="10" t="s">
        <v>25</v>
      </c>
      <c r="C20" s="11">
        <v>6898.35</v>
      </c>
      <c r="D20" s="11">
        <v>2982.86</v>
      </c>
      <c r="E20" s="11">
        <v>16</v>
      </c>
      <c r="F20" s="11">
        <v>8</v>
      </c>
      <c r="G20" s="11">
        <v>0</v>
      </c>
      <c r="H20" s="11">
        <f t="shared" si="17"/>
        <v>9965.2100000000009</v>
      </c>
      <c r="I20" s="11">
        <v>2010.02</v>
      </c>
      <c r="J20" s="11">
        <f t="shared" si="21"/>
        <v>7855.17</v>
      </c>
      <c r="K20" s="11">
        <f>7855.17-24.92-689.9</f>
        <v>7140.35</v>
      </c>
      <c r="L20" s="11">
        <v>0</v>
      </c>
      <c r="M20" s="11">
        <v>24.92</v>
      </c>
      <c r="N20" s="11">
        <v>689.9</v>
      </c>
      <c r="O20" s="11">
        <v>227.16</v>
      </c>
      <c r="P20" s="33">
        <v>60</v>
      </c>
      <c r="Q20" s="33">
        <v>10</v>
      </c>
      <c r="R20" s="11">
        <v>1709.81</v>
      </c>
      <c r="S20" s="11">
        <v>350</v>
      </c>
      <c r="T20" s="31">
        <f t="shared" si="18"/>
        <v>-3.0500000000001819</v>
      </c>
      <c r="U20" s="32">
        <f t="shared" si="19"/>
        <v>-100.02000000000044</v>
      </c>
      <c r="V20" s="33">
        <f t="shared" si="20"/>
        <v>0</v>
      </c>
      <c r="W20" s="33">
        <v>0</v>
      </c>
      <c r="X20" s="35" t="s">
        <v>69</v>
      </c>
    </row>
    <row r="21" spans="1:24" s="35" customFormat="1" ht="18.75">
      <c r="A21" s="9">
        <v>44693</v>
      </c>
      <c r="B21" s="10" t="s">
        <v>26</v>
      </c>
      <c r="C21" s="11">
        <v>7057.16</v>
      </c>
      <c r="D21" s="11">
        <f>2768.91+12.99</f>
        <v>2781.8999999999996</v>
      </c>
      <c r="E21" s="11">
        <v>4</v>
      </c>
      <c r="F21" s="11">
        <v>42</v>
      </c>
      <c r="G21" s="11">
        <v>0</v>
      </c>
      <c r="H21" s="11">
        <f t="shared" si="17"/>
        <v>9935.06</v>
      </c>
      <c r="I21" s="11">
        <v>2099.9</v>
      </c>
      <c r="J21" s="11">
        <f t="shared" si="21"/>
        <v>7835.16</v>
      </c>
      <c r="K21" s="11">
        <f>7835.16-72.14-80.06-168.25</f>
        <v>7514.7099999999991</v>
      </c>
      <c r="L21" s="11">
        <v>80.06</v>
      </c>
      <c r="M21" s="11">
        <v>72.14</v>
      </c>
      <c r="N21" s="11">
        <v>168.25</v>
      </c>
      <c r="O21" s="11">
        <v>0</v>
      </c>
      <c r="P21" s="33">
        <v>50</v>
      </c>
      <c r="Q21" s="33">
        <v>2</v>
      </c>
      <c r="R21" s="11">
        <v>1867.8</v>
      </c>
      <c r="S21" s="11">
        <v>350</v>
      </c>
      <c r="T21" s="31">
        <f t="shared" si="18"/>
        <v>-180.10000000000014</v>
      </c>
      <c r="U21" s="32">
        <f t="shared" si="19"/>
        <v>0</v>
      </c>
      <c r="V21" s="33">
        <f t="shared" ref="V21:V24" si="22">SUM(G21-W21)</f>
        <v>0</v>
      </c>
      <c r="W21" s="33">
        <v>0</v>
      </c>
    </row>
    <row r="22" spans="1:24" s="35" customFormat="1" ht="18.75">
      <c r="A22" s="9">
        <v>44694</v>
      </c>
      <c r="B22" s="10" t="s">
        <v>20</v>
      </c>
      <c r="C22" s="11">
        <v>8328.56</v>
      </c>
      <c r="D22" s="11">
        <v>4446.34</v>
      </c>
      <c r="E22" s="11">
        <v>33.5</v>
      </c>
      <c r="F22" s="11">
        <v>50</v>
      </c>
      <c r="G22" s="11">
        <v>0</v>
      </c>
      <c r="H22" s="11">
        <f t="shared" si="17"/>
        <v>12969.89</v>
      </c>
      <c r="I22" s="43">
        <v>2714.02</v>
      </c>
      <c r="J22" s="11">
        <f t="shared" si="21"/>
        <v>10255.49</v>
      </c>
      <c r="K22" s="11">
        <f>10255.49-70.64-383.4</f>
        <v>9801.4500000000007</v>
      </c>
      <c r="L22" s="11">
        <v>0</v>
      </c>
      <c r="M22" s="11">
        <v>70.64</v>
      </c>
      <c r="N22" s="11">
        <v>383.4</v>
      </c>
      <c r="O22" s="11">
        <v>0</v>
      </c>
      <c r="P22" s="33">
        <v>111.49</v>
      </c>
      <c r="Q22" s="33">
        <v>24.6</v>
      </c>
      <c r="R22" s="11">
        <v>2799.92</v>
      </c>
      <c r="S22" s="11">
        <v>350</v>
      </c>
      <c r="T22" s="31">
        <f t="shared" si="18"/>
        <v>221.99000000000024</v>
      </c>
      <c r="U22" s="32">
        <f t="shared" si="19"/>
        <v>-0.37999999999919964</v>
      </c>
      <c r="V22" s="33">
        <f t="shared" si="22"/>
        <v>0</v>
      </c>
      <c r="W22" s="33">
        <v>0</v>
      </c>
    </row>
    <row r="23" spans="1:24" s="35" customFormat="1" ht="18.75">
      <c r="A23" s="9">
        <v>44695</v>
      </c>
      <c r="B23" s="10" t="s">
        <v>21</v>
      </c>
      <c r="C23" s="11">
        <v>7437.98</v>
      </c>
      <c r="D23" s="11">
        <v>5218.1499999999996</v>
      </c>
      <c r="E23" s="11">
        <v>30</v>
      </c>
      <c r="F23" s="11">
        <v>34</v>
      </c>
      <c r="G23" s="11">
        <v>0</v>
      </c>
      <c r="H23" s="11">
        <f t="shared" si="17"/>
        <v>12780.13</v>
      </c>
      <c r="I23" s="11">
        <v>3025.84</v>
      </c>
      <c r="J23" s="11">
        <f t="shared" si="21"/>
        <v>9653.7099999999991</v>
      </c>
      <c r="K23" s="11">
        <f>9653.71</f>
        <v>9653.7099999999991</v>
      </c>
      <c r="L23" s="11">
        <v>0</v>
      </c>
      <c r="M23" s="11">
        <v>0</v>
      </c>
      <c r="N23" s="11">
        <v>0</v>
      </c>
      <c r="O23" s="11">
        <v>0</v>
      </c>
      <c r="P23" s="33">
        <v>60</v>
      </c>
      <c r="Q23" s="33">
        <v>16</v>
      </c>
      <c r="R23" s="11">
        <v>2974.08</v>
      </c>
      <c r="S23" s="11">
        <v>350</v>
      </c>
      <c r="T23" s="31">
        <f t="shared" si="18"/>
        <v>24.239999999999782</v>
      </c>
      <c r="U23" s="32">
        <f t="shared" si="19"/>
        <v>-100.57999999999993</v>
      </c>
      <c r="V23" s="33">
        <f t="shared" si="22"/>
        <v>0</v>
      </c>
      <c r="W23" s="33">
        <v>0</v>
      </c>
    </row>
    <row r="24" spans="1:24" s="35" customFormat="1" ht="18.75">
      <c r="A24" s="9">
        <v>44696</v>
      </c>
      <c r="B24" s="10" t="s">
        <v>22</v>
      </c>
      <c r="C24" s="11">
        <v>6085.84</v>
      </c>
      <c r="D24" s="11">
        <v>3143.68</v>
      </c>
      <c r="E24" s="11">
        <v>6</v>
      </c>
      <c r="F24" s="11">
        <v>39</v>
      </c>
      <c r="G24" s="11">
        <v>0</v>
      </c>
      <c r="H24" s="11">
        <f t="shared" si="17"/>
        <v>9324.52</v>
      </c>
      <c r="I24" s="11">
        <v>1935.13</v>
      </c>
      <c r="J24" s="11">
        <f t="shared" si="21"/>
        <v>7389.39</v>
      </c>
      <c r="K24" s="11">
        <f>7389.39-57.84-271.61</f>
        <v>7059.9400000000005</v>
      </c>
      <c r="L24" s="11">
        <v>0</v>
      </c>
      <c r="M24" s="11">
        <v>57.84</v>
      </c>
      <c r="N24" s="11">
        <v>271.61</v>
      </c>
      <c r="O24" s="11">
        <v>0</v>
      </c>
      <c r="P24" s="33">
        <v>50</v>
      </c>
      <c r="Q24" s="33">
        <v>34</v>
      </c>
      <c r="R24" s="11">
        <v>1850.82</v>
      </c>
      <c r="S24" s="11">
        <v>350</v>
      </c>
      <c r="T24" s="31">
        <f t="shared" si="18"/>
        <v>-0.3100000000001728</v>
      </c>
      <c r="U24" s="32">
        <f t="shared" si="19"/>
        <v>0</v>
      </c>
      <c r="V24" s="33">
        <f t="shared" si="22"/>
        <v>0</v>
      </c>
      <c r="W24" s="33">
        <v>0</v>
      </c>
    </row>
    <row r="25" spans="1:24" ht="37.5" customHeight="1">
      <c r="A25" s="65" t="s">
        <v>27</v>
      </c>
      <c r="B25" s="66"/>
      <c r="C25" s="27">
        <f>SUM(C18:C24)</f>
        <v>50496.97</v>
      </c>
      <c r="D25" s="27">
        <f t="shared" ref="D25:W25" si="23">SUM(D18:D24)</f>
        <v>23742.84</v>
      </c>
      <c r="E25" s="27">
        <f t="shared" si="23"/>
        <v>150</v>
      </c>
      <c r="F25" s="27">
        <f t="shared" si="23"/>
        <v>241</v>
      </c>
      <c r="G25" s="27">
        <f t="shared" si="23"/>
        <v>0</v>
      </c>
      <c r="H25" s="27">
        <f t="shared" si="23"/>
        <v>75022.3</v>
      </c>
      <c r="I25" s="27">
        <f t="shared" si="23"/>
        <v>15828.720000000001</v>
      </c>
      <c r="J25" s="27">
        <f t="shared" si="23"/>
        <v>59005.59</v>
      </c>
      <c r="K25" s="27">
        <f t="shared" si="23"/>
        <v>56148.35</v>
      </c>
      <c r="L25" s="27">
        <f t="shared" si="23"/>
        <v>80.06</v>
      </c>
      <c r="M25" s="27">
        <f t="shared" si="23"/>
        <v>675.56000000000006</v>
      </c>
      <c r="N25" s="27">
        <f t="shared" si="23"/>
        <v>2101.6200000000003</v>
      </c>
      <c r="O25" s="27">
        <f t="shared" si="23"/>
        <v>948.23</v>
      </c>
      <c r="P25" s="27">
        <f t="shared" si="23"/>
        <v>391.49</v>
      </c>
      <c r="Q25" s="27">
        <f t="shared" si="23"/>
        <v>126.6</v>
      </c>
      <c r="R25" s="27">
        <f t="shared" si="23"/>
        <v>14415.230000000001</v>
      </c>
      <c r="S25" s="27">
        <f t="shared" si="23"/>
        <v>2450</v>
      </c>
      <c r="T25" s="27">
        <f t="shared" si="23"/>
        <v>52.829999999999927</v>
      </c>
      <c r="U25" s="27">
        <f t="shared" si="23"/>
        <v>-187.98999999999796</v>
      </c>
      <c r="V25" s="27">
        <f t="shared" si="23"/>
        <v>0</v>
      </c>
      <c r="W25" s="27">
        <f t="shared" si="23"/>
        <v>0</v>
      </c>
    </row>
    <row r="26" spans="1:24" s="35" customFormat="1" ht="18.75">
      <c r="A26" s="9">
        <v>44697</v>
      </c>
      <c r="B26" s="10" t="s">
        <v>23</v>
      </c>
      <c r="C26" s="11">
        <v>6913.5</v>
      </c>
      <c r="D26" s="11">
        <v>2736.95</v>
      </c>
      <c r="E26" s="11">
        <v>0</v>
      </c>
      <c r="F26" s="11">
        <v>5</v>
      </c>
      <c r="G26" s="11">
        <v>0</v>
      </c>
      <c r="H26" s="11">
        <f t="shared" ref="H26:H32" si="24">SUM(C26:G26,P26)</f>
        <v>9660.4500000000007</v>
      </c>
      <c r="I26" s="11">
        <v>2347.02</v>
      </c>
      <c r="J26" s="11">
        <f>SUM(K26:N26)</f>
        <v>7288.13</v>
      </c>
      <c r="K26" s="11">
        <f>7288.13-41.59-446.97</f>
        <v>6799.57</v>
      </c>
      <c r="L26" s="11">
        <v>0</v>
      </c>
      <c r="M26" s="11">
        <v>41.59</v>
      </c>
      <c r="N26" s="11">
        <v>446.97</v>
      </c>
      <c r="O26" s="11">
        <v>85.3</v>
      </c>
      <c r="P26" s="33">
        <v>5</v>
      </c>
      <c r="Q26" s="33">
        <v>7</v>
      </c>
      <c r="R26" s="11">
        <v>2244.9</v>
      </c>
      <c r="S26" s="11">
        <v>350</v>
      </c>
      <c r="T26" s="31">
        <f t="shared" ref="T26:T32" si="25">SUM(O26,P26,Q26,R26)-I26</f>
        <v>-4.819999999999709</v>
      </c>
      <c r="U26" s="32">
        <f>SUM(I26+J26+W26)-(H26)</f>
        <v>-25.300000000001091</v>
      </c>
      <c r="V26" s="33">
        <f t="shared" ref="V26:V32" si="26">SUM(G26-W26)</f>
        <v>0</v>
      </c>
      <c r="W26" s="33">
        <v>0</v>
      </c>
    </row>
    <row r="27" spans="1:24" s="35" customFormat="1" ht="18.75">
      <c r="A27" s="9">
        <v>44698</v>
      </c>
      <c r="B27" s="10" t="s">
        <v>24</v>
      </c>
      <c r="C27" s="11">
        <v>6575.35</v>
      </c>
      <c r="D27" s="11">
        <v>3194.28</v>
      </c>
      <c r="E27" s="11">
        <v>2.5</v>
      </c>
      <c r="F27" s="11">
        <v>23</v>
      </c>
      <c r="G27" s="11">
        <v>0</v>
      </c>
      <c r="H27" s="11">
        <f t="shared" si="24"/>
        <v>9910.130000000001</v>
      </c>
      <c r="I27" s="11">
        <v>2304.4899999999998</v>
      </c>
      <c r="J27" s="11">
        <f t="shared" ref="J27:J32" si="27">SUM(K27:N27)</f>
        <v>7555.61</v>
      </c>
      <c r="K27" s="11">
        <f>7107.65-50.03</f>
        <v>7057.62</v>
      </c>
      <c r="L27" s="11">
        <v>50.03</v>
      </c>
      <c r="M27" s="11">
        <v>123.18</v>
      </c>
      <c r="N27" s="11">
        <v>324.77999999999997</v>
      </c>
      <c r="O27" s="11">
        <v>438.71</v>
      </c>
      <c r="P27" s="33">
        <v>115</v>
      </c>
      <c r="Q27" s="33">
        <v>35</v>
      </c>
      <c r="R27" s="11">
        <v>1682.57</v>
      </c>
      <c r="S27" s="11">
        <v>350</v>
      </c>
      <c r="T27" s="31">
        <f t="shared" si="25"/>
        <v>-33.210000000000036</v>
      </c>
      <c r="U27" s="32">
        <f>SUM(I27+J27+W27)-(H27)</f>
        <v>-50.030000000002474</v>
      </c>
      <c r="V27" s="33">
        <f t="shared" si="26"/>
        <v>0</v>
      </c>
      <c r="W27" s="33">
        <v>0</v>
      </c>
      <c r="X27" s="35" t="s">
        <v>70</v>
      </c>
    </row>
    <row r="28" spans="1:24" s="35" customFormat="1" ht="18.75">
      <c r="A28" s="9">
        <v>44699</v>
      </c>
      <c r="B28" s="10" t="s">
        <v>25</v>
      </c>
      <c r="C28" s="11">
        <v>6853.35</v>
      </c>
      <c r="D28" s="11">
        <v>3008.13</v>
      </c>
      <c r="E28" s="11">
        <v>7.5</v>
      </c>
      <c r="F28" s="11">
        <v>50</v>
      </c>
      <c r="G28" s="11">
        <v>0</v>
      </c>
      <c r="H28" s="11">
        <f t="shared" si="24"/>
        <v>10019.98</v>
      </c>
      <c r="I28" s="11">
        <v>2395.75</v>
      </c>
      <c r="J28" s="11">
        <f t="shared" si="27"/>
        <v>7624.23</v>
      </c>
      <c r="K28" s="11">
        <f>7624.23-369.41-514.92</f>
        <v>6739.9</v>
      </c>
      <c r="L28" s="11">
        <v>0</v>
      </c>
      <c r="M28" s="11">
        <v>369.41</v>
      </c>
      <c r="N28" s="11">
        <v>514.91999999999996</v>
      </c>
      <c r="O28" s="11">
        <v>0</v>
      </c>
      <c r="P28" s="33">
        <v>101</v>
      </c>
      <c r="Q28" s="33">
        <v>39</v>
      </c>
      <c r="R28" s="11">
        <v>2301.31</v>
      </c>
      <c r="S28" s="11">
        <v>350</v>
      </c>
      <c r="T28" s="31">
        <f t="shared" si="25"/>
        <v>45.559999999999945</v>
      </c>
      <c r="U28" s="32">
        <f t="shared" ref="U28:U32" si="28">SUM(I28+J28+W28)-(H28)</f>
        <v>0</v>
      </c>
      <c r="V28" s="33">
        <f t="shared" si="26"/>
        <v>0</v>
      </c>
      <c r="W28" s="33">
        <v>0</v>
      </c>
    </row>
    <row r="29" spans="1:24" s="35" customFormat="1" ht="18.75">
      <c r="A29" s="9">
        <v>44700</v>
      </c>
      <c r="B29" s="10" t="s">
        <v>26</v>
      </c>
      <c r="C29" s="11">
        <v>7843.61</v>
      </c>
      <c r="D29" s="11">
        <v>3417.72</v>
      </c>
      <c r="E29" s="11">
        <v>0</v>
      </c>
      <c r="F29" s="11">
        <v>16</v>
      </c>
      <c r="G29" s="11">
        <v>0</v>
      </c>
      <c r="H29" s="11">
        <f t="shared" si="24"/>
        <v>11323.33</v>
      </c>
      <c r="I29" s="11">
        <v>1922.67</v>
      </c>
      <c r="J29" s="11">
        <f t="shared" si="27"/>
        <v>9400.66</v>
      </c>
      <c r="K29" s="11">
        <f>9400.66-215.21-305.44</f>
        <v>8880.01</v>
      </c>
      <c r="L29" s="11">
        <v>0</v>
      </c>
      <c r="M29" s="11">
        <v>305.44</v>
      </c>
      <c r="N29" s="11">
        <v>215.21</v>
      </c>
      <c r="O29" s="11">
        <v>668.18</v>
      </c>
      <c r="P29" s="33">
        <v>46</v>
      </c>
      <c r="Q29" s="33">
        <v>0</v>
      </c>
      <c r="R29" s="11">
        <v>1207.76</v>
      </c>
      <c r="S29" s="11">
        <v>350</v>
      </c>
      <c r="T29" s="31">
        <f t="shared" si="25"/>
        <v>-0.73000000000001819</v>
      </c>
      <c r="U29" s="32">
        <f t="shared" si="28"/>
        <v>0</v>
      </c>
      <c r="V29" s="33">
        <f t="shared" si="26"/>
        <v>0</v>
      </c>
      <c r="W29" s="33">
        <v>0</v>
      </c>
    </row>
    <row r="30" spans="1:24" s="35" customFormat="1" ht="18.75">
      <c r="A30" s="9">
        <v>44701</v>
      </c>
      <c r="B30" s="10" t="s">
        <v>20</v>
      </c>
      <c r="C30" s="11">
        <v>7256.77</v>
      </c>
      <c r="D30" s="11">
        <v>4468.42</v>
      </c>
      <c r="E30" s="11">
        <v>7.5</v>
      </c>
      <c r="F30" s="11">
        <v>83</v>
      </c>
      <c r="G30" s="11">
        <v>0</v>
      </c>
      <c r="H30" s="11">
        <f t="shared" si="24"/>
        <v>11880.69</v>
      </c>
      <c r="I30" s="11">
        <v>2460.91</v>
      </c>
      <c r="J30" s="11">
        <f t="shared" si="27"/>
        <v>9369.77</v>
      </c>
      <c r="K30" s="11">
        <f>9369.77-155.19-162.79</f>
        <v>9051.7899999999991</v>
      </c>
      <c r="L30" s="11">
        <v>0</v>
      </c>
      <c r="M30" s="11">
        <v>155.19</v>
      </c>
      <c r="N30" s="11">
        <v>162.79</v>
      </c>
      <c r="O30" s="11">
        <v>0</v>
      </c>
      <c r="P30" s="33">
        <v>65</v>
      </c>
      <c r="Q30" s="33">
        <v>63</v>
      </c>
      <c r="R30" s="11">
        <v>2335.25</v>
      </c>
      <c r="S30" s="11">
        <v>350</v>
      </c>
      <c r="T30" s="31">
        <f t="shared" si="25"/>
        <v>2.3400000000001455</v>
      </c>
      <c r="U30" s="32">
        <f t="shared" si="28"/>
        <v>-50.010000000000218</v>
      </c>
      <c r="V30" s="33">
        <f t="shared" si="26"/>
        <v>0</v>
      </c>
      <c r="W30" s="33">
        <v>0</v>
      </c>
      <c r="X30" s="35" t="s">
        <v>71</v>
      </c>
    </row>
    <row r="31" spans="1:24" s="35" customFormat="1" ht="18.75">
      <c r="A31" s="9">
        <v>44702</v>
      </c>
      <c r="B31" s="10" t="s">
        <v>21</v>
      </c>
      <c r="C31" s="11">
        <v>5941.94</v>
      </c>
      <c r="D31" s="11">
        <v>3928.54</v>
      </c>
      <c r="E31" s="11">
        <v>4</v>
      </c>
      <c r="F31" s="11">
        <v>63</v>
      </c>
      <c r="G31" s="11">
        <v>0</v>
      </c>
      <c r="H31" s="11">
        <f t="shared" si="24"/>
        <v>10037.48</v>
      </c>
      <c r="I31" s="11">
        <v>2311.12</v>
      </c>
      <c r="J31" s="11">
        <f t="shared" si="27"/>
        <v>7725.16</v>
      </c>
      <c r="K31" s="11">
        <f>7725.16-61.33-10.59-90</f>
        <v>7563.24</v>
      </c>
      <c r="L31" s="11">
        <v>10.59</v>
      </c>
      <c r="M31" s="11">
        <v>61.33</v>
      </c>
      <c r="N31" s="11">
        <v>90</v>
      </c>
      <c r="O31" s="11">
        <v>0</v>
      </c>
      <c r="P31" s="33">
        <v>100</v>
      </c>
      <c r="Q31" s="33">
        <v>23</v>
      </c>
      <c r="R31" s="11">
        <v>2181.9</v>
      </c>
      <c r="S31" s="11">
        <v>350</v>
      </c>
      <c r="T31" s="31">
        <f t="shared" si="25"/>
        <v>-6.2199999999997999</v>
      </c>
      <c r="U31" s="32">
        <f t="shared" si="28"/>
        <v>-1.2000000000007276</v>
      </c>
      <c r="V31" s="33">
        <f t="shared" si="26"/>
        <v>0</v>
      </c>
      <c r="W31" s="33">
        <v>0</v>
      </c>
    </row>
    <row r="32" spans="1:24" s="35" customFormat="1" ht="18.75">
      <c r="A32" s="9">
        <v>44703</v>
      </c>
      <c r="B32" s="10" t="s">
        <v>22</v>
      </c>
      <c r="C32" s="11">
        <v>5941.79</v>
      </c>
      <c r="D32" s="11">
        <v>3233.85</v>
      </c>
      <c r="E32" s="11">
        <v>0</v>
      </c>
      <c r="F32" s="11">
        <v>27</v>
      </c>
      <c r="G32" s="11">
        <v>0</v>
      </c>
      <c r="H32" s="11">
        <f t="shared" si="24"/>
        <v>9267.64</v>
      </c>
      <c r="I32" s="11">
        <v>2474.42</v>
      </c>
      <c r="J32" s="11">
        <f t="shared" si="27"/>
        <v>6791.32</v>
      </c>
      <c r="K32" s="11">
        <f>6791.32-20.01-276.23</f>
        <v>6495.08</v>
      </c>
      <c r="L32" s="11">
        <v>20.010000000000002</v>
      </c>
      <c r="M32" s="11">
        <v>0</v>
      </c>
      <c r="N32" s="11">
        <v>276.23</v>
      </c>
      <c r="O32" s="11">
        <v>0</v>
      </c>
      <c r="P32" s="33">
        <v>65</v>
      </c>
      <c r="Q32" s="33">
        <v>16</v>
      </c>
      <c r="R32" s="11">
        <v>2394.37</v>
      </c>
      <c r="S32" s="11">
        <v>350</v>
      </c>
      <c r="T32" s="31">
        <f t="shared" si="25"/>
        <v>0.9499999999998181</v>
      </c>
      <c r="U32" s="32">
        <f t="shared" si="28"/>
        <v>-1.8999999999996362</v>
      </c>
      <c r="V32" s="33">
        <f t="shared" si="26"/>
        <v>0</v>
      </c>
      <c r="W32" s="33">
        <v>0</v>
      </c>
    </row>
    <row r="33" spans="1:24" ht="37.5" customHeight="1">
      <c r="A33" s="65" t="s">
        <v>27</v>
      </c>
      <c r="B33" s="66"/>
      <c r="C33" s="27">
        <f>SUM(C26:C32)</f>
        <v>47326.310000000005</v>
      </c>
      <c r="D33" s="27">
        <f t="shared" ref="D33:W33" si="29">SUM(D26:D32)</f>
        <v>23987.89</v>
      </c>
      <c r="E33" s="27">
        <f t="shared" si="29"/>
        <v>21.5</v>
      </c>
      <c r="F33" s="27">
        <f t="shared" si="29"/>
        <v>267</v>
      </c>
      <c r="G33" s="27">
        <f t="shared" si="29"/>
        <v>0</v>
      </c>
      <c r="H33" s="27">
        <f t="shared" si="29"/>
        <v>72099.7</v>
      </c>
      <c r="I33" s="27">
        <f t="shared" si="29"/>
        <v>16216.38</v>
      </c>
      <c r="J33" s="27">
        <f t="shared" si="29"/>
        <v>55754.879999999997</v>
      </c>
      <c r="K33" s="27">
        <f t="shared" si="29"/>
        <v>52587.21</v>
      </c>
      <c r="L33" s="27">
        <f t="shared" si="29"/>
        <v>80.63000000000001</v>
      </c>
      <c r="M33" s="27">
        <f t="shared" si="29"/>
        <v>1056.1400000000001</v>
      </c>
      <c r="N33" s="27">
        <f t="shared" si="29"/>
        <v>2030.9</v>
      </c>
      <c r="O33" s="27">
        <f t="shared" si="29"/>
        <v>1192.19</v>
      </c>
      <c r="P33" s="27">
        <f t="shared" si="29"/>
        <v>497</v>
      </c>
      <c r="Q33" s="27">
        <f t="shared" si="29"/>
        <v>183</v>
      </c>
      <c r="R33" s="27">
        <f t="shared" si="29"/>
        <v>14348.060000000001</v>
      </c>
      <c r="S33" s="27">
        <f t="shared" si="29"/>
        <v>2450</v>
      </c>
      <c r="T33" s="27">
        <f t="shared" si="29"/>
        <v>3.8700000000003456</v>
      </c>
      <c r="U33" s="27">
        <f t="shared" si="29"/>
        <v>-128.44000000000415</v>
      </c>
      <c r="V33" s="27">
        <f t="shared" si="29"/>
        <v>0</v>
      </c>
      <c r="W33" s="27">
        <f t="shared" si="29"/>
        <v>0</v>
      </c>
    </row>
    <row r="34" spans="1:24" ht="20.25" customHeight="1">
      <c r="A34" s="9">
        <v>44704</v>
      </c>
      <c r="B34" s="10" t="s">
        <v>23</v>
      </c>
      <c r="C34" s="11">
        <v>6166.77</v>
      </c>
      <c r="D34" s="11">
        <v>2842</v>
      </c>
      <c r="E34" s="11">
        <v>13.5</v>
      </c>
      <c r="F34" s="11">
        <v>37</v>
      </c>
      <c r="G34" s="11">
        <v>0</v>
      </c>
      <c r="H34" s="11">
        <f t="shared" ref="H34:H40" si="30">SUM(C34:G34,P34)</f>
        <v>9134.6</v>
      </c>
      <c r="I34" s="11">
        <v>1926</v>
      </c>
      <c r="J34" s="11">
        <f>SUM(K34:N34)</f>
        <v>7081.14</v>
      </c>
      <c r="K34" s="11">
        <f>7081.14-240.58-20.99-191.03</f>
        <v>6628.5400000000009</v>
      </c>
      <c r="L34" s="11">
        <v>20.99</v>
      </c>
      <c r="M34" s="11">
        <v>240.58</v>
      </c>
      <c r="N34" s="11">
        <v>191.03</v>
      </c>
      <c r="O34" s="11">
        <v>225.77</v>
      </c>
      <c r="P34" s="33">
        <v>75.33</v>
      </c>
      <c r="Q34" s="33">
        <v>10</v>
      </c>
      <c r="R34" s="11">
        <v>1614.54</v>
      </c>
      <c r="S34" s="11">
        <v>350</v>
      </c>
      <c r="T34" s="31">
        <f t="shared" ref="T34:T40" si="31">SUM(O34,P34,Q34,R34)-I34</f>
        <v>-0.36000000000012733</v>
      </c>
      <c r="U34" s="32">
        <f>SUM(I34+J34+W34)-(H34)</f>
        <v>-127.46000000000095</v>
      </c>
      <c r="V34" s="33">
        <f t="shared" ref="V34:V40" si="32">SUM(G34-W34)</f>
        <v>0</v>
      </c>
      <c r="W34" s="33">
        <v>0</v>
      </c>
    </row>
    <row r="35" spans="1:24" ht="20.25" customHeight="1">
      <c r="A35" s="9">
        <v>44705</v>
      </c>
      <c r="B35" s="10" t="s">
        <v>24</v>
      </c>
      <c r="C35" s="11">
        <v>6356.17</v>
      </c>
      <c r="D35" s="11">
        <v>3108.94</v>
      </c>
      <c r="E35" s="11">
        <v>5</v>
      </c>
      <c r="F35" s="11">
        <v>64</v>
      </c>
      <c r="G35" s="11">
        <v>0</v>
      </c>
      <c r="H35" s="11">
        <f t="shared" si="30"/>
        <v>9544.11</v>
      </c>
      <c r="I35" s="11">
        <v>2305.0700000000002</v>
      </c>
      <c r="J35" s="11">
        <f t="shared" ref="J35:J40" si="33">SUM(K35:N35)</f>
        <v>7239.04</v>
      </c>
      <c r="K35" s="11">
        <f>7239.04-281.41</f>
        <v>6957.63</v>
      </c>
      <c r="L35" s="11">
        <v>0</v>
      </c>
      <c r="M35" s="11">
        <v>281.41000000000003</v>
      </c>
      <c r="N35" s="11">
        <v>0</v>
      </c>
      <c r="O35" s="11">
        <v>0</v>
      </c>
      <c r="P35" s="33">
        <v>10</v>
      </c>
      <c r="Q35" s="33">
        <v>60</v>
      </c>
      <c r="R35" s="11">
        <v>2157.96</v>
      </c>
      <c r="S35" s="11">
        <v>350</v>
      </c>
      <c r="T35" s="31">
        <f t="shared" si="31"/>
        <v>-77.110000000000127</v>
      </c>
      <c r="U35" s="32">
        <f>SUM(I35+J35+W35)-(H35)</f>
        <v>0</v>
      </c>
      <c r="V35" s="33">
        <f t="shared" si="32"/>
        <v>0</v>
      </c>
      <c r="W35" s="33">
        <v>0</v>
      </c>
    </row>
    <row r="36" spans="1:24" ht="20.25" customHeight="1">
      <c r="A36" s="9">
        <v>44706</v>
      </c>
      <c r="B36" s="10" t="s">
        <v>25</v>
      </c>
      <c r="C36" s="11">
        <v>7157.04</v>
      </c>
      <c r="D36" s="11">
        <v>3388.75</v>
      </c>
      <c r="E36" s="11">
        <v>17.5</v>
      </c>
      <c r="F36" s="11">
        <v>59</v>
      </c>
      <c r="G36" s="11">
        <v>0</v>
      </c>
      <c r="H36" s="11">
        <f t="shared" si="30"/>
        <v>10652.29</v>
      </c>
      <c r="I36" s="11">
        <v>2355.42</v>
      </c>
      <c r="J36" s="11">
        <f t="shared" si="33"/>
        <v>8296.8700000000008</v>
      </c>
      <c r="K36" s="11">
        <f>8296.87-90.74-2.39-297.81</f>
        <v>7905.9300000000012</v>
      </c>
      <c r="L36" s="11">
        <v>2.39</v>
      </c>
      <c r="M36" s="11">
        <v>90.74</v>
      </c>
      <c r="N36" s="11">
        <v>297.81</v>
      </c>
      <c r="O36" s="11">
        <v>275.01</v>
      </c>
      <c r="P36" s="33">
        <v>30</v>
      </c>
      <c r="Q36" s="33">
        <v>29</v>
      </c>
      <c r="R36" s="11">
        <v>2119.96</v>
      </c>
      <c r="S36" s="11">
        <v>350</v>
      </c>
      <c r="T36" s="31">
        <f t="shared" si="31"/>
        <v>98.550000000000182</v>
      </c>
      <c r="U36" s="32">
        <f t="shared" ref="U36:U40" si="34">SUM(I36+J36+W36)-(H36)</f>
        <v>0</v>
      </c>
      <c r="V36" s="33">
        <f t="shared" si="32"/>
        <v>0</v>
      </c>
      <c r="W36" s="33">
        <v>0</v>
      </c>
    </row>
    <row r="37" spans="1:24" ht="20.25" customHeight="1">
      <c r="A37" s="9">
        <v>44707</v>
      </c>
      <c r="B37" s="10" t="s">
        <v>26</v>
      </c>
      <c r="C37" s="11">
        <v>6868.6</v>
      </c>
      <c r="D37" s="11">
        <v>3131.52</v>
      </c>
      <c r="E37" s="11">
        <v>2</v>
      </c>
      <c r="F37" s="11">
        <v>56</v>
      </c>
      <c r="G37" s="11">
        <v>0</v>
      </c>
      <c r="H37" s="11">
        <f t="shared" si="30"/>
        <v>10108.120000000001</v>
      </c>
      <c r="I37" s="11">
        <v>2143.4899999999998</v>
      </c>
      <c r="J37" s="11">
        <f t="shared" si="33"/>
        <v>7974.63</v>
      </c>
      <c r="K37" s="11">
        <f>7974.63-134.48-417.91</f>
        <v>7422.2400000000007</v>
      </c>
      <c r="L37" s="11">
        <v>0</v>
      </c>
      <c r="M37" s="11">
        <v>134.47999999999999</v>
      </c>
      <c r="N37" s="11">
        <v>417.91</v>
      </c>
      <c r="O37" s="11">
        <v>0</v>
      </c>
      <c r="P37" s="33">
        <v>50</v>
      </c>
      <c r="Q37" s="33">
        <v>43</v>
      </c>
      <c r="R37" s="11">
        <v>2057.44</v>
      </c>
      <c r="S37" s="11">
        <v>350</v>
      </c>
      <c r="T37" s="31">
        <f t="shared" si="31"/>
        <v>6.9500000000002728</v>
      </c>
      <c r="U37" s="32">
        <f t="shared" si="34"/>
        <v>9.999999999998181</v>
      </c>
      <c r="V37" s="33">
        <f t="shared" si="32"/>
        <v>0</v>
      </c>
      <c r="W37" s="33">
        <v>0</v>
      </c>
    </row>
    <row r="38" spans="1:24" ht="20.25" customHeight="1">
      <c r="A38" s="9">
        <v>44708</v>
      </c>
      <c r="B38" s="10" t="s">
        <v>20</v>
      </c>
      <c r="C38" s="11">
        <v>8667.6</v>
      </c>
      <c r="D38" s="11">
        <v>4781.68</v>
      </c>
      <c r="E38" s="11">
        <v>51</v>
      </c>
      <c r="F38" s="11">
        <v>56</v>
      </c>
      <c r="G38" s="11">
        <v>0</v>
      </c>
      <c r="H38" s="11">
        <f t="shared" ref="H38" si="35">SUM(C38:G38,P38)</f>
        <v>13603.28</v>
      </c>
      <c r="I38" s="11">
        <v>2745.12</v>
      </c>
      <c r="J38" s="11">
        <f t="shared" ref="J38" si="36">SUM(K38:N38)</f>
        <v>10659.51</v>
      </c>
      <c r="K38" s="11">
        <f>10659.51-305.8-393.64</f>
        <v>9960.0700000000015</v>
      </c>
      <c r="L38" s="11">
        <v>0</v>
      </c>
      <c r="M38" s="11">
        <v>305.8</v>
      </c>
      <c r="N38" s="11">
        <v>393.64</v>
      </c>
      <c r="O38" s="11">
        <v>696</v>
      </c>
      <c r="P38" s="33">
        <v>47</v>
      </c>
      <c r="Q38" s="33">
        <v>10</v>
      </c>
      <c r="R38" s="11">
        <v>1864.74</v>
      </c>
      <c r="S38" s="48">
        <v>450</v>
      </c>
      <c r="T38" s="31">
        <f t="shared" ref="T38" si="37">SUM(O38,P38,Q38,R38)-I38</f>
        <v>-127.38000000000011</v>
      </c>
      <c r="U38" s="32">
        <f t="shared" ref="U38" si="38">SUM(I38+J38+W38)-(H38)</f>
        <v>-198.64999999999964</v>
      </c>
      <c r="V38" s="33">
        <f t="shared" ref="V38" si="39">SUM(G38-W38)</f>
        <v>0</v>
      </c>
      <c r="W38" s="33">
        <v>0</v>
      </c>
      <c r="X38" t="s">
        <v>72</v>
      </c>
    </row>
    <row r="39" spans="1:24" ht="20.25" customHeight="1">
      <c r="A39" s="9">
        <v>44709</v>
      </c>
      <c r="B39" s="10" t="s">
        <v>21</v>
      </c>
      <c r="C39" s="11">
        <v>6943.65</v>
      </c>
      <c r="D39" s="11">
        <v>4652.58</v>
      </c>
      <c r="E39" s="11">
        <v>19</v>
      </c>
      <c r="F39" s="11">
        <v>125</v>
      </c>
      <c r="G39" s="11">
        <v>0</v>
      </c>
      <c r="H39" s="11">
        <f t="shared" si="30"/>
        <v>11870.23</v>
      </c>
      <c r="I39" s="11">
        <v>2914.83</v>
      </c>
      <c r="J39" s="11">
        <f t="shared" si="33"/>
        <v>8954.2000000000007</v>
      </c>
      <c r="K39" s="11">
        <f>8954.2-410.23-52.18-77.81</f>
        <v>8413.9800000000014</v>
      </c>
      <c r="L39" s="11">
        <v>52.18</v>
      </c>
      <c r="M39" s="11">
        <v>410.23</v>
      </c>
      <c r="N39" s="11">
        <v>77.81</v>
      </c>
      <c r="O39" s="11">
        <v>191.5</v>
      </c>
      <c r="P39" s="33">
        <v>130</v>
      </c>
      <c r="Q39" s="33">
        <v>55</v>
      </c>
      <c r="R39" s="11">
        <v>2535.19</v>
      </c>
      <c r="S39" s="11">
        <v>450</v>
      </c>
      <c r="T39" s="31">
        <f t="shared" si="31"/>
        <v>-3.1399999999998727</v>
      </c>
      <c r="U39" s="32">
        <f t="shared" si="34"/>
        <v>-1.1999999999989086</v>
      </c>
      <c r="V39" s="33">
        <f t="shared" si="32"/>
        <v>0</v>
      </c>
      <c r="W39" s="33">
        <v>0</v>
      </c>
    </row>
    <row r="40" spans="1:24" ht="20.25" customHeight="1">
      <c r="A40" s="9">
        <v>44710</v>
      </c>
      <c r="B40" s="10" t="s">
        <v>22</v>
      </c>
      <c r="C40" s="11">
        <v>6559.52</v>
      </c>
      <c r="D40" s="11">
        <v>3423.29</v>
      </c>
      <c r="E40" s="11">
        <v>0</v>
      </c>
      <c r="F40" s="11">
        <v>129</v>
      </c>
      <c r="G40" s="11">
        <v>0</v>
      </c>
      <c r="H40" s="11">
        <f t="shared" si="30"/>
        <v>10121.810000000001</v>
      </c>
      <c r="I40" s="11">
        <v>2530.44</v>
      </c>
      <c r="J40" s="11">
        <f t="shared" si="33"/>
        <v>7587.57</v>
      </c>
      <c r="K40" s="11">
        <f>7587.57-46.04-8-300.05</f>
        <v>7233.48</v>
      </c>
      <c r="L40" s="11">
        <v>8</v>
      </c>
      <c r="M40" s="11">
        <v>46.04</v>
      </c>
      <c r="N40" s="11">
        <v>300.05</v>
      </c>
      <c r="O40" s="11">
        <v>0</v>
      </c>
      <c r="P40" s="33">
        <v>10</v>
      </c>
      <c r="Q40" s="33">
        <v>67</v>
      </c>
      <c r="R40" s="11">
        <v>2454.65</v>
      </c>
      <c r="S40" s="11">
        <v>450</v>
      </c>
      <c r="T40" s="31">
        <f t="shared" si="31"/>
        <v>1.2100000000000364</v>
      </c>
      <c r="U40" s="32">
        <f t="shared" si="34"/>
        <v>-3.8000000000010914</v>
      </c>
      <c r="V40" s="33">
        <f t="shared" si="32"/>
        <v>0</v>
      </c>
      <c r="W40" s="33">
        <v>0</v>
      </c>
    </row>
    <row r="41" spans="1:24" ht="37.5" customHeight="1">
      <c r="A41" s="65" t="s">
        <v>27</v>
      </c>
      <c r="B41" s="66"/>
      <c r="C41" s="27">
        <f>SUM(C34:C40)</f>
        <v>48719.350000000006</v>
      </c>
      <c r="D41" s="27">
        <f t="shared" ref="D41:W41" si="40">SUM(D34:D40)</f>
        <v>25328.760000000002</v>
      </c>
      <c r="E41" s="27">
        <f t="shared" si="40"/>
        <v>108</v>
      </c>
      <c r="F41" s="27">
        <f t="shared" si="40"/>
        <v>526</v>
      </c>
      <c r="G41" s="27">
        <f t="shared" si="40"/>
        <v>0</v>
      </c>
      <c r="H41" s="27">
        <f t="shared" si="40"/>
        <v>75034.44</v>
      </c>
      <c r="I41" s="27">
        <f t="shared" si="40"/>
        <v>16920.37</v>
      </c>
      <c r="J41" s="27">
        <f t="shared" si="40"/>
        <v>57792.959999999999</v>
      </c>
      <c r="K41" s="27">
        <f t="shared" si="40"/>
        <v>54521.87000000001</v>
      </c>
      <c r="L41" s="27">
        <f t="shared" si="40"/>
        <v>83.56</v>
      </c>
      <c r="M41" s="27">
        <f t="shared" si="40"/>
        <v>1509.28</v>
      </c>
      <c r="N41" s="27">
        <f t="shared" si="40"/>
        <v>1678.2499999999998</v>
      </c>
      <c r="O41" s="27">
        <f t="shared" si="40"/>
        <v>1388.28</v>
      </c>
      <c r="P41" s="27">
        <f t="shared" si="40"/>
        <v>352.33</v>
      </c>
      <c r="Q41" s="27">
        <f t="shared" si="40"/>
        <v>274</v>
      </c>
      <c r="R41" s="27">
        <f t="shared" si="40"/>
        <v>14804.48</v>
      </c>
      <c r="S41" s="27">
        <f>SUM(S34:S40)</f>
        <v>2750</v>
      </c>
      <c r="T41" s="27">
        <f t="shared" si="40"/>
        <v>-101.27999999999975</v>
      </c>
      <c r="U41" s="27">
        <f t="shared" si="40"/>
        <v>-321.1100000000024</v>
      </c>
      <c r="V41" s="27">
        <f t="shared" si="40"/>
        <v>0</v>
      </c>
      <c r="W41" s="27">
        <f t="shared" si="40"/>
        <v>0</v>
      </c>
    </row>
    <row r="42" spans="1:24" ht="20.25" customHeight="1">
      <c r="A42" s="9">
        <v>44711</v>
      </c>
      <c r="B42" s="10" t="s">
        <v>23</v>
      </c>
      <c r="C42" s="11">
        <v>7007.35</v>
      </c>
      <c r="D42" s="11">
        <v>3068.54</v>
      </c>
      <c r="E42" s="11">
        <v>1.5</v>
      </c>
      <c r="F42" s="11">
        <v>30</v>
      </c>
      <c r="G42" s="11">
        <v>0</v>
      </c>
      <c r="H42" s="11">
        <f t="shared" ref="H42:H43" si="41">SUM(C42:G42,P42)</f>
        <v>10122.39</v>
      </c>
      <c r="I42" s="11">
        <v>2283.9899999999998</v>
      </c>
      <c r="J42" s="11">
        <f>SUM(K42:N42)</f>
        <v>7838.4</v>
      </c>
      <c r="K42" s="11">
        <f>7838.4-127.88-90.43-408.14</f>
        <v>7211.9499999999989</v>
      </c>
      <c r="L42" s="11">
        <v>90.43</v>
      </c>
      <c r="M42" s="11">
        <v>127.88</v>
      </c>
      <c r="N42" s="11">
        <v>408.14</v>
      </c>
      <c r="O42" s="11">
        <v>464.46</v>
      </c>
      <c r="P42" s="33">
        <v>15</v>
      </c>
      <c r="Q42" s="33">
        <v>2</v>
      </c>
      <c r="R42" s="11">
        <v>1805.04</v>
      </c>
      <c r="S42" s="11">
        <v>450</v>
      </c>
      <c r="T42" s="31">
        <f t="shared" ref="T42:T43" si="42">SUM(O42,P42,Q42,R42)-I42</f>
        <v>2.5100000000002183</v>
      </c>
      <c r="U42" s="32">
        <f>SUM(I42+J42+W42)-(H42)</f>
        <v>0</v>
      </c>
      <c r="V42" s="33">
        <f t="shared" ref="V42:V43" si="43">SUM(G42-W42)</f>
        <v>0</v>
      </c>
      <c r="W42" s="33">
        <v>0</v>
      </c>
    </row>
    <row r="43" spans="1:24" ht="20.25" customHeight="1">
      <c r="A43" s="9">
        <v>44712</v>
      </c>
      <c r="B43" s="10" t="s">
        <v>24</v>
      </c>
      <c r="C43" s="11">
        <v>5791.3</v>
      </c>
      <c r="D43" s="11">
        <v>3373.33</v>
      </c>
      <c r="E43" s="11">
        <v>24.5</v>
      </c>
      <c r="F43" s="11">
        <v>46</v>
      </c>
      <c r="G43" s="11">
        <v>0</v>
      </c>
      <c r="H43" s="11">
        <f t="shared" si="41"/>
        <v>9490.130000000001</v>
      </c>
      <c r="I43" s="11">
        <v>2290.65</v>
      </c>
      <c r="J43" s="11">
        <f t="shared" ref="J43" si="44">SUM(K43:N43)</f>
        <v>7199.48</v>
      </c>
      <c r="K43" s="11">
        <f>7199.48-198.6-459.17</f>
        <v>6541.7099999999991</v>
      </c>
      <c r="L43" s="11">
        <v>0</v>
      </c>
      <c r="M43" s="11">
        <v>198.6</v>
      </c>
      <c r="N43" s="11">
        <v>459.17</v>
      </c>
      <c r="O43" s="11">
        <v>0</v>
      </c>
      <c r="P43" s="33">
        <v>255</v>
      </c>
      <c r="Q43" s="33">
        <v>5</v>
      </c>
      <c r="R43" s="11">
        <v>2031.79</v>
      </c>
      <c r="S43" s="11">
        <v>450</v>
      </c>
      <c r="T43" s="31">
        <f t="shared" si="42"/>
        <v>1.1399999999998727</v>
      </c>
      <c r="U43" s="32">
        <f>SUM(I43+J43+W43)-(H43)</f>
        <v>0</v>
      </c>
      <c r="V43" s="33">
        <f t="shared" si="43"/>
        <v>0</v>
      </c>
      <c r="W43" s="33">
        <v>0</v>
      </c>
    </row>
    <row r="44" spans="1:24" ht="51.75" customHeight="1">
      <c r="A44" s="67" t="s">
        <v>17</v>
      </c>
      <c r="B44" s="68"/>
      <c r="C44" s="30">
        <f>SUM(C41,C33,C25,C17,C9,C42:C43)</f>
        <v>254638.21999999997</v>
      </c>
      <c r="D44" s="30">
        <f t="shared" ref="D44:W44" si="45">SUM(D41,D33,D25,D17,D9,D42:D43)</f>
        <v>127961.88</v>
      </c>
      <c r="E44" s="30">
        <f t="shared" si="45"/>
        <v>571</v>
      </c>
      <c r="F44" s="30">
        <f t="shared" si="45"/>
        <v>1916</v>
      </c>
      <c r="G44" s="30">
        <f t="shared" si="45"/>
        <v>1643.95</v>
      </c>
      <c r="H44" s="30">
        <f t="shared" si="45"/>
        <v>389583.12</v>
      </c>
      <c r="I44" s="30">
        <f t="shared" si="45"/>
        <v>84769.76</v>
      </c>
      <c r="J44" s="30">
        <f t="shared" si="45"/>
        <v>302661.90999999997</v>
      </c>
      <c r="K44" s="30">
        <f t="shared" si="45"/>
        <v>287668.64000000007</v>
      </c>
      <c r="L44" s="30">
        <f t="shared" si="45"/>
        <v>791.26</v>
      </c>
      <c r="M44" s="30">
        <f t="shared" si="45"/>
        <v>5001.72</v>
      </c>
      <c r="N44" s="30">
        <f t="shared" si="45"/>
        <v>9200.2899999999991</v>
      </c>
      <c r="O44" s="30">
        <f t="shared" si="45"/>
        <v>5986.79</v>
      </c>
      <c r="P44" s="30">
        <f t="shared" si="45"/>
        <v>2852.0699999999997</v>
      </c>
      <c r="Q44" s="30">
        <f t="shared" si="45"/>
        <v>1059.7</v>
      </c>
      <c r="R44" s="30">
        <f t="shared" si="45"/>
        <v>74755.419999999984</v>
      </c>
      <c r="S44" s="30">
        <f t="shared" si="45"/>
        <v>13450</v>
      </c>
      <c r="T44" s="30">
        <f t="shared" si="45"/>
        <v>-115.77999999999906</v>
      </c>
      <c r="U44" s="30">
        <f t="shared" si="45"/>
        <v>-989.63000000000284</v>
      </c>
      <c r="V44" s="30">
        <f t="shared" si="45"/>
        <v>482.13</v>
      </c>
      <c r="W44" s="30">
        <f t="shared" si="45"/>
        <v>1161.8200000000002</v>
      </c>
    </row>
    <row r="46" spans="1:24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 spans="1:24"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</row>
    <row r="48" spans="1:24"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spans="1:23"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</row>
    <row r="50" spans="1:23"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</row>
    <row r="52" spans="1:23" hidden="1"/>
    <row r="53" spans="1:23" ht="18.75" hidden="1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3"/>
      <c r="Q53" s="33"/>
      <c r="R53" s="11"/>
      <c r="S53" s="11"/>
      <c r="T53" s="31"/>
      <c r="U53" s="32"/>
      <c r="V53" s="33"/>
      <c r="W53" s="33"/>
    </row>
    <row r="54" spans="1:23" ht="18.75" hidden="1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3"/>
      <c r="Q54" s="33"/>
      <c r="R54" s="11"/>
      <c r="S54" s="11"/>
      <c r="T54" s="31"/>
      <c r="U54" s="32"/>
      <c r="V54" s="33"/>
      <c r="W54" s="33"/>
    </row>
    <row r="55" spans="1:23" s="28" customFormat="1" ht="18.75" hidden="1">
      <c r="A55"/>
      <c r="B5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33"/>
      <c r="Q55" s="33"/>
      <c r="R55" s="11"/>
      <c r="S55" s="11"/>
      <c r="T55" s="31"/>
      <c r="U55" s="32"/>
      <c r="V55" s="33"/>
      <c r="W55" s="33"/>
    </row>
    <row r="56" spans="1:23" s="28" customFormat="1" hidden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s="28" customFormat="1" hidden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  <row r="58" spans="1:23" s="28" customFormat="1" hidden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</row>
  </sheetData>
  <sheetProtection password="CCFB" sheet="1" objects="1" scenarios="1"/>
  <mergeCells count="6">
    <mergeCell ref="A9:B9"/>
    <mergeCell ref="A17:B17"/>
    <mergeCell ref="A25:B25"/>
    <mergeCell ref="A33:B33"/>
    <mergeCell ref="A44:B44"/>
    <mergeCell ref="A41:B41"/>
  </mergeCells>
  <conditionalFormatting sqref="T53:U55 T18:U24 T10:U16 T26:U32 T34:U40 T2:U8 T42:U43">
    <cfRule type="cellIs" dxfId="282" priority="14" operator="lessThan">
      <formula>0</formula>
    </cfRule>
    <cfRule type="cellIs" dxfId="281" priority="15" operator="greaterThan">
      <formula>0</formula>
    </cfRule>
  </conditionalFormatting>
  <conditionalFormatting sqref="T53:V55 T18:V24 T26:V32 T10:V16 T34:V40 T2:V8 T42:V43">
    <cfRule type="cellIs" dxfId="280" priority="11" operator="equal">
      <formula>0</formula>
    </cfRule>
    <cfRule type="cellIs" dxfId="279" priority="12" operator="lessThan">
      <formula>0</formula>
    </cfRule>
    <cfRule type="cellIs" dxfId="278" priority="1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A53"/>
  <sheetViews>
    <sheetView topLeftCell="B7" zoomScale="60" zoomScaleNormal="60" workbookViewId="0">
      <selection activeCell="X37" sqref="X37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2.7109375" customWidth="1"/>
    <col min="7" max="7" width="13.5703125" customWidth="1"/>
    <col min="8" max="8" width="14.570312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15.5703125" customWidth="1"/>
    <col min="15" max="15" width="13.85546875" customWidth="1"/>
    <col min="16" max="16" width="13.5703125" customWidth="1"/>
    <col min="17" max="17" width="14.28515625" customWidth="1"/>
    <col min="18" max="18" width="13" customWidth="1"/>
    <col min="19" max="19" width="14.85546875" customWidth="1"/>
    <col min="20" max="20" width="15.85546875" customWidth="1"/>
    <col min="21" max="21" width="16.5703125" customWidth="1"/>
    <col min="22" max="22" width="14" customWidth="1"/>
    <col min="23" max="23" width="13" customWidth="1"/>
    <col min="24" max="24" width="14.85546875" customWidth="1"/>
    <col min="25" max="25" width="15.5703125" customWidth="1"/>
  </cols>
  <sheetData>
    <row r="1" spans="1:27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  <c r="X1" s="23" t="s">
        <v>78</v>
      </c>
      <c r="Y1" s="23" t="s">
        <v>79</v>
      </c>
    </row>
    <row r="2" spans="1:27" ht="20.25" customHeight="1">
      <c r="A2" s="9">
        <v>44711</v>
      </c>
      <c r="B2" s="10" t="s">
        <v>23</v>
      </c>
      <c r="C2" s="11">
        <v>7007.35</v>
      </c>
      <c r="D2" s="11">
        <v>3068.54</v>
      </c>
      <c r="E2" s="11">
        <v>1.5</v>
      </c>
      <c r="F2" s="11">
        <v>30</v>
      </c>
      <c r="G2" s="11">
        <v>0</v>
      </c>
      <c r="H2" s="11">
        <f t="shared" ref="H2:H3" si="0">SUM(C2:G2,P2)</f>
        <v>10122.39</v>
      </c>
      <c r="I2" s="11">
        <v>2283.9899999999998</v>
      </c>
      <c r="J2" s="11">
        <f>SUM(K2:N2)</f>
        <v>7838.4</v>
      </c>
      <c r="K2" s="11">
        <f>7838.4-127.88-90.43-408.14</f>
        <v>7211.9499999999989</v>
      </c>
      <c r="L2" s="11">
        <v>90.43</v>
      </c>
      <c r="M2" s="11">
        <v>127.88</v>
      </c>
      <c r="N2" s="11">
        <v>408.14</v>
      </c>
      <c r="O2" s="11">
        <v>464.46</v>
      </c>
      <c r="P2" s="33">
        <v>15</v>
      </c>
      <c r="Q2" s="33">
        <v>2</v>
      </c>
      <c r="R2" s="11">
        <v>1805.04</v>
      </c>
      <c r="S2" s="11">
        <v>450</v>
      </c>
      <c r="T2" s="31">
        <f t="shared" ref="T2:T3" si="1">SUM(O2,P2,Q2,R2)-I2</f>
        <v>2.5100000000002183</v>
      </c>
      <c r="U2" s="32">
        <f>SUM(I2+J2+W2)-(H2)</f>
        <v>0</v>
      </c>
      <c r="V2" s="33">
        <f>SUM(G2-W2)</f>
        <v>0</v>
      </c>
      <c r="W2" s="33">
        <v>0</v>
      </c>
      <c r="X2" s="33">
        <v>0</v>
      </c>
      <c r="Y2" s="33">
        <v>0</v>
      </c>
    </row>
    <row r="3" spans="1:27" ht="20.25" customHeight="1">
      <c r="A3" s="9">
        <v>44712</v>
      </c>
      <c r="B3" s="10" t="s">
        <v>24</v>
      </c>
      <c r="C3" s="11">
        <v>5791.3</v>
      </c>
      <c r="D3" s="11">
        <v>3373.33</v>
      </c>
      <c r="E3" s="11">
        <v>24.5</v>
      </c>
      <c r="F3" s="11">
        <v>46</v>
      </c>
      <c r="G3" s="11">
        <v>0</v>
      </c>
      <c r="H3" s="11">
        <f t="shared" si="0"/>
        <v>9490.130000000001</v>
      </c>
      <c r="I3" s="11">
        <v>2290.65</v>
      </c>
      <c r="J3" s="11">
        <f t="shared" ref="J3" si="2">SUM(K3:N3)</f>
        <v>7199.48</v>
      </c>
      <c r="K3" s="11">
        <f>7199.48-198.6-459.17</f>
        <v>6541.7099999999991</v>
      </c>
      <c r="L3" s="11">
        <v>0</v>
      </c>
      <c r="M3" s="11">
        <v>198.6</v>
      </c>
      <c r="N3" s="11">
        <v>459.17</v>
      </c>
      <c r="O3" s="11">
        <v>0</v>
      </c>
      <c r="P3" s="33">
        <v>255</v>
      </c>
      <c r="Q3" s="33">
        <v>5</v>
      </c>
      <c r="R3" s="11">
        <v>2031.79</v>
      </c>
      <c r="S3" s="11">
        <v>450</v>
      </c>
      <c r="T3" s="31">
        <f t="shared" si="1"/>
        <v>1.1399999999998727</v>
      </c>
      <c r="U3" s="32">
        <f t="shared" ref="U3:U8" si="3">SUM(I3+J3+W3)-(H3)</f>
        <v>0</v>
      </c>
      <c r="V3" s="33">
        <f t="shared" ref="V3:V8" si="4">SUM(G3-W3)</f>
        <v>0</v>
      </c>
      <c r="W3" s="33">
        <v>0</v>
      </c>
      <c r="X3" s="33">
        <v>0</v>
      </c>
      <c r="Y3" s="33">
        <v>0</v>
      </c>
    </row>
    <row r="4" spans="1:27" ht="20.25" customHeight="1">
      <c r="A4" s="9">
        <v>44713</v>
      </c>
      <c r="B4" s="10" t="s">
        <v>25</v>
      </c>
      <c r="C4" s="11">
        <v>7832.91</v>
      </c>
      <c r="D4" s="11">
        <v>3986.65</v>
      </c>
      <c r="E4" s="11">
        <v>1</v>
      </c>
      <c r="F4" s="11">
        <v>37</v>
      </c>
      <c r="G4" s="11">
        <v>0</v>
      </c>
      <c r="H4" s="11">
        <f t="shared" ref="H4:H8" si="5">SUM(C4:G4,P4)</f>
        <v>11917.56</v>
      </c>
      <c r="I4" s="11">
        <v>2199.71</v>
      </c>
      <c r="J4" s="11">
        <f t="shared" ref="J4:J7" si="6">SUM(K4:N4)</f>
        <v>9717.85</v>
      </c>
      <c r="K4" s="11">
        <f>9717.85-121.83-504.93</f>
        <v>9091.09</v>
      </c>
      <c r="L4" s="11">
        <v>0</v>
      </c>
      <c r="M4" s="11">
        <v>121.83</v>
      </c>
      <c r="N4" s="11">
        <v>504.93</v>
      </c>
      <c r="O4" s="11">
        <v>239.22</v>
      </c>
      <c r="P4" s="33">
        <v>60</v>
      </c>
      <c r="Q4" s="33">
        <v>23</v>
      </c>
      <c r="R4" s="11">
        <v>1879.55</v>
      </c>
      <c r="S4" s="11">
        <v>450</v>
      </c>
      <c r="T4" s="31">
        <f t="shared" ref="T4:T8" si="7">SUM(O4,P4,Q4,R4)-I4</f>
        <v>2.0599999999999454</v>
      </c>
      <c r="U4" s="32">
        <f t="shared" si="3"/>
        <v>0</v>
      </c>
      <c r="V4" s="33">
        <f t="shared" si="4"/>
        <v>0</v>
      </c>
      <c r="W4" s="33">
        <v>0</v>
      </c>
      <c r="X4" s="33">
        <v>0</v>
      </c>
      <c r="Y4" s="33">
        <v>0</v>
      </c>
    </row>
    <row r="5" spans="1:27" ht="20.25" customHeight="1">
      <c r="A5" s="9">
        <v>44714</v>
      </c>
      <c r="B5" s="10" t="s">
        <v>26</v>
      </c>
      <c r="C5" s="11">
        <v>6817.9</v>
      </c>
      <c r="D5" s="11">
        <v>4524.2299999999996</v>
      </c>
      <c r="E5" s="11">
        <v>24.5</v>
      </c>
      <c r="F5" s="11">
        <v>87</v>
      </c>
      <c r="G5" s="11">
        <v>0</v>
      </c>
      <c r="H5" s="11">
        <f t="shared" si="5"/>
        <v>11598.63</v>
      </c>
      <c r="I5" s="11">
        <v>2732.07</v>
      </c>
      <c r="J5" s="11">
        <f t="shared" si="6"/>
        <v>8666.1200000000008</v>
      </c>
      <c r="K5" s="11">
        <f>8666.12-111.97-202.38</f>
        <v>8351.7700000000023</v>
      </c>
      <c r="L5" s="11">
        <v>0</v>
      </c>
      <c r="M5" s="11">
        <v>111.97</v>
      </c>
      <c r="N5" s="11">
        <v>202.38</v>
      </c>
      <c r="O5" s="11">
        <v>650.78</v>
      </c>
      <c r="P5" s="33">
        <v>145</v>
      </c>
      <c r="Q5" s="33">
        <v>46</v>
      </c>
      <c r="R5" s="11">
        <v>1890.5</v>
      </c>
      <c r="S5" s="11">
        <v>450</v>
      </c>
      <c r="T5" s="31">
        <f t="shared" si="7"/>
        <v>0.20999999999958163</v>
      </c>
      <c r="U5" s="32">
        <f t="shared" si="3"/>
        <v>-200.43999999999869</v>
      </c>
      <c r="V5" s="33">
        <f t="shared" si="4"/>
        <v>0</v>
      </c>
      <c r="W5" s="33">
        <v>0</v>
      </c>
      <c r="X5" s="33">
        <v>0</v>
      </c>
      <c r="Y5" s="33">
        <v>0</v>
      </c>
      <c r="Z5" t="s">
        <v>73</v>
      </c>
    </row>
    <row r="6" spans="1:27" ht="20.25" customHeight="1">
      <c r="A6" s="9">
        <v>44715</v>
      </c>
      <c r="B6" s="10" t="s">
        <v>20</v>
      </c>
      <c r="C6" s="11">
        <v>5793.78</v>
      </c>
      <c r="D6" s="11">
        <v>4298</v>
      </c>
      <c r="E6" s="11">
        <v>2.5</v>
      </c>
      <c r="F6" s="11">
        <v>32</v>
      </c>
      <c r="G6" s="11">
        <v>0</v>
      </c>
      <c r="H6" s="11">
        <f t="shared" si="5"/>
        <v>10307.279999999999</v>
      </c>
      <c r="I6" s="11">
        <v>2318.7199999999998</v>
      </c>
      <c r="J6" s="11">
        <f t="shared" si="6"/>
        <v>7988.56</v>
      </c>
      <c r="K6" s="11">
        <f>7988.56</f>
        <v>7988.56</v>
      </c>
      <c r="L6" s="11">
        <v>0</v>
      </c>
      <c r="M6" s="11">
        <v>0</v>
      </c>
      <c r="N6" s="11">
        <v>0</v>
      </c>
      <c r="O6" s="11">
        <v>0</v>
      </c>
      <c r="P6" s="33">
        <v>181</v>
      </c>
      <c r="Q6" s="33">
        <v>27</v>
      </c>
      <c r="R6" s="11">
        <v>2085.4699999999998</v>
      </c>
      <c r="S6" s="11">
        <v>450</v>
      </c>
      <c r="T6" s="31">
        <f t="shared" si="7"/>
        <v>-25.25</v>
      </c>
      <c r="U6" s="32">
        <f t="shared" si="3"/>
        <v>0</v>
      </c>
      <c r="V6" s="33">
        <f t="shared" si="4"/>
        <v>0</v>
      </c>
      <c r="W6" s="33">
        <v>0</v>
      </c>
      <c r="X6" s="33">
        <v>0</v>
      </c>
      <c r="Y6" s="33">
        <v>0</v>
      </c>
      <c r="Z6" t="s">
        <v>74</v>
      </c>
    </row>
    <row r="7" spans="1:27" ht="20.25" customHeight="1">
      <c r="A7" s="9">
        <v>44716</v>
      </c>
      <c r="B7" s="10" t="s">
        <v>21</v>
      </c>
      <c r="C7" s="11">
        <v>4562.72</v>
      </c>
      <c r="D7" s="11">
        <v>5294.65</v>
      </c>
      <c r="E7" s="11">
        <v>24</v>
      </c>
      <c r="F7" s="11">
        <v>50</v>
      </c>
      <c r="G7" s="11">
        <v>0</v>
      </c>
      <c r="H7" s="11">
        <f t="shared" si="5"/>
        <v>10064.369999999999</v>
      </c>
      <c r="I7" s="11">
        <v>2442.4299999999998</v>
      </c>
      <c r="J7" s="11">
        <f t="shared" si="6"/>
        <v>7634.4699999999993</v>
      </c>
      <c r="K7" s="11">
        <f>7620.74-119.27-34.2-132.07</f>
        <v>7335.2</v>
      </c>
      <c r="L7" s="11">
        <v>34.200000000000003</v>
      </c>
      <c r="M7" s="11">
        <v>132.07</v>
      </c>
      <c r="N7" s="11">
        <v>133</v>
      </c>
      <c r="O7" s="11">
        <v>0</v>
      </c>
      <c r="P7" s="33">
        <v>133</v>
      </c>
      <c r="Q7" s="33">
        <v>8</v>
      </c>
      <c r="R7" s="11">
        <v>2312.5300000000002</v>
      </c>
      <c r="S7" s="11">
        <v>450</v>
      </c>
      <c r="T7" s="31">
        <f t="shared" si="7"/>
        <v>11.100000000000364</v>
      </c>
      <c r="U7" s="32">
        <f t="shared" si="3"/>
        <v>12.530000000000655</v>
      </c>
      <c r="V7" s="33">
        <f t="shared" si="4"/>
        <v>0</v>
      </c>
      <c r="W7" s="33">
        <v>0</v>
      </c>
      <c r="X7" s="33">
        <v>0</v>
      </c>
      <c r="Y7" s="33">
        <v>0</v>
      </c>
    </row>
    <row r="8" spans="1:27" ht="18.75">
      <c r="A8" s="9">
        <v>44717</v>
      </c>
      <c r="B8" s="10" t="s">
        <v>22</v>
      </c>
      <c r="C8" s="11">
        <v>4620.5</v>
      </c>
      <c r="D8" s="11">
        <v>2724.8</v>
      </c>
      <c r="E8" s="11">
        <v>0</v>
      </c>
      <c r="F8" s="11">
        <v>44</v>
      </c>
      <c r="G8" s="11">
        <v>0</v>
      </c>
      <c r="H8" s="11">
        <f t="shared" si="5"/>
        <v>7409.3</v>
      </c>
      <c r="I8" s="11">
        <v>1459.84</v>
      </c>
      <c r="J8" s="11">
        <f t="shared" ref="J8" si="8">SUM(K8:N8)</f>
        <v>5947.56</v>
      </c>
      <c r="K8" s="11">
        <f>5947.56-124.81-50</f>
        <v>5772.75</v>
      </c>
      <c r="L8" s="11">
        <v>0</v>
      </c>
      <c r="M8" s="11">
        <v>124.81</v>
      </c>
      <c r="N8" s="11">
        <v>50</v>
      </c>
      <c r="O8" s="11">
        <v>0</v>
      </c>
      <c r="P8" s="33">
        <v>20</v>
      </c>
      <c r="Q8" s="33">
        <v>4</v>
      </c>
      <c r="R8" s="11">
        <v>1438.3</v>
      </c>
      <c r="S8" s="11">
        <v>450</v>
      </c>
      <c r="T8" s="31">
        <f t="shared" si="7"/>
        <v>2.4600000000000364</v>
      </c>
      <c r="U8" s="32">
        <f t="shared" si="3"/>
        <v>-1.8999999999996362</v>
      </c>
      <c r="V8" s="33">
        <f t="shared" si="4"/>
        <v>0</v>
      </c>
      <c r="W8" s="33">
        <v>0</v>
      </c>
      <c r="X8" s="33">
        <v>0</v>
      </c>
      <c r="Y8" s="33">
        <v>0</v>
      </c>
    </row>
    <row r="9" spans="1:27" ht="37.5" customHeight="1">
      <c r="A9" s="65" t="s">
        <v>27</v>
      </c>
      <c r="B9" s="66"/>
      <c r="C9" s="27">
        <f>SUM(C2:C8)</f>
        <v>42426.46</v>
      </c>
      <c r="D9" s="27">
        <f t="shared" ref="D9:X9" si="9">SUM(D2:D8)</f>
        <v>27270.2</v>
      </c>
      <c r="E9" s="27">
        <f t="shared" si="9"/>
        <v>78</v>
      </c>
      <c r="F9" s="27">
        <f t="shared" si="9"/>
        <v>326</v>
      </c>
      <c r="G9" s="27">
        <f t="shared" si="9"/>
        <v>0</v>
      </c>
      <c r="H9" s="27">
        <f t="shared" si="9"/>
        <v>70909.66</v>
      </c>
      <c r="I9" s="27">
        <f t="shared" si="9"/>
        <v>15727.41</v>
      </c>
      <c r="J9" s="27">
        <f t="shared" si="9"/>
        <v>54992.439999999995</v>
      </c>
      <c r="K9" s="27">
        <f t="shared" si="9"/>
        <v>52293.03</v>
      </c>
      <c r="L9" s="27">
        <f t="shared" si="9"/>
        <v>124.63000000000001</v>
      </c>
      <c r="M9" s="27">
        <f t="shared" si="9"/>
        <v>817.15999999999985</v>
      </c>
      <c r="N9" s="27">
        <f t="shared" si="9"/>
        <v>1757.62</v>
      </c>
      <c r="O9" s="27">
        <f t="shared" si="9"/>
        <v>1354.46</v>
      </c>
      <c r="P9" s="27">
        <f t="shared" si="9"/>
        <v>809</v>
      </c>
      <c r="Q9" s="27">
        <f t="shared" si="9"/>
        <v>115</v>
      </c>
      <c r="R9" s="27">
        <f t="shared" si="9"/>
        <v>13443.18</v>
      </c>
      <c r="S9" s="27">
        <f t="shared" si="9"/>
        <v>3150</v>
      </c>
      <c r="T9" s="27">
        <f t="shared" si="9"/>
        <v>-5.7699999999999818</v>
      </c>
      <c r="U9" s="27">
        <f t="shared" si="9"/>
        <v>-189.80999999999767</v>
      </c>
      <c r="V9" s="27">
        <f t="shared" si="9"/>
        <v>0</v>
      </c>
      <c r="W9" s="27">
        <f t="shared" ref="W9" si="10">SUM(W2:W8)</f>
        <v>0</v>
      </c>
      <c r="X9" s="27">
        <f t="shared" si="9"/>
        <v>0</v>
      </c>
      <c r="Y9" s="27">
        <f t="shared" ref="Y9" si="11">SUM(Y2:Y8)</f>
        <v>0</v>
      </c>
    </row>
    <row r="10" spans="1:27" ht="18.75">
      <c r="A10" s="9">
        <v>44718</v>
      </c>
      <c r="B10" s="10" t="s">
        <v>23</v>
      </c>
      <c r="C10" s="11">
        <v>6279.69</v>
      </c>
      <c r="D10" s="11">
        <v>2544.7399999999998</v>
      </c>
      <c r="E10" s="11">
        <v>1.5</v>
      </c>
      <c r="F10" s="11">
        <v>57</v>
      </c>
      <c r="G10" s="11">
        <v>0</v>
      </c>
      <c r="H10" s="11">
        <f t="shared" ref="H10:H16" si="12">SUM(C10:G10,P10)</f>
        <v>8907.93</v>
      </c>
      <c r="I10" s="11">
        <v>2104.42</v>
      </c>
      <c r="J10" s="11">
        <f>SUM(K10:N10)</f>
        <v>6803.51</v>
      </c>
      <c r="K10" s="11">
        <f>6803.51-76.15-433.37</f>
        <v>6293.9900000000007</v>
      </c>
      <c r="L10" s="11">
        <v>0</v>
      </c>
      <c r="M10" s="11">
        <v>76.150000000000006</v>
      </c>
      <c r="N10" s="11">
        <v>433.37</v>
      </c>
      <c r="O10" s="11">
        <v>72</v>
      </c>
      <c r="P10" s="33">
        <v>25</v>
      </c>
      <c r="Q10" s="33">
        <v>17</v>
      </c>
      <c r="R10" s="11">
        <v>1981.15</v>
      </c>
      <c r="S10" s="11">
        <v>450</v>
      </c>
      <c r="T10" s="31">
        <f t="shared" ref="T10:T16" si="13">SUM(O10,P10,Q10,R10)-I10</f>
        <v>-9.2699999999999818</v>
      </c>
      <c r="U10" s="32">
        <f>SUM(I10+J10+W10)-(H10)</f>
        <v>0</v>
      </c>
      <c r="V10" s="33">
        <f>SUM(G10-W10)</f>
        <v>0</v>
      </c>
      <c r="W10" s="33">
        <v>0</v>
      </c>
      <c r="X10" s="33">
        <v>0</v>
      </c>
      <c r="Y10" s="33">
        <f t="shared" ref="Y10:Y37" si="14">SUM(X10-G10)</f>
        <v>0</v>
      </c>
    </row>
    <row r="11" spans="1:27" ht="18.75">
      <c r="A11" s="9">
        <v>44719</v>
      </c>
      <c r="B11" s="10" t="s">
        <v>24</v>
      </c>
      <c r="C11" s="11">
        <v>6002.46</v>
      </c>
      <c r="D11" s="11">
        <v>2852.35</v>
      </c>
      <c r="E11" s="11">
        <v>26</v>
      </c>
      <c r="F11" s="11">
        <v>43</v>
      </c>
      <c r="G11" s="11">
        <v>310</v>
      </c>
      <c r="H11" s="11">
        <f t="shared" si="12"/>
        <v>9283.81</v>
      </c>
      <c r="I11" s="11">
        <v>2007.74</v>
      </c>
      <c r="J11" s="11">
        <f t="shared" ref="J11:J16" si="15">SUM(K11:N11)</f>
        <v>6999.06</v>
      </c>
      <c r="K11" s="11">
        <f>6999.06-70.42-257.08</f>
        <v>6671.56</v>
      </c>
      <c r="L11" s="11">
        <v>0</v>
      </c>
      <c r="M11" s="11">
        <v>70.42</v>
      </c>
      <c r="N11" s="11">
        <v>257.08</v>
      </c>
      <c r="O11" s="11">
        <v>140.62</v>
      </c>
      <c r="P11" s="33">
        <v>50</v>
      </c>
      <c r="Q11" s="33">
        <v>20</v>
      </c>
      <c r="R11" s="11">
        <v>1775.44</v>
      </c>
      <c r="S11" s="11">
        <v>450</v>
      </c>
      <c r="T11" s="31">
        <f t="shared" si="13"/>
        <v>-21.680000000000064</v>
      </c>
      <c r="U11" s="32">
        <f t="shared" ref="U11:U16" si="16">SUM(I11+J11+W11)-(H11)</f>
        <v>22.990000000001601</v>
      </c>
      <c r="V11" s="33">
        <f t="shared" ref="V11:V16" si="17">SUM(G11-W11)</f>
        <v>10</v>
      </c>
      <c r="W11" s="33">
        <v>300</v>
      </c>
      <c r="X11" s="33">
        <v>0</v>
      </c>
      <c r="Y11" s="33">
        <f t="shared" si="14"/>
        <v>-310</v>
      </c>
    </row>
    <row r="12" spans="1:27" ht="18.75">
      <c r="A12" s="9">
        <v>44720</v>
      </c>
      <c r="B12" s="10" t="s">
        <v>25</v>
      </c>
      <c r="C12" s="11">
        <v>6525.04</v>
      </c>
      <c r="D12" s="11">
        <v>2855.89</v>
      </c>
      <c r="E12" s="11">
        <v>6</v>
      </c>
      <c r="F12" s="11">
        <v>66</v>
      </c>
      <c r="G12" s="11">
        <v>10</v>
      </c>
      <c r="H12" s="11">
        <f t="shared" si="12"/>
        <v>9512.93</v>
      </c>
      <c r="I12" s="11">
        <v>2015</v>
      </c>
      <c r="J12" s="11">
        <f t="shared" si="15"/>
        <v>7497.93</v>
      </c>
      <c r="K12" s="11">
        <f>7497.93-179.29-665.59</f>
        <v>6653.05</v>
      </c>
      <c r="L12" s="11">
        <v>0</v>
      </c>
      <c r="M12" s="11">
        <v>179.29</v>
      </c>
      <c r="N12" s="11">
        <v>665.59</v>
      </c>
      <c r="O12" s="11">
        <v>0</v>
      </c>
      <c r="P12" s="33">
        <v>50</v>
      </c>
      <c r="Q12" s="33">
        <v>48</v>
      </c>
      <c r="R12" s="11">
        <f>452.5+1450</f>
        <v>1902.5</v>
      </c>
      <c r="S12" s="11">
        <v>450</v>
      </c>
      <c r="T12" s="31">
        <f t="shared" si="13"/>
        <v>-14.5</v>
      </c>
      <c r="U12" s="32">
        <f t="shared" si="16"/>
        <v>10</v>
      </c>
      <c r="V12" s="33">
        <f t="shared" si="17"/>
        <v>0</v>
      </c>
      <c r="W12" s="33">
        <v>10</v>
      </c>
      <c r="X12" s="33">
        <v>80</v>
      </c>
      <c r="Y12" s="33">
        <f t="shared" si="14"/>
        <v>70</v>
      </c>
    </row>
    <row r="13" spans="1:27" ht="18.75">
      <c r="A13" s="9">
        <v>44721</v>
      </c>
      <c r="B13" s="10" t="s">
        <v>26</v>
      </c>
      <c r="C13" s="11">
        <v>8069.9</v>
      </c>
      <c r="D13" s="11">
        <v>3110.47</v>
      </c>
      <c r="E13" s="11">
        <v>4</v>
      </c>
      <c r="F13" s="11">
        <v>58</v>
      </c>
      <c r="G13" s="11">
        <v>49</v>
      </c>
      <c r="H13" s="11">
        <f t="shared" si="12"/>
        <v>11321.369999999999</v>
      </c>
      <c r="I13" s="11">
        <v>2591.34</v>
      </c>
      <c r="J13" s="11">
        <f t="shared" si="15"/>
        <v>8696.08</v>
      </c>
      <c r="K13" s="11">
        <f>8696.08-218.25-507.78</f>
        <v>7970.05</v>
      </c>
      <c r="L13" s="11">
        <v>0</v>
      </c>
      <c r="M13" s="11">
        <v>218.25</v>
      </c>
      <c r="N13" s="11">
        <v>507.78</v>
      </c>
      <c r="O13" s="11">
        <v>313.26</v>
      </c>
      <c r="P13" s="33">
        <v>30</v>
      </c>
      <c r="Q13" s="33">
        <v>10</v>
      </c>
      <c r="R13" s="11">
        <v>2221.88</v>
      </c>
      <c r="S13" s="11">
        <v>450</v>
      </c>
      <c r="T13" s="31">
        <f t="shared" si="13"/>
        <v>-16.199999999999818</v>
      </c>
      <c r="U13" s="32">
        <f t="shared" si="16"/>
        <v>15.050000000001091</v>
      </c>
      <c r="V13" s="33">
        <f t="shared" si="17"/>
        <v>0</v>
      </c>
      <c r="W13" s="33">
        <v>49</v>
      </c>
      <c r="X13" s="33">
        <v>160</v>
      </c>
      <c r="Y13" s="33">
        <f t="shared" si="14"/>
        <v>111</v>
      </c>
    </row>
    <row r="14" spans="1:27" ht="18.75">
      <c r="A14" s="9">
        <v>44722</v>
      </c>
      <c r="B14" s="10" t="s">
        <v>20</v>
      </c>
      <c r="C14" s="11">
        <v>7353.25</v>
      </c>
      <c r="D14" s="11">
        <v>4403.6899999999996</v>
      </c>
      <c r="E14" s="11">
        <v>29.5</v>
      </c>
      <c r="F14" s="11">
        <v>27</v>
      </c>
      <c r="G14" s="11">
        <v>85</v>
      </c>
      <c r="H14" s="11">
        <f t="shared" si="12"/>
        <v>11958.439999999999</v>
      </c>
      <c r="I14" s="11">
        <v>2802.92</v>
      </c>
      <c r="J14" s="11">
        <f t="shared" si="15"/>
        <v>8838.68</v>
      </c>
      <c r="K14" s="11">
        <f>8838.68-123.21-20.99-173.71</f>
        <v>8520.7700000000023</v>
      </c>
      <c r="L14" s="11">
        <v>20.99</v>
      </c>
      <c r="M14" s="11">
        <v>123.21</v>
      </c>
      <c r="N14" s="11">
        <v>173.71</v>
      </c>
      <c r="O14" s="11">
        <v>0</v>
      </c>
      <c r="P14" s="33">
        <v>60</v>
      </c>
      <c r="Q14" s="33">
        <v>31</v>
      </c>
      <c r="R14" s="11">
        <v>2673.44</v>
      </c>
      <c r="S14" s="11">
        <v>450</v>
      </c>
      <c r="T14" s="31">
        <f t="shared" si="13"/>
        <v>-38.480000000000018</v>
      </c>
      <c r="U14" s="32">
        <f t="shared" si="16"/>
        <v>-276.83999999999833</v>
      </c>
      <c r="V14" s="33">
        <f t="shared" si="17"/>
        <v>45</v>
      </c>
      <c r="W14" s="33">
        <v>40</v>
      </c>
      <c r="X14" s="33">
        <v>310</v>
      </c>
      <c r="Y14" s="33">
        <f t="shared" si="14"/>
        <v>225</v>
      </c>
      <c r="Z14" t="s">
        <v>75</v>
      </c>
      <c r="AA14" t="s">
        <v>76</v>
      </c>
    </row>
    <row r="15" spans="1:27" ht="18.75">
      <c r="A15" s="9">
        <v>44723</v>
      </c>
      <c r="B15" s="10" t="s">
        <v>21</v>
      </c>
      <c r="C15" s="11">
        <v>6420.58</v>
      </c>
      <c r="D15" s="11">
        <v>4197.32</v>
      </c>
      <c r="E15" s="11">
        <v>12</v>
      </c>
      <c r="F15" s="11">
        <v>22</v>
      </c>
      <c r="G15" s="11">
        <v>20</v>
      </c>
      <c r="H15" s="11">
        <f t="shared" si="12"/>
        <v>10711.9</v>
      </c>
      <c r="I15" s="11">
        <v>2582.34</v>
      </c>
      <c r="J15" s="11">
        <f t="shared" si="15"/>
        <v>8119.56</v>
      </c>
      <c r="K15" s="11">
        <f>8119.56-4-158.37</f>
        <v>7957.1900000000005</v>
      </c>
      <c r="L15" s="11">
        <v>4</v>
      </c>
      <c r="M15" s="11">
        <v>0</v>
      </c>
      <c r="N15" s="11">
        <v>158.37</v>
      </c>
      <c r="O15" s="11">
        <v>0</v>
      </c>
      <c r="P15" s="33">
        <v>40</v>
      </c>
      <c r="Q15" s="33">
        <v>8.5</v>
      </c>
      <c r="R15" s="11">
        <v>2537.6799999999998</v>
      </c>
      <c r="S15" s="11">
        <v>450</v>
      </c>
      <c r="T15" s="31">
        <f t="shared" si="13"/>
        <v>3.8399999999996908</v>
      </c>
      <c r="U15" s="32">
        <f t="shared" si="16"/>
        <v>0</v>
      </c>
      <c r="V15" s="33">
        <f t="shared" si="17"/>
        <v>10</v>
      </c>
      <c r="W15" s="33">
        <v>10</v>
      </c>
      <c r="X15" s="33">
        <v>660</v>
      </c>
      <c r="Y15" s="33">
        <f t="shared" si="14"/>
        <v>640</v>
      </c>
    </row>
    <row r="16" spans="1:27" ht="18.75">
      <c r="A16" s="9">
        <v>44724</v>
      </c>
      <c r="B16" s="10" t="s">
        <v>22</v>
      </c>
      <c r="C16" s="11">
        <v>7352.53</v>
      </c>
      <c r="D16" s="11">
        <v>3150.13</v>
      </c>
      <c r="E16" s="11">
        <v>0</v>
      </c>
      <c r="F16" s="11">
        <v>113</v>
      </c>
      <c r="G16" s="11">
        <v>90</v>
      </c>
      <c r="H16" s="11">
        <f t="shared" si="12"/>
        <v>10705.66</v>
      </c>
      <c r="I16" s="11">
        <v>2527.4299999999998</v>
      </c>
      <c r="J16" s="11">
        <f t="shared" si="15"/>
        <v>8128.23</v>
      </c>
      <c r="K16" s="11">
        <f>8128.23-307.15</f>
        <v>7821.08</v>
      </c>
      <c r="L16" s="11">
        <v>0</v>
      </c>
      <c r="M16" s="11">
        <v>307.14999999999998</v>
      </c>
      <c r="N16" s="11">
        <v>0</v>
      </c>
      <c r="O16" s="11">
        <v>0</v>
      </c>
      <c r="P16" s="33">
        <v>0</v>
      </c>
      <c r="Q16" s="33">
        <v>2</v>
      </c>
      <c r="R16" s="11">
        <v>2521.4499999999998</v>
      </c>
      <c r="S16" s="11">
        <v>450</v>
      </c>
      <c r="T16" s="31">
        <f t="shared" si="13"/>
        <v>-3.9800000000000182</v>
      </c>
      <c r="U16" s="32">
        <f t="shared" si="16"/>
        <v>0</v>
      </c>
      <c r="V16" s="33">
        <f t="shared" si="17"/>
        <v>40</v>
      </c>
      <c r="W16" s="33">
        <v>50</v>
      </c>
      <c r="X16" s="33">
        <v>250</v>
      </c>
      <c r="Y16" s="33">
        <f t="shared" si="14"/>
        <v>160</v>
      </c>
    </row>
    <row r="17" spans="1:26" ht="37.5" customHeight="1">
      <c r="A17" s="65" t="s">
        <v>27</v>
      </c>
      <c r="B17" s="66"/>
      <c r="C17" s="27">
        <f>SUM(C10:C16)</f>
        <v>48003.45</v>
      </c>
      <c r="D17" s="27">
        <f t="shared" ref="D17:X17" si="18">SUM(D10:D16)</f>
        <v>23114.59</v>
      </c>
      <c r="E17" s="27">
        <f t="shared" si="18"/>
        <v>79</v>
      </c>
      <c r="F17" s="27">
        <f t="shared" si="18"/>
        <v>386</v>
      </c>
      <c r="G17" s="27">
        <f t="shared" si="18"/>
        <v>564</v>
      </c>
      <c r="H17" s="27">
        <f t="shared" si="18"/>
        <v>72402.039999999994</v>
      </c>
      <c r="I17" s="27">
        <f t="shared" si="18"/>
        <v>16631.189999999999</v>
      </c>
      <c r="J17" s="27">
        <f t="shared" si="18"/>
        <v>55083.05</v>
      </c>
      <c r="K17" s="27">
        <f t="shared" si="18"/>
        <v>51887.69000000001</v>
      </c>
      <c r="L17" s="27">
        <f t="shared" si="18"/>
        <v>24.99</v>
      </c>
      <c r="M17" s="27">
        <f t="shared" si="18"/>
        <v>974.47</v>
      </c>
      <c r="N17" s="27">
        <f t="shared" si="18"/>
        <v>2195.9</v>
      </c>
      <c r="O17" s="27">
        <f t="shared" si="18"/>
        <v>525.88</v>
      </c>
      <c r="P17" s="27">
        <f t="shared" si="18"/>
        <v>255</v>
      </c>
      <c r="Q17" s="27">
        <f t="shared" si="18"/>
        <v>136.5</v>
      </c>
      <c r="R17" s="27">
        <f t="shared" si="18"/>
        <v>15613.54</v>
      </c>
      <c r="S17" s="27">
        <f t="shared" si="18"/>
        <v>3150</v>
      </c>
      <c r="T17" s="27">
        <f t="shared" si="18"/>
        <v>-100.27000000000021</v>
      </c>
      <c r="U17" s="27">
        <f t="shared" si="18"/>
        <v>-228.79999999999563</v>
      </c>
      <c r="V17" s="27">
        <f t="shared" si="18"/>
        <v>105</v>
      </c>
      <c r="W17" s="27">
        <f t="shared" ref="W17" si="19">SUM(W10:W16)</f>
        <v>459</v>
      </c>
      <c r="X17" s="27">
        <f t="shared" si="18"/>
        <v>1460</v>
      </c>
      <c r="Y17" s="27">
        <f t="shared" ref="Y17" si="20">SUM(Y10:Y16)</f>
        <v>896</v>
      </c>
    </row>
    <row r="18" spans="1:26" s="35" customFormat="1" ht="18.75">
      <c r="A18" s="9">
        <v>44725</v>
      </c>
      <c r="B18" s="10" t="s">
        <v>23</v>
      </c>
      <c r="C18" s="11">
        <v>6030.9</v>
      </c>
      <c r="D18" s="11">
        <v>3185.32</v>
      </c>
      <c r="E18" s="11">
        <v>0</v>
      </c>
      <c r="F18" s="11">
        <v>91</v>
      </c>
      <c r="G18" s="11">
        <v>10</v>
      </c>
      <c r="H18" s="11">
        <f t="shared" ref="H18:H24" si="21">SUM(C18:G18,P18)</f>
        <v>9327.2199999999993</v>
      </c>
      <c r="I18" s="11">
        <v>2603.9699999999998</v>
      </c>
      <c r="J18" s="11">
        <f>SUM(K18:N18)</f>
        <v>6708.74</v>
      </c>
      <c r="K18" s="11">
        <f>6708.74-75.14-246.33</f>
        <v>6387.2699999999995</v>
      </c>
      <c r="L18" s="11">
        <v>0</v>
      </c>
      <c r="M18" s="11">
        <v>75.14</v>
      </c>
      <c r="N18" s="11">
        <v>246.33</v>
      </c>
      <c r="O18" s="11">
        <v>84</v>
      </c>
      <c r="P18" s="33">
        <v>10</v>
      </c>
      <c r="Q18" s="33">
        <v>65</v>
      </c>
      <c r="R18" s="11">
        <v>2446.02</v>
      </c>
      <c r="S18" s="11">
        <v>450</v>
      </c>
      <c r="T18" s="31">
        <f t="shared" ref="T18:T24" si="22">SUM(O18,P18,Q18,R18)-I18</f>
        <v>1.0500000000001819</v>
      </c>
      <c r="U18" s="32">
        <f>SUM(I18+J18+W18)-(H18)</f>
        <v>-4.5100000000002183</v>
      </c>
      <c r="V18" s="33">
        <f>SUM(G18-W18)</f>
        <v>0</v>
      </c>
      <c r="W18" s="33">
        <v>10</v>
      </c>
      <c r="X18" s="33">
        <v>340</v>
      </c>
      <c r="Y18" s="33">
        <f t="shared" si="14"/>
        <v>330</v>
      </c>
    </row>
    <row r="19" spans="1:26" s="35" customFormat="1" ht="18.75">
      <c r="A19" s="9">
        <v>44726</v>
      </c>
      <c r="B19" s="10" t="s">
        <v>24</v>
      </c>
      <c r="C19" s="11">
        <v>6280.45</v>
      </c>
      <c r="D19" s="11">
        <v>3110</v>
      </c>
      <c r="E19" s="11">
        <v>12</v>
      </c>
      <c r="F19" s="11">
        <v>38</v>
      </c>
      <c r="G19" s="11">
        <v>70</v>
      </c>
      <c r="H19" s="11">
        <f t="shared" si="21"/>
        <v>9515.4500000000007</v>
      </c>
      <c r="I19" s="11">
        <v>1829.46</v>
      </c>
      <c r="J19" s="11">
        <f t="shared" ref="J19:J24" si="23">SUM(K19:N19)</f>
        <v>7635.99</v>
      </c>
      <c r="K19" s="11">
        <f>7635.99-379.43-219.99</f>
        <v>7036.57</v>
      </c>
      <c r="L19" s="11">
        <v>0</v>
      </c>
      <c r="M19" s="11">
        <v>219.99</v>
      </c>
      <c r="N19" s="11">
        <v>379.43</v>
      </c>
      <c r="O19" s="11">
        <v>8.11</v>
      </c>
      <c r="P19" s="33">
        <v>5</v>
      </c>
      <c r="Q19" s="33">
        <v>19</v>
      </c>
      <c r="R19" s="11">
        <v>1790.15</v>
      </c>
      <c r="S19" s="11">
        <v>450</v>
      </c>
      <c r="T19" s="31">
        <f t="shared" si="22"/>
        <v>-7.2000000000000455</v>
      </c>
      <c r="U19" s="32">
        <f t="shared" ref="U19:U24" si="24">SUM(I19+J19+W19)-(H19)</f>
        <v>0</v>
      </c>
      <c r="V19" s="33">
        <f t="shared" ref="V19:V24" si="25">SUM(G19-W19)</f>
        <v>20</v>
      </c>
      <c r="W19" s="33">
        <v>50</v>
      </c>
      <c r="X19" s="33">
        <v>90</v>
      </c>
      <c r="Y19" s="33">
        <f t="shared" si="14"/>
        <v>20</v>
      </c>
    </row>
    <row r="20" spans="1:26" s="35" customFormat="1" ht="18.75">
      <c r="A20" s="9">
        <v>44727</v>
      </c>
      <c r="B20" s="10" t="s">
        <v>25</v>
      </c>
      <c r="C20" s="11">
        <v>7316.09</v>
      </c>
      <c r="D20" s="11">
        <v>3247.36</v>
      </c>
      <c r="E20" s="11">
        <v>8</v>
      </c>
      <c r="F20" s="11">
        <v>23</v>
      </c>
      <c r="G20" s="11">
        <v>191.99</v>
      </c>
      <c r="H20" s="11">
        <f t="shared" si="21"/>
        <v>10821.44</v>
      </c>
      <c r="I20" s="11">
        <v>1947.44</v>
      </c>
      <c r="J20" s="11">
        <f t="shared" si="23"/>
        <v>8874</v>
      </c>
      <c r="K20" s="11">
        <f>8874-195.75-20.01-723.11</f>
        <v>7935.13</v>
      </c>
      <c r="L20" s="11">
        <v>20.010000000000002</v>
      </c>
      <c r="M20" s="11">
        <v>195.75</v>
      </c>
      <c r="N20" s="11">
        <v>723.11</v>
      </c>
      <c r="O20" s="11">
        <v>252.62</v>
      </c>
      <c r="P20" s="33">
        <v>35</v>
      </c>
      <c r="Q20" s="33">
        <v>20</v>
      </c>
      <c r="R20" s="11">
        <v>1642.3</v>
      </c>
      <c r="S20" s="11">
        <v>450</v>
      </c>
      <c r="T20" s="31">
        <f t="shared" si="22"/>
        <v>2.4800000000000182</v>
      </c>
      <c r="U20" s="32">
        <f t="shared" si="24"/>
        <v>0</v>
      </c>
      <c r="V20" s="33">
        <f t="shared" si="25"/>
        <v>191.99</v>
      </c>
      <c r="W20" s="33">
        <v>0</v>
      </c>
      <c r="X20" s="33">
        <v>130</v>
      </c>
      <c r="Y20" s="33">
        <f t="shared" si="14"/>
        <v>-61.990000000000009</v>
      </c>
    </row>
    <row r="21" spans="1:26" s="35" customFormat="1" ht="18.75">
      <c r="A21" s="9">
        <v>44728</v>
      </c>
      <c r="B21" s="10" t="s">
        <v>26</v>
      </c>
      <c r="C21" s="11">
        <v>6215.79</v>
      </c>
      <c r="D21" s="11">
        <v>3831.99</v>
      </c>
      <c r="E21" s="11">
        <v>14</v>
      </c>
      <c r="F21" s="11">
        <v>46</v>
      </c>
      <c r="G21" s="11">
        <v>102.22</v>
      </c>
      <c r="H21" s="11">
        <f t="shared" si="21"/>
        <v>10254.999999999998</v>
      </c>
      <c r="I21" s="11">
        <v>2214.85</v>
      </c>
      <c r="J21" s="11">
        <f t="shared" si="23"/>
        <v>7907.92</v>
      </c>
      <c r="K21" s="11">
        <f>7907.92-287.09-325.67</f>
        <v>7295.16</v>
      </c>
      <c r="L21" s="11">
        <v>0</v>
      </c>
      <c r="M21" s="11">
        <v>287.08999999999997</v>
      </c>
      <c r="N21" s="11">
        <v>325.67</v>
      </c>
      <c r="O21" s="11">
        <v>445.54</v>
      </c>
      <c r="P21" s="33">
        <v>45</v>
      </c>
      <c r="Q21" s="33">
        <v>39</v>
      </c>
      <c r="R21" s="11">
        <v>1700.14</v>
      </c>
      <c r="S21" s="11">
        <v>450</v>
      </c>
      <c r="T21" s="31">
        <f t="shared" si="22"/>
        <v>14.830000000000382</v>
      </c>
      <c r="U21" s="32">
        <f t="shared" si="24"/>
        <v>-40.009999999998399</v>
      </c>
      <c r="V21" s="33">
        <f t="shared" si="25"/>
        <v>10</v>
      </c>
      <c r="W21" s="33">
        <f>18+74.22</f>
        <v>92.22</v>
      </c>
      <c r="X21" s="33">
        <v>130</v>
      </c>
      <c r="Y21" s="33">
        <f t="shared" si="14"/>
        <v>27.78</v>
      </c>
      <c r="Z21" s="35" t="s">
        <v>77</v>
      </c>
    </row>
    <row r="22" spans="1:26" s="35" customFormat="1" ht="18.75">
      <c r="A22" s="9">
        <v>44729</v>
      </c>
      <c r="B22" s="10" t="s">
        <v>20</v>
      </c>
      <c r="C22" s="11">
        <v>7780.36</v>
      </c>
      <c r="D22" s="11">
        <v>6145.67</v>
      </c>
      <c r="E22" s="11">
        <v>50</v>
      </c>
      <c r="F22" s="11">
        <v>27</v>
      </c>
      <c r="G22" s="11">
        <v>50</v>
      </c>
      <c r="H22" s="11">
        <f t="shared" si="21"/>
        <v>14123.029999999999</v>
      </c>
      <c r="I22" s="43">
        <v>3043.89</v>
      </c>
      <c r="J22" s="11">
        <f t="shared" si="23"/>
        <v>10803.46</v>
      </c>
      <c r="K22" s="11">
        <f>10803.46-189.75-87.1</f>
        <v>10526.609999999999</v>
      </c>
      <c r="L22" s="11">
        <v>0</v>
      </c>
      <c r="M22" s="11">
        <v>189.75</v>
      </c>
      <c r="N22" s="11">
        <v>87.1</v>
      </c>
      <c r="O22" s="11">
        <v>46</v>
      </c>
      <c r="P22" s="33">
        <v>70</v>
      </c>
      <c r="Q22" s="33">
        <v>29</v>
      </c>
      <c r="R22" s="11">
        <v>2907.05</v>
      </c>
      <c r="S22" s="11">
        <v>450</v>
      </c>
      <c r="T22" s="31">
        <f t="shared" si="22"/>
        <v>8.1600000000003092</v>
      </c>
      <c r="U22" s="32">
        <f t="shared" si="24"/>
        <v>-260.68000000000029</v>
      </c>
      <c r="V22" s="33">
        <f t="shared" si="25"/>
        <v>35</v>
      </c>
      <c r="W22" s="33">
        <v>15</v>
      </c>
      <c r="X22" s="33">
        <v>310</v>
      </c>
      <c r="Y22" s="33">
        <f t="shared" si="14"/>
        <v>260</v>
      </c>
    </row>
    <row r="23" spans="1:26" s="35" customFormat="1" ht="18.75">
      <c r="A23" s="9">
        <v>44730</v>
      </c>
      <c r="B23" s="10" t="s">
        <v>21</v>
      </c>
      <c r="C23" s="11">
        <v>6362.22</v>
      </c>
      <c r="D23" s="11">
        <v>3947.35</v>
      </c>
      <c r="E23" s="11">
        <v>4</v>
      </c>
      <c r="F23" s="11">
        <v>41</v>
      </c>
      <c r="G23" s="11">
        <v>157.83000000000001</v>
      </c>
      <c r="H23" s="11">
        <f t="shared" si="21"/>
        <v>10552.4</v>
      </c>
      <c r="I23" s="11">
        <v>2297.9699999999998</v>
      </c>
      <c r="J23" s="11">
        <f t="shared" si="23"/>
        <v>8173.55</v>
      </c>
      <c r="K23" s="11">
        <f>8173.55-62.18-380.03</f>
        <v>7731.34</v>
      </c>
      <c r="L23" s="11">
        <v>0</v>
      </c>
      <c r="M23" s="11">
        <v>62.18</v>
      </c>
      <c r="N23" s="11">
        <v>380.03</v>
      </c>
      <c r="O23" s="11">
        <v>0</v>
      </c>
      <c r="P23" s="33">
        <v>40</v>
      </c>
      <c r="Q23" s="33">
        <v>0</v>
      </c>
      <c r="R23" s="11">
        <v>2269.86</v>
      </c>
      <c r="S23" s="11">
        <v>450</v>
      </c>
      <c r="T23" s="31">
        <f t="shared" si="22"/>
        <v>11.890000000000327</v>
      </c>
      <c r="U23" s="32">
        <f t="shared" si="24"/>
        <v>-1.1999999999989086</v>
      </c>
      <c r="V23" s="33">
        <f t="shared" si="25"/>
        <v>78.150000000000006</v>
      </c>
      <c r="W23" s="33">
        <v>79.680000000000007</v>
      </c>
      <c r="X23" s="33">
        <v>670</v>
      </c>
      <c r="Y23" s="33">
        <f t="shared" si="14"/>
        <v>512.16999999999996</v>
      </c>
    </row>
    <row r="24" spans="1:26" s="35" customFormat="1" ht="18.75">
      <c r="A24" s="9">
        <v>44731</v>
      </c>
      <c r="B24" s="10" t="s">
        <v>22</v>
      </c>
      <c r="C24" s="11">
        <v>4703</v>
      </c>
      <c r="D24" s="11">
        <v>3259.44</v>
      </c>
      <c r="E24" s="11">
        <v>0</v>
      </c>
      <c r="F24" s="11">
        <v>146</v>
      </c>
      <c r="G24" s="11">
        <v>10</v>
      </c>
      <c r="H24" s="11">
        <f t="shared" si="21"/>
        <v>8143.4400000000005</v>
      </c>
      <c r="I24" s="11">
        <v>2208.6799999999998</v>
      </c>
      <c r="J24" s="11">
        <f t="shared" si="23"/>
        <v>5929.36</v>
      </c>
      <c r="K24" s="11">
        <f>5929.36-90.26</f>
        <v>5839.0999999999995</v>
      </c>
      <c r="L24" s="11">
        <v>0</v>
      </c>
      <c r="M24" s="11">
        <v>90.26</v>
      </c>
      <c r="N24" s="11">
        <v>0</v>
      </c>
      <c r="O24" s="11">
        <v>0</v>
      </c>
      <c r="P24" s="33">
        <v>25</v>
      </c>
      <c r="Q24" s="33">
        <v>5</v>
      </c>
      <c r="R24" s="11">
        <v>2178.1</v>
      </c>
      <c r="S24" s="11">
        <v>450</v>
      </c>
      <c r="T24" s="31">
        <f t="shared" si="22"/>
        <v>-0.57999999999992724</v>
      </c>
      <c r="U24" s="32">
        <f t="shared" si="24"/>
        <v>-5.4000000000014552</v>
      </c>
      <c r="V24" s="33">
        <f t="shared" si="25"/>
        <v>10</v>
      </c>
      <c r="W24" s="33">
        <v>0</v>
      </c>
      <c r="X24" s="33">
        <v>300</v>
      </c>
      <c r="Y24" s="33">
        <f t="shared" si="14"/>
        <v>290</v>
      </c>
    </row>
    <row r="25" spans="1:26" ht="37.5" customHeight="1">
      <c r="A25" s="65" t="s">
        <v>27</v>
      </c>
      <c r="B25" s="66"/>
      <c r="C25" s="27">
        <f>SUM(C18:C24)</f>
        <v>44688.81</v>
      </c>
      <c r="D25" s="27">
        <f t="shared" ref="D25:X25" si="26">SUM(D18:D24)</f>
        <v>26727.129999999997</v>
      </c>
      <c r="E25" s="27">
        <f t="shared" si="26"/>
        <v>88</v>
      </c>
      <c r="F25" s="27">
        <f t="shared" si="26"/>
        <v>412</v>
      </c>
      <c r="G25" s="27">
        <f t="shared" si="26"/>
        <v>592.04000000000008</v>
      </c>
      <c r="H25" s="27">
        <f t="shared" si="26"/>
        <v>72737.98</v>
      </c>
      <c r="I25" s="27">
        <f t="shared" si="26"/>
        <v>16146.26</v>
      </c>
      <c r="J25" s="27">
        <f t="shared" si="26"/>
        <v>56033.020000000004</v>
      </c>
      <c r="K25" s="27">
        <f t="shared" si="26"/>
        <v>52751.18</v>
      </c>
      <c r="L25" s="27">
        <f t="shared" si="26"/>
        <v>20.010000000000002</v>
      </c>
      <c r="M25" s="27">
        <f t="shared" si="26"/>
        <v>1120.1600000000001</v>
      </c>
      <c r="N25" s="27">
        <f t="shared" si="26"/>
        <v>2141.67</v>
      </c>
      <c r="O25" s="27">
        <f t="shared" si="26"/>
        <v>836.27</v>
      </c>
      <c r="P25" s="27">
        <f t="shared" si="26"/>
        <v>230</v>
      </c>
      <c r="Q25" s="27">
        <f t="shared" si="26"/>
        <v>177</v>
      </c>
      <c r="R25" s="27">
        <f t="shared" si="26"/>
        <v>14933.62</v>
      </c>
      <c r="S25" s="27">
        <f t="shared" si="26"/>
        <v>3150</v>
      </c>
      <c r="T25" s="27">
        <f t="shared" si="26"/>
        <v>30.630000000001246</v>
      </c>
      <c r="U25" s="27">
        <f t="shared" si="26"/>
        <v>-311.79999999999927</v>
      </c>
      <c r="V25" s="27">
        <f t="shared" si="26"/>
        <v>345.14</v>
      </c>
      <c r="W25" s="27">
        <f t="shared" ref="W25" si="27">SUM(W18:W24)</f>
        <v>246.9</v>
      </c>
      <c r="X25" s="27">
        <f t="shared" si="26"/>
        <v>1970</v>
      </c>
      <c r="Y25" s="27">
        <f t="shared" ref="Y25" si="28">SUM(Y18:Y24)</f>
        <v>1377.96</v>
      </c>
    </row>
    <row r="26" spans="1:26" s="35" customFormat="1" ht="18.75">
      <c r="A26" s="9">
        <v>44732</v>
      </c>
      <c r="B26" s="10" t="s">
        <v>23</v>
      </c>
      <c r="C26" s="11">
        <v>7611.29</v>
      </c>
      <c r="D26" s="11">
        <v>3327.04</v>
      </c>
      <c r="E26" s="11">
        <v>2.5</v>
      </c>
      <c r="F26" s="11">
        <v>58</v>
      </c>
      <c r="G26" s="11">
        <v>125</v>
      </c>
      <c r="H26" s="11">
        <f t="shared" ref="H26:H32" si="29">SUM(C26:G26,P26)</f>
        <v>11248.83</v>
      </c>
      <c r="I26" s="11">
        <v>3003.44</v>
      </c>
      <c r="J26" s="11">
        <f>SUM(K26:N26)</f>
        <v>8240.39</v>
      </c>
      <c r="K26" s="11">
        <f>8240.39-574.93</f>
        <v>7665.4599999999991</v>
      </c>
      <c r="L26" s="11">
        <v>0</v>
      </c>
      <c r="M26" s="11">
        <v>0</v>
      </c>
      <c r="N26" s="11">
        <v>574.92999999999995</v>
      </c>
      <c r="O26" s="11">
        <v>301.14999999999998</v>
      </c>
      <c r="P26" s="33">
        <v>125</v>
      </c>
      <c r="Q26" s="33">
        <v>56</v>
      </c>
      <c r="R26" s="11">
        <v>2523.5</v>
      </c>
      <c r="S26" s="11">
        <v>450</v>
      </c>
      <c r="T26" s="31">
        <f t="shared" ref="T26:T32" si="30">SUM(O26,P26,Q26,R26)-I26</f>
        <v>2.2100000000000364</v>
      </c>
      <c r="U26" s="32">
        <f>SUM(I26+J26+W26)-(H26)</f>
        <v>0</v>
      </c>
      <c r="V26" s="33">
        <f>SUM(G26-W26)</f>
        <v>120</v>
      </c>
      <c r="W26" s="33">
        <v>5</v>
      </c>
      <c r="X26" s="33">
        <v>470</v>
      </c>
      <c r="Y26" s="33">
        <f t="shared" si="14"/>
        <v>345</v>
      </c>
    </row>
    <row r="27" spans="1:26" s="35" customFormat="1" ht="18.75">
      <c r="A27" s="9">
        <v>44733</v>
      </c>
      <c r="B27" s="10" t="s">
        <v>24</v>
      </c>
      <c r="C27" s="11">
        <v>7022.52</v>
      </c>
      <c r="D27" s="11">
        <v>3217.46</v>
      </c>
      <c r="E27" s="11">
        <v>32</v>
      </c>
      <c r="F27" s="11">
        <v>156</v>
      </c>
      <c r="G27" s="11">
        <v>326.8</v>
      </c>
      <c r="H27" s="11">
        <f t="shared" si="29"/>
        <v>10983.21</v>
      </c>
      <c r="I27" s="11">
        <v>2732.95</v>
      </c>
      <c r="J27" s="11">
        <f t="shared" ref="J27:J32" si="31">SUM(K27:N27)</f>
        <v>8008.46</v>
      </c>
      <c r="K27" s="11">
        <f>8008.46-373.88-6.14-91.79</f>
        <v>7536.65</v>
      </c>
      <c r="L27" s="11">
        <v>6.14</v>
      </c>
      <c r="M27" s="11">
        <v>373.88</v>
      </c>
      <c r="N27" s="11">
        <v>91.79</v>
      </c>
      <c r="O27" s="11">
        <v>321.97000000000003</v>
      </c>
      <c r="P27" s="33">
        <v>228.43</v>
      </c>
      <c r="Q27" s="33">
        <v>32.1</v>
      </c>
      <c r="R27" s="11">
        <v>2152.9</v>
      </c>
      <c r="S27" s="11">
        <v>450</v>
      </c>
      <c r="T27" s="31">
        <f t="shared" si="30"/>
        <v>2.4500000000002728</v>
      </c>
      <c r="U27" s="32">
        <f t="shared" ref="U27:U37" si="32">SUM(I27+J27+W27)-(H27)</f>
        <v>0</v>
      </c>
      <c r="V27" s="33">
        <f t="shared" ref="V27:V32" si="33">SUM(G27-W27)</f>
        <v>85</v>
      </c>
      <c r="W27" s="33">
        <v>241.8</v>
      </c>
      <c r="X27" s="33">
        <v>310</v>
      </c>
      <c r="Y27" s="33">
        <f t="shared" si="14"/>
        <v>-16.800000000000011</v>
      </c>
    </row>
    <row r="28" spans="1:26" s="35" customFormat="1" ht="18.75">
      <c r="A28" s="9">
        <v>44734</v>
      </c>
      <c r="B28" s="10" t="s">
        <v>25</v>
      </c>
      <c r="C28" s="11">
        <v>7601.69</v>
      </c>
      <c r="D28" s="11">
        <v>3516.81</v>
      </c>
      <c r="E28" s="11">
        <v>4</v>
      </c>
      <c r="F28" s="11">
        <v>47</v>
      </c>
      <c r="G28" s="11">
        <v>340.5</v>
      </c>
      <c r="H28" s="11">
        <f t="shared" si="29"/>
        <v>11530</v>
      </c>
      <c r="I28" s="11">
        <v>2088.23</v>
      </c>
      <c r="J28" s="11">
        <f t="shared" si="31"/>
        <v>9116.27</v>
      </c>
      <c r="K28" s="11">
        <f>9116.27-376.05-365.24</f>
        <v>8374.9800000000014</v>
      </c>
      <c r="L28" s="11">
        <v>0</v>
      </c>
      <c r="M28" s="11">
        <v>376.05</v>
      </c>
      <c r="N28" s="11">
        <v>365.24</v>
      </c>
      <c r="O28" s="11">
        <v>0</v>
      </c>
      <c r="P28" s="33">
        <v>20</v>
      </c>
      <c r="Q28" s="33">
        <v>31</v>
      </c>
      <c r="R28" s="11">
        <v>2040.75</v>
      </c>
      <c r="S28" s="11">
        <v>450</v>
      </c>
      <c r="T28" s="31">
        <f t="shared" si="30"/>
        <v>3.5199999999999818</v>
      </c>
      <c r="U28" s="32">
        <f t="shared" si="32"/>
        <v>0</v>
      </c>
      <c r="V28" s="33">
        <f t="shared" si="33"/>
        <v>15</v>
      </c>
      <c r="W28" s="33">
        <v>325.5</v>
      </c>
      <c r="X28" s="33">
        <v>540</v>
      </c>
      <c r="Y28" s="33">
        <f t="shared" si="14"/>
        <v>199.5</v>
      </c>
    </row>
    <row r="29" spans="1:26" s="35" customFormat="1" ht="18.75">
      <c r="A29" s="9">
        <v>44735</v>
      </c>
      <c r="B29" s="10" t="s">
        <v>26</v>
      </c>
      <c r="C29" s="11">
        <v>7423.5</v>
      </c>
      <c r="D29" s="11">
        <v>3195.25</v>
      </c>
      <c r="E29" s="11">
        <v>0</v>
      </c>
      <c r="F29" s="11">
        <v>42</v>
      </c>
      <c r="G29" s="11">
        <v>471.47</v>
      </c>
      <c r="H29" s="11">
        <f t="shared" si="29"/>
        <v>11132.22</v>
      </c>
      <c r="I29" s="11">
        <v>2457.2600000000002</v>
      </c>
      <c r="J29" s="11">
        <f t="shared" si="31"/>
        <v>8213.49</v>
      </c>
      <c r="K29" s="11">
        <f>8213.49-319.87-482.52-28.12</f>
        <v>7382.9800000000005</v>
      </c>
      <c r="L29" s="11">
        <v>28.12</v>
      </c>
      <c r="M29" s="11">
        <v>319.87</v>
      </c>
      <c r="N29" s="11">
        <v>482.52</v>
      </c>
      <c r="O29" s="11">
        <v>306.45</v>
      </c>
      <c r="P29" s="33">
        <v>0</v>
      </c>
      <c r="Q29" s="33">
        <v>15</v>
      </c>
      <c r="R29" s="11">
        <v>2136.9</v>
      </c>
      <c r="S29" s="11">
        <v>450</v>
      </c>
      <c r="T29" s="31">
        <f t="shared" si="30"/>
        <v>1.0899999999996908</v>
      </c>
      <c r="U29" s="32">
        <f t="shared" si="32"/>
        <v>-371.46999999999935</v>
      </c>
      <c r="V29" s="33">
        <v>10</v>
      </c>
      <c r="W29" s="33">
        <v>90</v>
      </c>
      <c r="X29" s="33">
        <v>120</v>
      </c>
      <c r="Y29" s="33">
        <f t="shared" si="14"/>
        <v>-351.47</v>
      </c>
      <c r="Z29" s="35" t="s">
        <v>80</v>
      </c>
    </row>
    <row r="30" spans="1:26" s="35" customFormat="1" ht="18.75">
      <c r="A30" s="9">
        <v>44736</v>
      </c>
      <c r="B30" s="10" t="s">
        <v>20</v>
      </c>
      <c r="C30" s="11">
        <v>9196.73</v>
      </c>
      <c r="D30" s="11">
        <v>4577.62</v>
      </c>
      <c r="E30" s="11">
        <v>53.5</v>
      </c>
      <c r="F30" s="11">
        <v>88</v>
      </c>
      <c r="G30" s="11">
        <v>40</v>
      </c>
      <c r="H30" s="11">
        <f t="shared" si="29"/>
        <v>14066.849999999999</v>
      </c>
      <c r="I30" s="11">
        <v>2868.76</v>
      </c>
      <c r="J30" s="11">
        <f t="shared" si="31"/>
        <v>11183.09</v>
      </c>
      <c r="K30" s="11">
        <f>11183.09-193.88-657.16-46.12</f>
        <v>10285.93</v>
      </c>
      <c r="L30" s="11">
        <v>46.12</v>
      </c>
      <c r="M30" s="11">
        <v>193.88</v>
      </c>
      <c r="N30" s="11">
        <v>657.16</v>
      </c>
      <c r="O30" s="11">
        <v>0</v>
      </c>
      <c r="P30" s="33">
        <v>111</v>
      </c>
      <c r="Q30" s="33">
        <v>88.5</v>
      </c>
      <c r="R30" s="11">
        <v>2670.54</v>
      </c>
      <c r="S30" s="11">
        <v>450</v>
      </c>
      <c r="T30" s="31">
        <f t="shared" si="30"/>
        <v>1.2799999999997453</v>
      </c>
      <c r="U30" s="32">
        <f t="shared" si="32"/>
        <v>5.000000000001819</v>
      </c>
      <c r="V30" s="33">
        <f t="shared" si="33"/>
        <v>20</v>
      </c>
      <c r="W30" s="33">
        <v>20</v>
      </c>
      <c r="X30" s="33">
        <v>460</v>
      </c>
      <c r="Y30" s="33">
        <f t="shared" si="14"/>
        <v>420</v>
      </c>
    </row>
    <row r="31" spans="1:26" s="35" customFormat="1" ht="18.75">
      <c r="A31" s="9">
        <v>44737</v>
      </c>
      <c r="B31" s="10" t="s">
        <v>21</v>
      </c>
      <c r="C31" s="11">
        <v>7528.86</v>
      </c>
      <c r="D31" s="11">
        <v>4753.1499999999996</v>
      </c>
      <c r="E31" s="11">
        <v>22</v>
      </c>
      <c r="F31" s="11">
        <v>44</v>
      </c>
      <c r="G31" s="11">
        <v>45</v>
      </c>
      <c r="H31" s="11">
        <f t="shared" si="29"/>
        <v>12408.009999999998</v>
      </c>
      <c r="I31" s="11">
        <v>3007.83</v>
      </c>
      <c r="J31" s="11">
        <f t="shared" si="31"/>
        <v>9250.17</v>
      </c>
      <c r="K31" s="11">
        <f>9250.17-114.78-100.01</f>
        <v>9035.3799999999992</v>
      </c>
      <c r="L31" s="11">
        <v>0</v>
      </c>
      <c r="M31" s="11">
        <v>114.78</v>
      </c>
      <c r="N31" s="11">
        <v>100.01</v>
      </c>
      <c r="O31" s="11">
        <v>58.16</v>
      </c>
      <c r="P31" s="33">
        <v>15</v>
      </c>
      <c r="Q31" s="33">
        <v>40</v>
      </c>
      <c r="R31" s="11">
        <v>2895.6</v>
      </c>
      <c r="S31" s="11">
        <v>450</v>
      </c>
      <c r="T31" s="31">
        <f t="shared" si="30"/>
        <v>0.92999999999983629</v>
      </c>
      <c r="U31" s="32">
        <f t="shared" si="32"/>
        <v>-105.0099999999984</v>
      </c>
      <c r="V31" s="33">
        <f t="shared" si="33"/>
        <v>0</v>
      </c>
      <c r="W31" s="33">
        <v>45</v>
      </c>
      <c r="X31" s="33">
        <v>390</v>
      </c>
      <c r="Y31" s="33">
        <f t="shared" si="14"/>
        <v>345</v>
      </c>
      <c r="Z31" s="35" t="s">
        <v>81</v>
      </c>
    </row>
    <row r="32" spans="1:26" s="35" customFormat="1" ht="18.75">
      <c r="A32" s="9">
        <v>44738</v>
      </c>
      <c r="B32" s="10" t="s">
        <v>22</v>
      </c>
      <c r="C32" s="11">
        <v>6499.91</v>
      </c>
      <c r="D32" s="11">
        <v>3165.54</v>
      </c>
      <c r="E32" s="11">
        <v>0</v>
      </c>
      <c r="F32" s="11">
        <v>53</v>
      </c>
      <c r="G32" s="11">
        <v>234.5</v>
      </c>
      <c r="H32" s="11">
        <f t="shared" si="29"/>
        <v>9977.9500000000007</v>
      </c>
      <c r="I32" s="11">
        <v>2754.28</v>
      </c>
      <c r="J32" s="11">
        <f t="shared" si="31"/>
        <v>7135.67</v>
      </c>
      <c r="K32" s="11">
        <f>7135.67-75.72-51.67-245.32</f>
        <v>6762.96</v>
      </c>
      <c r="L32" s="11">
        <v>51.67</v>
      </c>
      <c r="M32" s="11">
        <v>75.72</v>
      </c>
      <c r="N32" s="11">
        <v>245.32</v>
      </c>
      <c r="O32" s="11">
        <v>0</v>
      </c>
      <c r="P32" s="33">
        <v>25</v>
      </c>
      <c r="Q32" s="33">
        <v>45</v>
      </c>
      <c r="R32" s="11">
        <v>2679.9</v>
      </c>
      <c r="S32" s="11">
        <v>450</v>
      </c>
      <c r="T32" s="31">
        <f t="shared" si="30"/>
        <v>-4.3800000000001091</v>
      </c>
      <c r="U32" s="32">
        <f t="shared" si="32"/>
        <v>-3.5</v>
      </c>
      <c r="V32" s="33">
        <f t="shared" si="33"/>
        <v>150</v>
      </c>
      <c r="W32" s="33">
        <v>84.5</v>
      </c>
      <c r="X32" s="33">
        <v>360</v>
      </c>
      <c r="Y32" s="33">
        <f t="shared" si="14"/>
        <v>125.5</v>
      </c>
    </row>
    <row r="33" spans="1:26" ht="37.5" customHeight="1">
      <c r="A33" s="65" t="s">
        <v>27</v>
      </c>
      <c r="B33" s="66"/>
      <c r="C33" s="27">
        <f>SUM(C26:C32)</f>
        <v>52884.5</v>
      </c>
      <c r="D33" s="27">
        <f t="shared" ref="D33:X33" si="34">SUM(D26:D32)</f>
        <v>25752.870000000003</v>
      </c>
      <c r="E33" s="27">
        <f t="shared" si="34"/>
        <v>114</v>
      </c>
      <c r="F33" s="27">
        <f t="shared" si="34"/>
        <v>488</v>
      </c>
      <c r="G33" s="27">
        <f t="shared" si="34"/>
        <v>1583.27</v>
      </c>
      <c r="H33" s="27">
        <f t="shared" si="34"/>
        <v>81347.069999999992</v>
      </c>
      <c r="I33" s="27">
        <f t="shared" si="34"/>
        <v>18912.75</v>
      </c>
      <c r="J33" s="27">
        <f t="shared" si="34"/>
        <v>61147.539999999994</v>
      </c>
      <c r="K33" s="27">
        <f t="shared" si="34"/>
        <v>57044.34</v>
      </c>
      <c r="L33" s="27">
        <f t="shared" si="34"/>
        <v>132.05000000000001</v>
      </c>
      <c r="M33" s="27">
        <f t="shared" si="34"/>
        <v>1454.1800000000003</v>
      </c>
      <c r="N33" s="27">
        <f t="shared" si="34"/>
        <v>2516.9700000000003</v>
      </c>
      <c r="O33" s="27">
        <f t="shared" si="34"/>
        <v>987.7299999999999</v>
      </c>
      <c r="P33" s="27">
        <f t="shared" si="34"/>
        <v>524.43000000000006</v>
      </c>
      <c r="Q33" s="27">
        <f t="shared" si="34"/>
        <v>307.60000000000002</v>
      </c>
      <c r="R33" s="27">
        <f t="shared" si="34"/>
        <v>17100.09</v>
      </c>
      <c r="S33" s="27">
        <f t="shared" si="34"/>
        <v>3150</v>
      </c>
      <c r="T33" s="27">
        <f t="shared" si="34"/>
        <v>7.0999999999994543</v>
      </c>
      <c r="U33" s="27">
        <f t="shared" si="34"/>
        <v>-474.97999999999593</v>
      </c>
      <c r="V33" s="27">
        <f t="shared" si="34"/>
        <v>400</v>
      </c>
      <c r="W33" s="27">
        <f t="shared" ref="W33" si="35">SUM(W26:W32)</f>
        <v>811.8</v>
      </c>
      <c r="X33" s="27">
        <f t="shared" si="34"/>
        <v>2650</v>
      </c>
      <c r="Y33" s="27">
        <f t="shared" ref="Y33" si="36">SUM(Y26:Y32)</f>
        <v>1066.73</v>
      </c>
    </row>
    <row r="34" spans="1:26" ht="20.25" customHeight="1">
      <c r="A34" s="9">
        <v>44739</v>
      </c>
      <c r="B34" s="10" t="s">
        <v>23</v>
      </c>
      <c r="C34" s="11">
        <v>7894.35</v>
      </c>
      <c r="D34" s="11">
        <v>2945.46</v>
      </c>
      <c r="E34" s="11">
        <v>0</v>
      </c>
      <c r="F34" s="11">
        <v>20</v>
      </c>
      <c r="G34" s="11">
        <v>240</v>
      </c>
      <c r="H34" s="11">
        <f t="shared" ref="H34:H37" si="37">SUM(C34:G34,P34)</f>
        <v>11119.810000000001</v>
      </c>
      <c r="I34" s="11">
        <v>1963.9</v>
      </c>
      <c r="J34" s="11">
        <f>SUM(K34:N34)</f>
        <v>9049.91</v>
      </c>
      <c r="K34" s="11">
        <f>9049.91-160.75-607.1-92.49</f>
        <v>8189.57</v>
      </c>
      <c r="L34" s="11">
        <v>92.49</v>
      </c>
      <c r="M34" s="11">
        <v>160.75</v>
      </c>
      <c r="N34" s="11">
        <v>607.1</v>
      </c>
      <c r="O34" s="11">
        <v>101.7</v>
      </c>
      <c r="P34" s="33">
        <v>20</v>
      </c>
      <c r="Q34" s="33">
        <v>17</v>
      </c>
      <c r="R34" s="11">
        <v>1826.5</v>
      </c>
      <c r="S34" s="11">
        <v>450</v>
      </c>
      <c r="T34" s="31">
        <f t="shared" ref="T34:T37" si="38">SUM(O34,P34,Q34,R34)-I34</f>
        <v>1.2999999999999545</v>
      </c>
      <c r="U34" s="32">
        <f t="shared" si="32"/>
        <v>-25.000000000001819</v>
      </c>
      <c r="V34" s="33">
        <f t="shared" ref="V34:V37" si="39">SUM(G34-W34)</f>
        <v>159</v>
      </c>
      <c r="W34" s="33">
        <v>81</v>
      </c>
      <c r="X34" s="33">
        <v>330</v>
      </c>
      <c r="Y34" s="33">
        <f t="shared" si="14"/>
        <v>90</v>
      </c>
      <c r="Z34" t="s">
        <v>82</v>
      </c>
    </row>
    <row r="35" spans="1:26" ht="20.25" customHeight="1">
      <c r="A35" s="9">
        <v>44740</v>
      </c>
      <c r="B35" s="10" t="s">
        <v>24</v>
      </c>
      <c r="C35" s="11">
        <v>7454.89</v>
      </c>
      <c r="D35" s="11">
        <v>3105.06</v>
      </c>
      <c r="E35" s="11">
        <v>21</v>
      </c>
      <c r="F35" s="11">
        <v>22</v>
      </c>
      <c r="G35" s="11">
        <f>-46.4</f>
        <v>-46.4</v>
      </c>
      <c r="H35" s="11">
        <f t="shared" si="37"/>
        <v>10566.550000000001</v>
      </c>
      <c r="I35" s="11">
        <v>2260.9</v>
      </c>
      <c r="J35" s="11">
        <f t="shared" ref="J35:J37" si="40">SUM(K35:N35)</f>
        <v>8362.0499999999993</v>
      </c>
      <c r="K35" s="11">
        <f>8362.05-587.13</f>
        <v>7774.9199999999992</v>
      </c>
      <c r="L35" s="11">
        <v>0</v>
      </c>
      <c r="M35" s="11">
        <v>0</v>
      </c>
      <c r="N35" s="11">
        <v>587.13</v>
      </c>
      <c r="O35" s="11">
        <v>0</v>
      </c>
      <c r="P35" s="33">
        <v>10</v>
      </c>
      <c r="Q35" s="33">
        <v>0</v>
      </c>
      <c r="R35" s="11">
        <v>2214.5500000000002</v>
      </c>
      <c r="S35" s="11">
        <v>450</v>
      </c>
      <c r="T35" s="31">
        <f t="shared" si="38"/>
        <v>-36.349999999999909</v>
      </c>
      <c r="U35" s="32">
        <f t="shared" si="32"/>
        <v>86.399999999997817</v>
      </c>
      <c r="V35" s="33">
        <v>10</v>
      </c>
      <c r="W35" s="33">
        <v>30</v>
      </c>
      <c r="X35" s="33">
        <v>120</v>
      </c>
      <c r="Y35" s="33">
        <f t="shared" si="14"/>
        <v>166.4</v>
      </c>
    </row>
    <row r="36" spans="1:26" ht="20.25" customHeight="1">
      <c r="A36" s="9">
        <v>44741</v>
      </c>
      <c r="B36" s="10" t="s">
        <v>25</v>
      </c>
      <c r="C36" s="11">
        <v>7332.12</v>
      </c>
      <c r="D36" s="11">
        <v>2968.08</v>
      </c>
      <c r="E36" s="11">
        <v>4</v>
      </c>
      <c r="F36" s="11">
        <v>23</v>
      </c>
      <c r="G36" s="11">
        <v>90</v>
      </c>
      <c r="H36" s="11">
        <f t="shared" si="37"/>
        <v>10418.200000000001</v>
      </c>
      <c r="I36" s="11">
        <v>2196.67</v>
      </c>
      <c r="J36" s="11">
        <f t="shared" si="40"/>
        <v>8191.53</v>
      </c>
      <c r="K36" s="11">
        <f>8191.53-124.64-9.67-457.49</f>
        <v>7599.73</v>
      </c>
      <c r="L36" s="11">
        <v>9.67</v>
      </c>
      <c r="M36" s="11">
        <v>124.64</v>
      </c>
      <c r="N36" s="11">
        <v>457.49</v>
      </c>
      <c r="O36" s="11">
        <v>255.98</v>
      </c>
      <c r="P36" s="33">
        <v>1</v>
      </c>
      <c r="Q36" s="33">
        <v>14</v>
      </c>
      <c r="R36" s="11">
        <v>1929.2</v>
      </c>
      <c r="S36" s="11">
        <v>450</v>
      </c>
      <c r="T36" s="31">
        <f t="shared" si="38"/>
        <v>3.5100000000002183</v>
      </c>
      <c r="U36" s="32">
        <f t="shared" si="32"/>
        <v>0</v>
      </c>
      <c r="V36" s="33">
        <f t="shared" si="39"/>
        <v>60</v>
      </c>
      <c r="W36" s="33">
        <v>30</v>
      </c>
      <c r="X36" s="33"/>
      <c r="Y36" s="33">
        <f t="shared" si="14"/>
        <v>-90</v>
      </c>
    </row>
    <row r="37" spans="1:26" ht="20.25" customHeight="1">
      <c r="A37" s="9">
        <v>44742</v>
      </c>
      <c r="B37" s="10" t="s">
        <v>26</v>
      </c>
      <c r="C37" s="11">
        <v>8721.0499999999993</v>
      </c>
      <c r="D37" s="11">
        <v>3460.18</v>
      </c>
      <c r="E37" s="11">
        <v>7</v>
      </c>
      <c r="F37" s="11">
        <v>9</v>
      </c>
      <c r="G37" s="11">
        <v>25</v>
      </c>
      <c r="H37" s="11">
        <f t="shared" si="37"/>
        <v>12222.23</v>
      </c>
      <c r="I37" s="11">
        <v>2237.42</v>
      </c>
      <c r="J37" s="11">
        <f t="shared" si="40"/>
        <v>9959.91</v>
      </c>
      <c r="K37" s="11">
        <f>9959.81-378.82-71.83-242.1</f>
        <v>9267.06</v>
      </c>
      <c r="L37" s="11">
        <v>71.930000000000007</v>
      </c>
      <c r="M37" s="11">
        <v>378.82</v>
      </c>
      <c r="N37" s="11">
        <v>242.1</v>
      </c>
      <c r="O37" s="11">
        <v>1176.19</v>
      </c>
      <c r="P37" s="33">
        <v>0</v>
      </c>
      <c r="Q37" s="33">
        <v>6.5</v>
      </c>
      <c r="R37" s="11">
        <v>1059.3499999999999</v>
      </c>
      <c r="S37" s="11">
        <v>450</v>
      </c>
      <c r="T37" s="31">
        <f t="shared" si="38"/>
        <v>4.6199999999998909</v>
      </c>
      <c r="U37" s="32">
        <f t="shared" si="32"/>
        <v>0.1000000000003638</v>
      </c>
      <c r="V37" s="33">
        <f t="shared" si="39"/>
        <v>0</v>
      </c>
      <c r="W37" s="33">
        <v>25</v>
      </c>
      <c r="X37" s="33"/>
      <c r="Y37" s="33">
        <f t="shared" si="14"/>
        <v>-25</v>
      </c>
    </row>
    <row r="38" spans="1:26" ht="37.5" customHeight="1">
      <c r="A38" s="65" t="s">
        <v>27</v>
      </c>
      <c r="B38" s="66"/>
      <c r="C38" s="27">
        <f>SUM(C34:C37)</f>
        <v>31402.41</v>
      </c>
      <c r="D38" s="27">
        <f t="shared" ref="D38:X38" si="41">SUM(D34:D37)</f>
        <v>12478.78</v>
      </c>
      <c r="E38" s="27">
        <f t="shared" si="41"/>
        <v>32</v>
      </c>
      <c r="F38" s="27">
        <f t="shared" si="41"/>
        <v>74</v>
      </c>
      <c r="G38" s="27">
        <f t="shared" si="41"/>
        <v>308.60000000000002</v>
      </c>
      <c r="H38" s="27">
        <f t="shared" si="41"/>
        <v>44326.79</v>
      </c>
      <c r="I38" s="27">
        <f t="shared" si="41"/>
        <v>8658.89</v>
      </c>
      <c r="J38" s="27">
        <f t="shared" si="41"/>
        <v>35563.399999999994</v>
      </c>
      <c r="K38" s="27">
        <f t="shared" si="41"/>
        <v>32831.279999999999</v>
      </c>
      <c r="L38" s="27">
        <f t="shared" si="41"/>
        <v>174.09</v>
      </c>
      <c r="M38" s="27">
        <f t="shared" si="41"/>
        <v>664.21</v>
      </c>
      <c r="N38" s="27">
        <f t="shared" si="41"/>
        <v>1893.82</v>
      </c>
      <c r="O38" s="27">
        <f t="shared" si="41"/>
        <v>1533.8700000000001</v>
      </c>
      <c r="P38" s="27">
        <f t="shared" si="41"/>
        <v>31</v>
      </c>
      <c r="Q38" s="27">
        <f t="shared" si="41"/>
        <v>37.5</v>
      </c>
      <c r="R38" s="27">
        <f t="shared" si="41"/>
        <v>7029.6</v>
      </c>
      <c r="S38" s="27">
        <f t="shared" si="41"/>
        <v>1800</v>
      </c>
      <c r="T38" s="27">
        <f t="shared" si="41"/>
        <v>-26.919999999999845</v>
      </c>
      <c r="U38" s="27">
        <f t="shared" si="41"/>
        <v>61.499999999996362</v>
      </c>
      <c r="V38" s="27">
        <f t="shared" si="41"/>
        <v>229</v>
      </c>
      <c r="W38" s="27">
        <f t="shared" ref="W38" si="42">SUM(W34:W37)</f>
        <v>166</v>
      </c>
      <c r="X38" s="27">
        <f t="shared" si="41"/>
        <v>450</v>
      </c>
      <c r="Y38" s="27">
        <f t="shared" ref="Y38" si="43">SUM(Y34:Y37)</f>
        <v>141.39999999999998</v>
      </c>
    </row>
    <row r="39" spans="1:26" ht="51.75" customHeight="1">
      <c r="A39" s="67" t="s">
        <v>17</v>
      </c>
      <c r="B39" s="68"/>
      <c r="C39" s="30">
        <f>SUM(C33,C25,C17,C9,C38)</f>
        <v>219405.63</v>
      </c>
      <c r="D39" s="30">
        <f t="shared" ref="D39:X39" si="44">SUM(D33,D25,D17,D9,D38)</f>
        <v>115343.56999999999</v>
      </c>
      <c r="E39" s="30">
        <f t="shared" si="44"/>
        <v>391</v>
      </c>
      <c r="F39" s="30">
        <f t="shared" si="44"/>
        <v>1686</v>
      </c>
      <c r="G39" s="30">
        <f t="shared" si="44"/>
        <v>3047.91</v>
      </c>
      <c r="H39" s="30">
        <f t="shared" si="44"/>
        <v>341723.54</v>
      </c>
      <c r="I39" s="30">
        <f t="shared" si="44"/>
        <v>76076.5</v>
      </c>
      <c r="J39" s="30">
        <f t="shared" si="44"/>
        <v>262819.44999999995</v>
      </c>
      <c r="K39" s="30">
        <f t="shared" si="44"/>
        <v>246807.52</v>
      </c>
      <c r="L39" s="30">
        <f t="shared" si="44"/>
        <v>475.77</v>
      </c>
      <c r="M39" s="30">
        <f t="shared" si="44"/>
        <v>5030.18</v>
      </c>
      <c r="N39" s="30">
        <f t="shared" si="44"/>
        <v>10505.98</v>
      </c>
      <c r="O39" s="30">
        <f t="shared" si="44"/>
        <v>5238.21</v>
      </c>
      <c r="P39" s="30">
        <f t="shared" si="44"/>
        <v>1849.43</v>
      </c>
      <c r="Q39" s="30">
        <f t="shared" si="44"/>
        <v>773.6</v>
      </c>
      <c r="R39" s="30">
        <f t="shared" si="44"/>
        <v>68120.03</v>
      </c>
      <c r="S39" s="30">
        <f t="shared" si="44"/>
        <v>14400</v>
      </c>
      <c r="T39" s="30">
        <f t="shared" si="44"/>
        <v>-95.229999999999336</v>
      </c>
      <c r="U39" s="30">
        <f t="shared" si="44"/>
        <v>-1143.8899999999921</v>
      </c>
      <c r="V39" s="30">
        <f t="shared" si="44"/>
        <v>1079.1399999999999</v>
      </c>
      <c r="W39" s="30">
        <f t="shared" ref="W39" si="45">SUM(W33,W25,W17,W9,W38)</f>
        <v>1683.7</v>
      </c>
      <c r="X39" s="30">
        <f t="shared" si="44"/>
        <v>6530</v>
      </c>
      <c r="Y39" s="30">
        <f t="shared" ref="Y39" si="46">SUM(Y33,Y25,Y17,Y9,Y38)</f>
        <v>3482.09</v>
      </c>
    </row>
    <row r="41" spans="1:26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6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</row>
    <row r="43" spans="1:26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6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</row>
    <row r="45" spans="1:26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</row>
    <row r="47" spans="1:26" hidden="1"/>
    <row r="48" spans="1:26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3"/>
      <c r="Q48" s="33"/>
      <c r="R48" s="11"/>
      <c r="S48" s="11"/>
      <c r="T48" s="31"/>
      <c r="U48" s="32"/>
      <c r="V48" s="33"/>
      <c r="W48" s="33"/>
      <c r="X48" s="33"/>
      <c r="Y48" s="33"/>
    </row>
    <row r="49" spans="1:25" ht="18.75" hidden="1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3"/>
      <c r="Q49" s="33"/>
      <c r="R49" s="11"/>
      <c r="S49" s="11"/>
      <c r="T49" s="31"/>
      <c r="U49" s="32"/>
      <c r="V49" s="33"/>
      <c r="W49" s="33"/>
      <c r="X49" s="33"/>
      <c r="Y49" s="33"/>
    </row>
    <row r="50" spans="1:25" s="28" customFormat="1" ht="18.75" hidden="1">
      <c r="A50"/>
      <c r="B5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3"/>
      <c r="Q50" s="33"/>
      <c r="R50" s="11"/>
      <c r="S50" s="11"/>
      <c r="T50" s="31"/>
      <c r="U50" s="32"/>
      <c r="V50" s="33"/>
      <c r="W50" s="33"/>
      <c r="X50" s="33"/>
      <c r="Y50" s="33"/>
    </row>
    <row r="51" spans="1:25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  <row r="53" spans="1:25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</row>
  </sheetData>
  <sheetProtection password="CCFB" sheet="1" objects="1" scenarios="1"/>
  <mergeCells count="6">
    <mergeCell ref="A39:B39"/>
    <mergeCell ref="A9:B9"/>
    <mergeCell ref="A17:B17"/>
    <mergeCell ref="A25:B25"/>
    <mergeCell ref="A33:B33"/>
    <mergeCell ref="A38:B38"/>
  </mergeCells>
  <conditionalFormatting sqref="T48:U50 T2:U8 T10:U16 T18:U24 T26:U32 T34:U37">
    <cfRule type="cellIs" dxfId="277" priority="60" operator="lessThan">
      <formula>0</formula>
    </cfRule>
    <cfRule type="cellIs" dxfId="276" priority="61" operator="greaterThan">
      <formula>0</formula>
    </cfRule>
  </conditionalFormatting>
  <conditionalFormatting sqref="T48:V50 T2:V8 T10:V16 T18:V24 T26:V32 T34:V37">
    <cfRule type="cellIs" dxfId="275" priority="57" operator="equal">
      <formula>0</formula>
    </cfRule>
    <cfRule type="cellIs" dxfId="274" priority="58" operator="lessThan">
      <formula>0</formula>
    </cfRule>
    <cfRule type="cellIs" dxfId="273" priority="59" operator="greaterThan">
      <formula>0</formula>
    </cfRule>
  </conditionalFormatting>
  <conditionalFormatting sqref="T2:U3 U3:U8">
    <cfRule type="cellIs" dxfId="272" priority="55" operator="lessThan">
      <formula>0</formula>
    </cfRule>
    <cfRule type="cellIs" dxfId="271" priority="56" operator="greaterThan">
      <formula>0</formula>
    </cfRule>
  </conditionalFormatting>
  <conditionalFormatting sqref="T2:V3 U3:V8">
    <cfRule type="cellIs" dxfId="270" priority="52" operator="equal">
      <formula>0</formula>
    </cfRule>
    <cfRule type="cellIs" dxfId="269" priority="53" operator="lessThan">
      <formula>0</formula>
    </cfRule>
    <cfRule type="cellIs" dxfId="268" priority="54" operator="greaterThan">
      <formula>0</formula>
    </cfRule>
  </conditionalFormatting>
  <conditionalFormatting sqref="V10:V16">
    <cfRule type="cellIs" dxfId="267" priority="49" operator="equal">
      <formula>0</formula>
    </cfRule>
    <cfRule type="cellIs" dxfId="266" priority="50" operator="lessThan">
      <formula>0</formula>
    </cfRule>
    <cfRule type="cellIs" dxfId="265" priority="51" operator="greaterThan">
      <formula>0</formula>
    </cfRule>
  </conditionalFormatting>
  <conditionalFormatting sqref="V18:V24">
    <cfRule type="cellIs" dxfId="264" priority="46" operator="equal">
      <formula>0</formula>
    </cfRule>
    <cfRule type="cellIs" dxfId="263" priority="47" operator="lessThan">
      <formula>0</formula>
    </cfRule>
    <cfRule type="cellIs" dxfId="262" priority="48" operator="greaterThan">
      <formula>0</formula>
    </cfRule>
  </conditionalFormatting>
  <conditionalFormatting sqref="V26:V32">
    <cfRule type="cellIs" dxfId="261" priority="43" operator="equal">
      <formula>0</formula>
    </cfRule>
    <cfRule type="cellIs" dxfId="260" priority="44" operator="lessThan">
      <formula>0</formula>
    </cfRule>
    <cfRule type="cellIs" dxfId="259" priority="45" operator="greaterThan">
      <formula>0</formula>
    </cfRule>
  </conditionalFormatting>
  <conditionalFormatting sqref="V34:V37">
    <cfRule type="cellIs" dxfId="258" priority="40" operator="equal">
      <formula>0</formula>
    </cfRule>
    <cfRule type="cellIs" dxfId="257" priority="41" operator="lessThan">
      <formula>0</formula>
    </cfRule>
    <cfRule type="cellIs" dxfId="256" priority="42" operator="greaterThan">
      <formula>0</formula>
    </cfRule>
  </conditionalFormatting>
  <conditionalFormatting sqref="U10:U16">
    <cfRule type="cellIs" dxfId="255" priority="38" operator="lessThan">
      <formula>0</formula>
    </cfRule>
    <cfRule type="cellIs" dxfId="254" priority="39" operator="greaterThan">
      <formula>0</formula>
    </cfRule>
  </conditionalFormatting>
  <conditionalFormatting sqref="U10:U16">
    <cfRule type="cellIs" dxfId="253" priority="35" operator="equal">
      <formula>0</formula>
    </cfRule>
    <cfRule type="cellIs" dxfId="252" priority="36" operator="lessThan">
      <formula>0</formula>
    </cfRule>
    <cfRule type="cellIs" dxfId="251" priority="37" operator="greaterThan">
      <formula>0</formula>
    </cfRule>
  </conditionalFormatting>
  <conditionalFormatting sqref="U18:U24">
    <cfRule type="cellIs" dxfId="250" priority="33" operator="lessThan">
      <formula>0</formula>
    </cfRule>
    <cfRule type="cellIs" dxfId="249" priority="34" operator="greaterThan">
      <formula>0</formula>
    </cfRule>
  </conditionalFormatting>
  <conditionalFormatting sqref="U18:U24">
    <cfRule type="cellIs" dxfId="248" priority="30" operator="equal">
      <formula>0</formula>
    </cfRule>
    <cfRule type="cellIs" dxfId="247" priority="31" operator="lessThan">
      <formula>0</formula>
    </cfRule>
    <cfRule type="cellIs" dxfId="246" priority="32" operator="greaterThan">
      <formula>0</formula>
    </cfRule>
  </conditionalFormatting>
  <conditionalFormatting sqref="U26:U32">
    <cfRule type="cellIs" dxfId="245" priority="28" operator="lessThan">
      <formula>0</formula>
    </cfRule>
    <cfRule type="cellIs" dxfId="244" priority="29" operator="greaterThan">
      <formula>0</formula>
    </cfRule>
  </conditionalFormatting>
  <conditionalFormatting sqref="U26:U32">
    <cfRule type="cellIs" dxfId="243" priority="25" operator="equal">
      <formula>0</formula>
    </cfRule>
    <cfRule type="cellIs" dxfId="242" priority="26" operator="lessThan">
      <formula>0</formula>
    </cfRule>
    <cfRule type="cellIs" dxfId="241" priority="27" operator="greaterThan">
      <formula>0</formula>
    </cfRule>
  </conditionalFormatting>
  <conditionalFormatting sqref="U34:U37">
    <cfRule type="cellIs" dxfId="240" priority="23" operator="lessThan">
      <formula>0</formula>
    </cfRule>
    <cfRule type="cellIs" dxfId="239" priority="24" operator="greaterThan">
      <formula>0</formula>
    </cfRule>
  </conditionalFormatting>
  <conditionalFormatting sqref="U34:U37">
    <cfRule type="cellIs" dxfId="238" priority="20" operator="equal">
      <formula>0</formula>
    </cfRule>
    <cfRule type="cellIs" dxfId="237" priority="21" operator="lessThan">
      <formula>0</formula>
    </cfRule>
    <cfRule type="cellIs" dxfId="236" priority="22" operator="greaterThan">
      <formula>0</formula>
    </cfRule>
  </conditionalFormatting>
  <conditionalFormatting sqref="Y10:Y16">
    <cfRule type="cellIs" dxfId="235" priority="12" operator="greaterThan">
      <formula>0</formula>
    </cfRule>
    <cfRule type="cellIs" dxfId="234" priority="11" operator="lessThan">
      <formula>0</formula>
    </cfRule>
    <cfRule type="cellIs" dxfId="233" priority="10" operator="equal">
      <formula>0</formula>
    </cfRule>
  </conditionalFormatting>
  <conditionalFormatting sqref="Y18:Y24">
    <cfRule type="cellIs" dxfId="232" priority="7" operator="equal">
      <formula>0</formula>
    </cfRule>
    <cfRule type="cellIs" dxfId="231" priority="8" operator="lessThan">
      <formula>0</formula>
    </cfRule>
    <cfRule type="cellIs" dxfId="230" priority="9" operator="greaterThan">
      <formula>0</formula>
    </cfRule>
  </conditionalFormatting>
  <conditionalFormatting sqref="Y26:Y32">
    <cfRule type="cellIs" dxfId="229" priority="4" operator="equal">
      <formula>0</formula>
    </cfRule>
    <cfRule type="cellIs" dxfId="228" priority="5" operator="lessThan">
      <formula>0</formula>
    </cfRule>
    <cfRule type="cellIs" dxfId="227" priority="6" operator="greaterThan">
      <formula>0</formula>
    </cfRule>
  </conditionalFormatting>
  <conditionalFormatting sqref="Y34:Y37">
    <cfRule type="cellIs" dxfId="226" priority="1" operator="equal">
      <formula>0</formula>
    </cfRule>
    <cfRule type="cellIs" dxfId="225" priority="2" operator="lessThan">
      <formula>0</formula>
    </cfRule>
    <cfRule type="cellIs" dxfId="224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H9:J9 H17:J17 T9:V9 T17:V17 T25:U25" formula="1"/>
  </ignoredErrors>
</worksheet>
</file>

<file path=xl/worksheets/sheet15.xml><?xml version="1.0" encoding="utf-8"?>
<worksheet xmlns="http://schemas.openxmlformats.org/spreadsheetml/2006/main" xmlns:r="http://schemas.openxmlformats.org/officeDocument/2006/relationships">
  <dimension ref="A1:AA52"/>
  <sheetViews>
    <sheetView topLeftCell="A10" zoomScale="60" zoomScaleNormal="60" workbookViewId="0">
      <selection activeCell="B55" sqref="B55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2.7109375" customWidth="1"/>
    <col min="7" max="7" width="13.5703125" customWidth="1"/>
    <col min="8" max="8" width="14.570312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15.5703125" customWidth="1"/>
    <col min="15" max="15" width="13.85546875" customWidth="1"/>
    <col min="16" max="16" width="13.5703125" customWidth="1"/>
    <col min="17" max="17" width="14.28515625" customWidth="1"/>
    <col min="18" max="18" width="13" customWidth="1"/>
    <col min="19" max="19" width="14.85546875" customWidth="1"/>
    <col min="20" max="20" width="15.85546875" customWidth="1"/>
    <col min="21" max="21" width="16.5703125" customWidth="1"/>
    <col min="22" max="22" width="14" customWidth="1"/>
    <col min="23" max="23" width="13" customWidth="1"/>
    <col min="24" max="24" width="14.85546875" customWidth="1"/>
    <col min="25" max="25" width="15.5703125" customWidth="1"/>
  </cols>
  <sheetData>
    <row r="1" spans="1:26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  <c r="X1" s="23" t="s">
        <v>78</v>
      </c>
      <c r="Y1" s="23" t="s">
        <v>79</v>
      </c>
    </row>
    <row r="2" spans="1:26" ht="20.25" customHeight="1">
      <c r="A2" s="9">
        <v>44743</v>
      </c>
      <c r="B2" s="10" t="s">
        <v>20</v>
      </c>
      <c r="C2" s="11">
        <v>8544.27</v>
      </c>
      <c r="D2" s="11">
        <v>4768.55</v>
      </c>
      <c r="E2" s="11">
        <v>36.5</v>
      </c>
      <c r="F2" s="11">
        <v>172</v>
      </c>
      <c r="G2" s="11">
        <v>41.89</v>
      </c>
      <c r="H2" s="11">
        <f t="shared" ref="H2:H4" si="0">SUM(C2:G2,P2)</f>
        <v>13648.21</v>
      </c>
      <c r="I2" s="11">
        <v>3407.2</v>
      </c>
      <c r="J2" s="11">
        <f t="shared" ref="J2:J3" si="1">SUM(K2:N2)</f>
        <v>10160.4</v>
      </c>
      <c r="K2" s="11">
        <f>10160.4-204.29-66.97-11.09</f>
        <v>9878.0499999999993</v>
      </c>
      <c r="L2" s="11">
        <v>11.09</v>
      </c>
      <c r="M2" s="11">
        <v>204.29</v>
      </c>
      <c r="N2" s="11">
        <v>66.97</v>
      </c>
      <c r="O2" s="11">
        <v>0</v>
      </c>
      <c r="P2" s="33">
        <v>85</v>
      </c>
      <c r="Q2" s="33">
        <v>23.1</v>
      </c>
      <c r="R2" s="11">
        <v>3301.6</v>
      </c>
      <c r="S2" s="11">
        <v>450</v>
      </c>
      <c r="T2" s="31">
        <f t="shared" ref="T2:T4" si="2">SUM(O2,P2,Q2,R2)-I2</f>
        <v>2.5</v>
      </c>
      <c r="U2" s="32">
        <f t="shared" ref="U2:U4" si="3">SUM(I2+J2+W2)-(H2)</f>
        <v>-38.720000000001164</v>
      </c>
      <c r="V2" s="33">
        <f t="shared" ref="V2:V4" si="4">SUM(G2-W2)</f>
        <v>0</v>
      </c>
      <c r="W2" s="33">
        <v>41.89</v>
      </c>
      <c r="X2" s="33">
        <v>430</v>
      </c>
      <c r="Y2" s="33">
        <f t="shared" ref="Y2:Y36" si="5">SUM(X2-G2)</f>
        <v>388.11</v>
      </c>
    </row>
    <row r="3" spans="1:26" ht="20.25" customHeight="1">
      <c r="A3" s="9">
        <v>44744</v>
      </c>
      <c r="B3" s="10" t="s">
        <v>21</v>
      </c>
      <c r="C3" s="11">
        <v>7854.51</v>
      </c>
      <c r="D3" s="11">
        <v>3968.66</v>
      </c>
      <c r="E3" s="11">
        <v>12</v>
      </c>
      <c r="F3" s="11">
        <v>95</v>
      </c>
      <c r="G3" s="11">
        <v>99</v>
      </c>
      <c r="H3" s="11">
        <f t="shared" si="0"/>
        <v>12069.17</v>
      </c>
      <c r="I3" s="11">
        <v>2351.6799999999998</v>
      </c>
      <c r="J3" s="11">
        <f t="shared" si="1"/>
        <v>9667.59</v>
      </c>
      <c r="K3" s="11">
        <f>9667.59-146.28-30.08</f>
        <v>9491.23</v>
      </c>
      <c r="L3" s="11">
        <v>0</v>
      </c>
      <c r="M3" s="11">
        <v>146.28</v>
      </c>
      <c r="N3" s="11">
        <v>30.08</v>
      </c>
      <c r="O3" s="11">
        <v>0</v>
      </c>
      <c r="P3" s="33">
        <v>40</v>
      </c>
      <c r="Q3" s="33">
        <v>15.8</v>
      </c>
      <c r="R3" s="11">
        <v>2294.21</v>
      </c>
      <c r="S3" s="11">
        <v>450</v>
      </c>
      <c r="T3" s="31">
        <f t="shared" si="2"/>
        <v>-1.669999999999618</v>
      </c>
      <c r="U3" s="32">
        <f t="shared" si="3"/>
        <v>0.1000000000003638</v>
      </c>
      <c r="V3" s="33">
        <f t="shared" si="4"/>
        <v>49</v>
      </c>
      <c r="W3" s="33">
        <v>50</v>
      </c>
      <c r="X3" s="33">
        <v>460</v>
      </c>
      <c r="Y3" s="33">
        <f t="shared" si="5"/>
        <v>361</v>
      </c>
    </row>
    <row r="4" spans="1:26" ht="18.75">
      <c r="A4" s="9">
        <v>44745</v>
      </c>
      <c r="B4" s="10" t="s">
        <v>22</v>
      </c>
      <c r="C4" s="11">
        <v>5746.01</v>
      </c>
      <c r="D4" s="11">
        <v>3029.2</v>
      </c>
      <c r="E4" s="11">
        <v>0</v>
      </c>
      <c r="F4" s="11">
        <v>98</v>
      </c>
      <c r="G4" s="11">
        <v>20</v>
      </c>
      <c r="H4" s="11">
        <f t="shared" si="0"/>
        <v>8969.7199999999993</v>
      </c>
      <c r="I4" s="11">
        <v>2016.58</v>
      </c>
      <c r="J4" s="11">
        <f t="shared" ref="J4" si="6">SUM(K4:N4)</f>
        <v>6938.23</v>
      </c>
      <c r="K4" s="11">
        <f>6938.23-134.5-47.06</f>
        <v>6756.6699999999992</v>
      </c>
      <c r="L4" s="11">
        <v>47.06</v>
      </c>
      <c r="M4" s="11">
        <v>134.5</v>
      </c>
      <c r="N4" s="11">
        <v>0</v>
      </c>
      <c r="O4" s="11">
        <v>0</v>
      </c>
      <c r="P4" s="33">
        <v>76.510000000000005</v>
      </c>
      <c r="Q4" s="33">
        <v>38</v>
      </c>
      <c r="R4" s="11">
        <v>1898.75</v>
      </c>
      <c r="S4" s="11">
        <v>450</v>
      </c>
      <c r="T4" s="31">
        <f t="shared" si="2"/>
        <v>-3.3199999999999363</v>
      </c>
      <c r="U4" s="32">
        <f t="shared" si="3"/>
        <v>5.0900000000001455</v>
      </c>
      <c r="V4" s="33">
        <f t="shared" si="4"/>
        <v>0</v>
      </c>
      <c r="W4" s="33">
        <v>20</v>
      </c>
      <c r="X4" s="33">
        <v>450</v>
      </c>
      <c r="Y4" s="33">
        <f t="shared" si="5"/>
        <v>430</v>
      </c>
    </row>
    <row r="5" spans="1:26" ht="37.5" customHeight="1">
      <c r="A5" s="65" t="s">
        <v>27</v>
      </c>
      <c r="B5" s="66"/>
      <c r="C5" s="27">
        <f t="shared" ref="C5:Y5" si="7">SUM(C2:C4)</f>
        <v>22144.79</v>
      </c>
      <c r="D5" s="27">
        <f t="shared" si="7"/>
        <v>11766.41</v>
      </c>
      <c r="E5" s="27">
        <f t="shared" si="7"/>
        <v>48.5</v>
      </c>
      <c r="F5" s="27">
        <f t="shared" si="7"/>
        <v>365</v>
      </c>
      <c r="G5" s="27">
        <f t="shared" si="7"/>
        <v>160.88999999999999</v>
      </c>
      <c r="H5" s="27">
        <f t="shared" si="7"/>
        <v>34687.1</v>
      </c>
      <c r="I5" s="27">
        <f t="shared" si="7"/>
        <v>7775.4599999999991</v>
      </c>
      <c r="J5" s="27">
        <f t="shared" si="7"/>
        <v>26766.219999999998</v>
      </c>
      <c r="K5" s="27">
        <f t="shared" si="7"/>
        <v>26125.949999999997</v>
      </c>
      <c r="L5" s="27">
        <f t="shared" si="7"/>
        <v>58.150000000000006</v>
      </c>
      <c r="M5" s="27">
        <f t="shared" si="7"/>
        <v>485.07</v>
      </c>
      <c r="N5" s="27">
        <f t="shared" si="7"/>
        <v>97.05</v>
      </c>
      <c r="O5" s="27">
        <f t="shared" si="7"/>
        <v>0</v>
      </c>
      <c r="P5" s="27">
        <f t="shared" si="7"/>
        <v>201.51</v>
      </c>
      <c r="Q5" s="27">
        <f t="shared" si="7"/>
        <v>76.900000000000006</v>
      </c>
      <c r="R5" s="27">
        <f t="shared" si="7"/>
        <v>7494.5599999999995</v>
      </c>
      <c r="S5" s="27">
        <f t="shared" si="7"/>
        <v>1350</v>
      </c>
      <c r="T5" s="27">
        <f t="shared" si="7"/>
        <v>-2.4899999999995543</v>
      </c>
      <c r="U5" s="27">
        <f t="shared" si="7"/>
        <v>-33.530000000000655</v>
      </c>
      <c r="V5" s="27">
        <f t="shared" si="7"/>
        <v>49</v>
      </c>
      <c r="W5" s="27">
        <f t="shared" si="7"/>
        <v>111.89</v>
      </c>
      <c r="X5" s="27">
        <f t="shared" si="7"/>
        <v>1340</v>
      </c>
      <c r="Y5" s="27">
        <f t="shared" si="7"/>
        <v>1179.1100000000001</v>
      </c>
    </row>
    <row r="6" spans="1:26" ht="18.75">
      <c r="A6" s="9">
        <v>44746</v>
      </c>
      <c r="B6" s="10" t="s">
        <v>23</v>
      </c>
      <c r="C6" s="11">
        <v>7440.64</v>
      </c>
      <c r="D6" s="11">
        <v>3298.33</v>
      </c>
      <c r="E6" s="11">
        <v>6.5</v>
      </c>
      <c r="F6" s="11">
        <v>107</v>
      </c>
      <c r="G6" s="11">
        <v>92.5</v>
      </c>
      <c r="H6" s="11">
        <f t="shared" ref="H6:H12" si="8">SUM(C6:G6,P6)</f>
        <v>10944.970000000001</v>
      </c>
      <c r="I6" s="11">
        <f>2463.69</f>
        <v>2463.69</v>
      </c>
      <c r="J6" s="11">
        <f>SUM(K6:N6)</f>
        <v>8428.7800000000007</v>
      </c>
      <c r="K6" s="11">
        <f>8428.78-119.82-20-347.58</f>
        <v>7941.380000000001</v>
      </c>
      <c r="L6" s="11">
        <v>20</v>
      </c>
      <c r="M6" s="11">
        <v>119.82</v>
      </c>
      <c r="N6" s="11">
        <v>347.58</v>
      </c>
      <c r="O6" s="11">
        <v>314.60000000000002</v>
      </c>
      <c r="P6" s="33">
        <v>0</v>
      </c>
      <c r="Q6" s="33">
        <v>132</v>
      </c>
      <c r="R6" s="11">
        <v>2016.5</v>
      </c>
      <c r="S6" s="11">
        <v>450</v>
      </c>
      <c r="T6" s="31">
        <f t="shared" ref="T6:T12" si="9">SUM(O6,P6,Q6,R6)-I6</f>
        <v>-0.59000000000014552</v>
      </c>
      <c r="U6" s="32">
        <f>SUM(I6+J6+W6)-(H6)</f>
        <v>0</v>
      </c>
      <c r="V6" s="33">
        <f>SUM(G6-W6)</f>
        <v>40</v>
      </c>
      <c r="W6" s="33">
        <v>52.5</v>
      </c>
      <c r="X6" s="33">
        <v>90</v>
      </c>
      <c r="Y6" s="33">
        <f t="shared" si="5"/>
        <v>-2.5</v>
      </c>
    </row>
    <row r="7" spans="1:26" ht="18.75">
      <c r="A7" s="9">
        <v>44747</v>
      </c>
      <c r="B7" s="10" t="s">
        <v>24</v>
      </c>
      <c r="C7" s="11">
        <v>8249.65</v>
      </c>
      <c r="D7" s="11">
        <v>3287.85</v>
      </c>
      <c r="E7" s="11">
        <v>34.5</v>
      </c>
      <c r="F7" s="11">
        <v>64</v>
      </c>
      <c r="G7" s="11">
        <v>59.68</v>
      </c>
      <c r="H7" s="11">
        <f t="shared" si="8"/>
        <v>11735.68</v>
      </c>
      <c r="I7" s="11">
        <v>2410.15</v>
      </c>
      <c r="J7" s="11">
        <f t="shared" ref="J7:J12" si="10">SUM(K7:N7)</f>
        <v>9265.85</v>
      </c>
      <c r="K7" s="11">
        <f>9265.85-159-80.47-240.7</f>
        <v>8785.68</v>
      </c>
      <c r="L7" s="11">
        <v>80.47</v>
      </c>
      <c r="M7" s="11">
        <v>159</v>
      </c>
      <c r="N7" s="11">
        <v>240.7</v>
      </c>
      <c r="O7" s="11">
        <v>0</v>
      </c>
      <c r="P7" s="33">
        <v>40</v>
      </c>
      <c r="Q7" s="33">
        <v>35.700000000000003</v>
      </c>
      <c r="R7" s="11">
        <v>2338.1999999999998</v>
      </c>
      <c r="S7" s="11">
        <v>450</v>
      </c>
      <c r="T7" s="31">
        <f t="shared" si="9"/>
        <v>3.7499999999995453</v>
      </c>
      <c r="U7" s="32">
        <f t="shared" ref="U7:U12" si="11">SUM(I7+J7+W7)-(H7)</f>
        <v>0</v>
      </c>
      <c r="V7" s="33">
        <f t="shared" ref="V7:V12" si="12">SUM(G7-W7)</f>
        <v>0</v>
      </c>
      <c r="W7" s="33">
        <v>59.68</v>
      </c>
      <c r="X7" s="33">
        <v>290</v>
      </c>
      <c r="Y7" s="33">
        <f t="shared" si="5"/>
        <v>230.32</v>
      </c>
    </row>
    <row r="8" spans="1:26" ht="18.75">
      <c r="A8" s="9">
        <v>44748</v>
      </c>
      <c r="B8" s="10" t="s">
        <v>25</v>
      </c>
      <c r="C8" s="11">
        <v>8220.5300000000007</v>
      </c>
      <c r="D8" s="11">
        <v>2658.32</v>
      </c>
      <c r="E8" s="11">
        <v>63</v>
      </c>
      <c r="F8" s="11">
        <v>44</v>
      </c>
      <c r="G8" s="11">
        <v>243.62</v>
      </c>
      <c r="H8" s="11">
        <f t="shared" si="8"/>
        <v>11298.19</v>
      </c>
      <c r="I8" s="11">
        <v>1937.92</v>
      </c>
      <c r="J8" s="11">
        <f t="shared" si="10"/>
        <v>9211.51</v>
      </c>
      <c r="K8" s="11">
        <f>9211.51-265.87-39.64-568.06</f>
        <v>8337.94</v>
      </c>
      <c r="L8" s="11">
        <v>39.64</v>
      </c>
      <c r="M8" s="11">
        <v>265.87</v>
      </c>
      <c r="N8" s="11">
        <v>568.05999999999995</v>
      </c>
      <c r="O8" s="11">
        <v>10</v>
      </c>
      <c r="P8" s="33">
        <v>68.72</v>
      </c>
      <c r="Q8" s="33">
        <v>30</v>
      </c>
      <c r="R8" s="11">
        <v>1869.3</v>
      </c>
      <c r="S8" s="11">
        <v>450</v>
      </c>
      <c r="T8" s="31">
        <f t="shared" si="9"/>
        <v>40.099999999999909</v>
      </c>
      <c r="U8" s="32">
        <f t="shared" si="11"/>
        <v>-123.76000000000022</v>
      </c>
      <c r="V8" s="33">
        <v>94.86</v>
      </c>
      <c r="W8" s="33">
        <v>25</v>
      </c>
      <c r="X8" s="33">
        <v>590</v>
      </c>
      <c r="Y8" s="33">
        <f t="shared" si="5"/>
        <v>346.38</v>
      </c>
      <c r="Z8" t="s">
        <v>83</v>
      </c>
    </row>
    <row r="9" spans="1:26" ht="18.75">
      <c r="A9" s="9">
        <v>44749</v>
      </c>
      <c r="B9" s="10" t="s">
        <v>26</v>
      </c>
      <c r="C9" s="11">
        <v>8914.2099999999991</v>
      </c>
      <c r="D9" s="11">
        <v>3725.1</v>
      </c>
      <c r="E9" s="11">
        <v>4</v>
      </c>
      <c r="F9" s="11">
        <v>71</v>
      </c>
      <c r="G9" s="11">
        <v>31</v>
      </c>
      <c r="H9" s="11">
        <f t="shared" si="8"/>
        <v>12747.31</v>
      </c>
      <c r="I9" s="11">
        <v>2651.19</v>
      </c>
      <c r="J9" s="11">
        <f t="shared" si="10"/>
        <v>10069.16</v>
      </c>
      <c r="K9" s="11">
        <f>10069.16-396.94-44.25-441.61</f>
        <v>9186.3599999999988</v>
      </c>
      <c r="L9" s="11">
        <v>44.25</v>
      </c>
      <c r="M9" s="11">
        <v>396.94</v>
      </c>
      <c r="N9" s="11">
        <v>441.61</v>
      </c>
      <c r="O9" s="11">
        <v>273.64</v>
      </c>
      <c r="P9" s="33">
        <v>2</v>
      </c>
      <c r="Q9" s="33">
        <v>35</v>
      </c>
      <c r="R9" s="11">
        <v>2316</v>
      </c>
      <c r="S9" s="11">
        <v>450</v>
      </c>
      <c r="T9" s="31">
        <f t="shared" si="9"/>
        <v>-24.550000000000182</v>
      </c>
      <c r="U9" s="32">
        <f t="shared" si="11"/>
        <v>-0.95999999999912689</v>
      </c>
      <c r="V9" s="33">
        <f t="shared" si="12"/>
        <v>5</v>
      </c>
      <c r="W9" s="33">
        <v>26</v>
      </c>
      <c r="X9" s="33">
        <v>450</v>
      </c>
      <c r="Y9" s="33">
        <f t="shared" si="5"/>
        <v>419</v>
      </c>
      <c r="Z9" t="s">
        <v>84</v>
      </c>
    </row>
    <row r="10" spans="1:26" ht="18.75">
      <c r="A10" s="9">
        <v>44750</v>
      </c>
      <c r="B10" s="10" t="s">
        <v>20</v>
      </c>
      <c r="C10" s="11">
        <v>10618.5</v>
      </c>
      <c r="D10" s="11">
        <v>4904.9399999999996</v>
      </c>
      <c r="E10" s="11">
        <v>51</v>
      </c>
      <c r="F10" s="11">
        <v>58</v>
      </c>
      <c r="G10" s="11">
        <v>95</v>
      </c>
      <c r="H10" s="11">
        <f t="shared" si="8"/>
        <v>15727.439999999999</v>
      </c>
      <c r="I10" s="11">
        <v>2713.14</v>
      </c>
      <c r="J10" s="11">
        <f t="shared" si="10"/>
        <v>12847.84</v>
      </c>
      <c r="K10" s="11">
        <f>12847.84-439.76-522.29</f>
        <v>11885.79</v>
      </c>
      <c r="L10" s="11">
        <v>0</v>
      </c>
      <c r="M10" s="11">
        <v>439.76</v>
      </c>
      <c r="N10" s="11">
        <v>522.29</v>
      </c>
      <c r="O10" s="11">
        <v>0</v>
      </c>
      <c r="P10" s="33">
        <v>0</v>
      </c>
      <c r="Q10" s="33">
        <v>21.4</v>
      </c>
      <c r="R10" s="11">
        <v>2697.55</v>
      </c>
      <c r="S10" s="11">
        <v>450</v>
      </c>
      <c r="T10" s="31">
        <f t="shared" si="9"/>
        <v>5.8100000000004002</v>
      </c>
      <c r="U10" s="32">
        <f t="shared" si="11"/>
        <v>-161.45999999999913</v>
      </c>
      <c r="V10" s="33">
        <f t="shared" si="12"/>
        <v>90</v>
      </c>
      <c r="W10" s="33">
        <v>5</v>
      </c>
      <c r="X10" s="33">
        <v>1030</v>
      </c>
      <c r="Y10" s="33">
        <f t="shared" si="5"/>
        <v>935</v>
      </c>
    </row>
    <row r="11" spans="1:26" ht="18.75">
      <c r="A11" s="9">
        <v>44751</v>
      </c>
      <c r="B11" s="10" t="s">
        <v>21</v>
      </c>
      <c r="C11" s="11">
        <v>8409.4599999999991</v>
      </c>
      <c r="D11" s="11">
        <v>4738.07</v>
      </c>
      <c r="E11" s="11">
        <v>22.5</v>
      </c>
      <c r="F11" s="11">
        <v>96</v>
      </c>
      <c r="G11" s="11">
        <v>20</v>
      </c>
      <c r="H11" s="11">
        <f t="shared" si="8"/>
        <v>13286.029999999999</v>
      </c>
      <c r="I11" s="11">
        <v>3032.88</v>
      </c>
      <c r="J11" s="11">
        <f t="shared" si="10"/>
        <v>10185.86</v>
      </c>
      <c r="K11" s="11">
        <f>10185.86-91.67-185.2</f>
        <v>9908.99</v>
      </c>
      <c r="L11" s="11">
        <v>0</v>
      </c>
      <c r="M11" s="11">
        <v>91.67</v>
      </c>
      <c r="N11" s="11">
        <v>185.2</v>
      </c>
      <c r="O11" s="11">
        <v>0</v>
      </c>
      <c r="P11" s="33">
        <v>0</v>
      </c>
      <c r="Q11" s="33">
        <v>63.7</v>
      </c>
      <c r="R11" s="11">
        <v>2962.7</v>
      </c>
      <c r="S11" s="11">
        <v>450</v>
      </c>
      <c r="T11" s="31">
        <f t="shared" si="9"/>
        <v>-6.4800000000004729</v>
      </c>
      <c r="U11" s="32">
        <f t="shared" si="11"/>
        <v>-67.289999999997235</v>
      </c>
      <c r="V11" s="33">
        <f t="shared" si="12"/>
        <v>20</v>
      </c>
      <c r="W11" s="33">
        <v>0</v>
      </c>
      <c r="X11" s="33">
        <v>330</v>
      </c>
      <c r="Y11" s="33">
        <f t="shared" si="5"/>
        <v>310</v>
      </c>
    </row>
    <row r="12" spans="1:26" ht="18.75">
      <c r="A12" s="9">
        <v>44752</v>
      </c>
      <c r="B12" s="10" t="s">
        <v>22</v>
      </c>
      <c r="C12" s="11">
        <v>7914.97</v>
      </c>
      <c r="D12" s="11">
        <v>3896.24</v>
      </c>
      <c r="E12" s="11">
        <v>0</v>
      </c>
      <c r="F12" s="11">
        <v>115</v>
      </c>
      <c r="G12" s="11">
        <v>35</v>
      </c>
      <c r="H12" s="11">
        <f t="shared" si="8"/>
        <v>12089.21</v>
      </c>
      <c r="I12" s="11">
        <v>2713.19</v>
      </c>
      <c r="J12" s="11">
        <f t="shared" si="10"/>
        <v>9341.02</v>
      </c>
      <c r="K12" s="11">
        <f>9341.02-353.01-62.25-413.62</f>
        <v>8512.14</v>
      </c>
      <c r="L12" s="11">
        <v>62.25</v>
      </c>
      <c r="M12" s="11">
        <v>353.01</v>
      </c>
      <c r="N12" s="11">
        <v>413.62</v>
      </c>
      <c r="O12" s="11">
        <v>0</v>
      </c>
      <c r="P12" s="33">
        <v>128</v>
      </c>
      <c r="Q12" s="33">
        <v>45</v>
      </c>
      <c r="R12" s="11">
        <v>2647.5</v>
      </c>
      <c r="S12" s="11">
        <v>450</v>
      </c>
      <c r="T12" s="31">
        <f t="shared" si="9"/>
        <v>107.30999999999995</v>
      </c>
      <c r="U12" s="32">
        <f t="shared" si="11"/>
        <v>0</v>
      </c>
      <c r="V12" s="33">
        <f t="shared" si="12"/>
        <v>0</v>
      </c>
      <c r="W12" s="33">
        <v>35</v>
      </c>
      <c r="X12" s="33">
        <v>170</v>
      </c>
      <c r="Y12" s="33">
        <f t="shared" si="5"/>
        <v>135</v>
      </c>
    </row>
    <row r="13" spans="1:26" ht="37.5" customHeight="1">
      <c r="A13" s="65" t="s">
        <v>27</v>
      </c>
      <c r="B13" s="66"/>
      <c r="C13" s="27">
        <f>SUM(C6:C12)</f>
        <v>59767.96</v>
      </c>
      <c r="D13" s="27">
        <f t="shared" ref="D13:Y13" si="13">SUM(D6:D12)</f>
        <v>26508.85</v>
      </c>
      <c r="E13" s="27">
        <f t="shared" si="13"/>
        <v>181.5</v>
      </c>
      <c r="F13" s="27">
        <f t="shared" si="13"/>
        <v>555</v>
      </c>
      <c r="G13" s="27">
        <f t="shared" si="13"/>
        <v>576.79999999999995</v>
      </c>
      <c r="H13" s="27">
        <f t="shared" si="13"/>
        <v>87828.829999999987</v>
      </c>
      <c r="I13" s="27">
        <f t="shared" si="13"/>
        <v>17922.16</v>
      </c>
      <c r="J13" s="27">
        <f t="shared" si="13"/>
        <v>69350.02</v>
      </c>
      <c r="K13" s="27">
        <f t="shared" si="13"/>
        <v>64558.28</v>
      </c>
      <c r="L13" s="27">
        <f t="shared" si="13"/>
        <v>246.61</v>
      </c>
      <c r="M13" s="27">
        <f t="shared" si="13"/>
        <v>1826.0700000000002</v>
      </c>
      <c r="N13" s="27">
        <f t="shared" si="13"/>
        <v>2719.0599999999995</v>
      </c>
      <c r="O13" s="27">
        <f t="shared" si="13"/>
        <v>598.24</v>
      </c>
      <c r="P13" s="27">
        <f t="shared" si="13"/>
        <v>238.72</v>
      </c>
      <c r="Q13" s="27">
        <f t="shared" si="13"/>
        <v>362.8</v>
      </c>
      <c r="R13" s="27">
        <f t="shared" si="13"/>
        <v>16847.75</v>
      </c>
      <c r="S13" s="27">
        <f t="shared" si="13"/>
        <v>3150</v>
      </c>
      <c r="T13" s="27">
        <f t="shared" si="13"/>
        <v>125.349999999999</v>
      </c>
      <c r="U13" s="27">
        <f t="shared" si="13"/>
        <v>-353.46999999999571</v>
      </c>
      <c r="V13" s="27">
        <f t="shared" si="13"/>
        <v>249.86</v>
      </c>
      <c r="W13" s="27">
        <f t="shared" si="13"/>
        <v>203.18</v>
      </c>
      <c r="X13" s="27">
        <f t="shared" si="13"/>
        <v>2950</v>
      </c>
      <c r="Y13" s="27">
        <f t="shared" si="13"/>
        <v>2373.1999999999998</v>
      </c>
    </row>
    <row r="14" spans="1:26" s="35" customFormat="1" ht="18.75">
      <c r="A14" s="9">
        <v>44753</v>
      </c>
      <c r="B14" s="10" t="s">
        <v>23</v>
      </c>
      <c r="C14" s="11">
        <v>7453.12</v>
      </c>
      <c r="D14" s="11">
        <v>3229.5</v>
      </c>
      <c r="E14" s="11">
        <v>0</v>
      </c>
      <c r="F14" s="11">
        <v>27</v>
      </c>
      <c r="G14" s="11">
        <v>34</v>
      </c>
      <c r="H14" s="11">
        <f t="shared" ref="H14:H20" si="14">SUM(C14:G14,P14)</f>
        <v>10743.619999999999</v>
      </c>
      <c r="I14" s="11">
        <v>2539.0300000000002</v>
      </c>
      <c r="J14" s="11">
        <f>SUM(K14:N14)</f>
        <v>8170.59</v>
      </c>
      <c r="K14" s="11">
        <f>8170.59-76.76-624.87</f>
        <v>7468.96</v>
      </c>
      <c r="L14" s="11">
        <v>0</v>
      </c>
      <c r="M14" s="11">
        <v>76.760000000000005</v>
      </c>
      <c r="N14" s="11">
        <v>624.87</v>
      </c>
      <c r="O14" s="11">
        <v>95.7</v>
      </c>
      <c r="P14" s="33">
        <v>0</v>
      </c>
      <c r="Q14" s="33">
        <v>17.100000000000001</v>
      </c>
      <c r="R14" s="11">
        <v>2328.35</v>
      </c>
      <c r="S14" s="11">
        <v>450</v>
      </c>
      <c r="T14" s="31">
        <f t="shared" ref="T14:T20" si="15">SUM(O14,P14,Q14,R14)-I14</f>
        <v>-97.880000000000109</v>
      </c>
      <c r="U14" s="32">
        <f>SUM(I14+J14+W14)-(H14)</f>
        <v>0</v>
      </c>
      <c r="V14" s="33">
        <f>SUM(G14-W14)</f>
        <v>0</v>
      </c>
      <c r="W14" s="33">
        <v>34</v>
      </c>
      <c r="X14" s="33">
        <v>430</v>
      </c>
      <c r="Y14" s="33">
        <f t="shared" si="5"/>
        <v>396</v>
      </c>
    </row>
    <row r="15" spans="1:26" s="35" customFormat="1" ht="18.75">
      <c r="A15" s="9">
        <v>44754</v>
      </c>
      <c r="B15" s="10" t="s">
        <v>24</v>
      </c>
      <c r="C15" s="11">
        <v>7794.63</v>
      </c>
      <c r="D15" s="11">
        <v>3013.75</v>
      </c>
      <c r="E15" s="11">
        <v>37.5</v>
      </c>
      <c r="F15" s="11">
        <v>48</v>
      </c>
      <c r="G15" s="11">
        <v>353</v>
      </c>
      <c r="H15" s="11">
        <f t="shared" si="14"/>
        <v>11246.880000000001</v>
      </c>
      <c r="I15" s="11">
        <v>1966.96</v>
      </c>
      <c r="J15" s="11">
        <f t="shared" ref="J15:J20" si="16">SUM(K15:N15)</f>
        <v>9105.92</v>
      </c>
      <c r="K15" s="11">
        <f>9105.92-263.12-431.18</f>
        <v>8411.619999999999</v>
      </c>
      <c r="L15" s="11">
        <v>0</v>
      </c>
      <c r="M15" s="11">
        <v>263.12</v>
      </c>
      <c r="N15" s="11">
        <v>431.18</v>
      </c>
      <c r="O15" s="11">
        <v>137.09</v>
      </c>
      <c r="P15" s="33">
        <v>0</v>
      </c>
      <c r="Q15" s="33">
        <v>49.6</v>
      </c>
      <c r="R15" s="11">
        <v>1785.23</v>
      </c>
      <c r="S15" s="11">
        <v>450</v>
      </c>
      <c r="T15" s="31">
        <f t="shared" si="15"/>
        <v>4.9600000000000364</v>
      </c>
      <c r="U15" s="32">
        <f t="shared" ref="U15:U20" si="17">SUM(I15+J15+W15)-(H15)</f>
        <v>0</v>
      </c>
      <c r="V15" s="33">
        <f t="shared" ref="V15:V20" si="18">SUM(G15-W15)</f>
        <v>179</v>
      </c>
      <c r="W15" s="33">
        <v>174</v>
      </c>
      <c r="X15" s="33">
        <v>150</v>
      </c>
      <c r="Y15" s="33">
        <f t="shared" si="5"/>
        <v>-203</v>
      </c>
      <c r="Z15" s="35" t="s">
        <v>86</v>
      </c>
    </row>
    <row r="16" spans="1:26" s="35" customFormat="1" ht="18.75">
      <c r="A16" s="9">
        <v>44755</v>
      </c>
      <c r="B16" s="10" t="s">
        <v>25</v>
      </c>
      <c r="C16" s="11">
        <v>7982.83</v>
      </c>
      <c r="D16" s="11">
        <v>3534.8</v>
      </c>
      <c r="E16" s="11">
        <v>16</v>
      </c>
      <c r="F16" s="11">
        <v>43</v>
      </c>
      <c r="G16" s="11">
        <v>323</v>
      </c>
      <c r="H16" s="11">
        <f t="shared" si="14"/>
        <v>11899.630000000001</v>
      </c>
      <c r="I16" s="11">
        <v>2415.96</v>
      </c>
      <c r="J16" s="11">
        <f t="shared" si="16"/>
        <v>9319.67</v>
      </c>
      <c r="K16" s="11">
        <f>9319.67-154.92-15.13-538.56</f>
        <v>8611.0600000000013</v>
      </c>
      <c r="L16" s="11">
        <v>15.13</v>
      </c>
      <c r="M16" s="11">
        <v>154.91999999999999</v>
      </c>
      <c r="N16" s="11">
        <v>538.55999999999995</v>
      </c>
      <c r="O16" s="11">
        <v>0</v>
      </c>
      <c r="P16" s="33">
        <v>0</v>
      </c>
      <c r="Q16" s="33">
        <v>32</v>
      </c>
      <c r="R16" s="11">
        <v>2385.8000000000002</v>
      </c>
      <c r="S16" s="11">
        <v>450</v>
      </c>
      <c r="T16" s="31">
        <f t="shared" si="15"/>
        <v>1.8400000000001455</v>
      </c>
      <c r="U16" s="32">
        <f t="shared" si="17"/>
        <v>0</v>
      </c>
      <c r="V16" s="33">
        <f t="shared" si="18"/>
        <v>159</v>
      </c>
      <c r="W16" s="33">
        <v>164</v>
      </c>
      <c r="X16" s="33">
        <v>390</v>
      </c>
      <c r="Y16" s="33">
        <f t="shared" si="5"/>
        <v>67</v>
      </c>
      <c r="Z16" s="35" t="s">
        <v>85</v>
      </c>
    </row>
    <row r="17" spans="1:26" s="35" customFormat="1" ht="18.75">
      <c r="A17" s="9">
        <v>44756</v>
      </c>
      <c r="B17" s="10" t="s">
        <v>26</v>
      </c>
      <c r="C17" s="11">
        <v>9060.5</v>
      </c>
      <c r="D17" s="11">
        <v>2925.72</v>
      </c>
      <c r="E17" s="11">
        <v>15.5</v>
      </c>
      <c r="F17" s="11">
        <v>56</v>
      </c>
      <c r="G17" s="11">
        <v>314</v>
      </c>
      <c r="H17" s="11">
        <f t="shared" si="14"/>
        <v>12421.72</v>
      </c>
      <c r="I17" s="11">
        <v>2426.9699999999998</v>
      </c>
      <c r="J17" s="11">
        <f t="shared" si="16"/>
        <v>9700.75</v>
      </c>
      <c r="K17" s="11">
        <f>9700.75-80.07-545.09</f>
        <v>9075.59</v>
      </c>
      <c r="L17" s="11">
        <v>80.069999999999993</v>
      </c>
      <c r="M17" s="11">
        <v>0</v>
      </c>
      <c r="N17" s="11">
        <v>545.09</v>
      </c>
      <c r="O17" s="11">
        <v>810.53</v>
      </c>
      <c r="P17" s="33">
        <v>50</v>
      </c>
      <c r="Q17" s="33">
        <v>20.6</v>
      </c>
      <c r="R17" s="11">
        <v>1546.71</v>
      </c>
      <c r="S17" s="11">
        <v>450</v>
      </c>
      <c r="T17" s="31">
        <f t="shared" si="15"/>
        <v>0.87000000000034561</v>
      </c>
      <c r="U17" s="32">
        <f t="shared" si="17"/>
        <v>0</v>
      </c>
      <c r="V17" s="33">
        <f t="shared" si="18"/>
        <v>20</v>
      </c>
      <c r="W17" s="33">
        <v>294</v>
      </c>
      <c r="X17" s="33">
        <v>500</v>
      </c>
      <c r="Y17" s="33">
        <f t="shared" si="5"/>
        <v>186</v>
      </c>
    </row>
    <row r="18" spans="1:26" s="35" customFormat="1" ht="18.75">
      <c r="A18" s="9">
        <v>44757</v>
      </c>
      <c r="B18" s="10" t="s">
        <v>20</v>
      </c>
      <c r="C18" s="11">
        <v>10578.46</v>
      </c>
      <c r="D18" s="11">
        <v>4601.59</v>
      </c>
      <c r="E18" s="11">
        <v>54.5</v>
      </c>
      <c r="F18" s="11">
        <v>96</v>
      </c>
      <c r="G18" s="11">
        <v>448</v>
      </c>
      <c r="H18" s="11">
        <f t="shared" si="14"/>
        <v>15778.55</v>
      </c>
      <c r="I18" s="43">
        <v>3124.75</v>
      </c>
      <c r="J18" s="11">
        <f t="shared" si="16"/>
        <v>12295.8</v>
      </c>
      <c r="K18" s="11">
        <f>12295.8-125.86-663.59</f>
        <v>11506.349999999999</v>
      </c>
      <c r="L18" s="11">
        <v>0</v>
      </c>
      <c r="M18" s="11">
        <v>125.86</v>
      </c>
      <c r="N18" s="11">
        <v>663.59</v>
      </c>
      <c r="O18" s="11">
        <v>0</v>
      </c>
      <c r="P18" s="33">
        <v>0</v>
      </c>
      <c r="Q18" s="33">
        <v>43.1</v>
      </c>
      <c r="R18" s="11">
        <v>3090.35</v>
      </c>
      <c r="S18" s="11">
        <v>450</v>
      </c>
      <c r="T18" s="31">
        <f t="shared" si="15"/>
        <v>8.6999999999998181</v>
      </c>
      <c r="U18" s="32">
        <f t="shared" si="17"/>
        <v>0</v>
      </c>
      <c r="V18" s="33">
        <f t="shared" si="18"/>
        <v>90</v>
      </c>
      <c r="W18" s="33">
        <v>358</v>
      </c>
      <c r="X18" s="33">
        <v>1010</v>
      </c>
      <c r="Y18" s="33">
        <f t="shared" si="5"/>
        <v>562</v>
      </c>
    </row>
    <row r="19" spans="1:26" s="35" customFormat="1" ht="18.75">
      <c r="A19" s="9">
        <v>44758</v>
      </c>
      <c r="B19" s="10" t="s">
        <v>21</v>
      </c>
      <c r="C19" s="11">
        <v>7721.02</v>
      </c>
      <c r="D19" s="11">
        <v>5428.58</v>
      </c>
      <c r="E19" s="11">
        <v>30</v>
      </c>
      <c r="F19" s="11">
        <v>123</v>
      </c>
      <c r="G19" s="11">
        <v>174</v>
      </c>
      <c r="H19" s="11">
        <f t="shared" si="14"/>
        <v>13501.6</v>
      </c>
      <c r="I19" s="11">
        <v>2783.92</v>
      </c>
      <c r="J19" s="11">
        <f t="shared" si="16"/>
        <v>10547.48</v>
      </c>
      <c r="K19" s="11">
        <f>10547.48-203.01-17.82</f>
        <v>10326.65</v>
      </c>
      <c r="L19" s="11">
        <v>17.82</v>
      </c>
      <c r="M19" s="11">
        <v>0</v>
      </c>
      <c r="N19" s="11">
        <v>203.01</v>
      </c>
      <c r="O19" s="11">
        <v>0</v>
      </c>
      <c r="P19" s="33">
        <v>25</v>
      </c>
      <c r="Q19" s="33">
        <v>95</v>
      </c>
      <c r="R19" s="11">
        <v>2666.15</v>
      </c>
      <c r="S19" s="11">
        <v>450</v>
      </c>
      <c r="T19" s="31">
        <f t="shared" si="15"/>
        <v>2.2300000000000182</v>
      </c>
      <c r="U19" s="32">
        <f t="shared" si="17"/>
        <v>3.7999999999992724</v>
      </c>
      <c r="V19" s="33">
        <f t="shared" si="18"/>
        <v>0</v>
      </c>
      <c r="W19" s="33">
        <v>174</v>
      </c>
      <c r="X19" s="33">
        <v>610</v>
      </c>
      <c r="Y19" s="33">
        <f t="shared" si="5"/>
        <v>436</v>
      </c>
    </row>
    <row r="20" spans="1:26" s="35" customFormat="1" ht="18.75">
      <c r="A20" s="9">
        <v>44759</v>
      </c>
      <c r="B20" s="10" t="s">
        <v>22</v>
      </c>
      <c r="C20" s="11">
        <v>6342.98</v>
      </c>
      <c r="D20" s="11">
        <v>4200.04</v>
      </c>
      <c r="E20" s="11">
        <v>7.5</v>
      </c>
      <c r="F20" s="11">
        <v>81</v>
      </c>
      <c r="G20" s="11">
        <v>45</v>
      </c>
      <c r="H20" s="11">
        <f t="shared" si="14"/>
        <v>10716.52</v>
      </c>
      <c r="I20" s="11">
        <v>2237.0700000000002</v>
      </c>
      <c r="J20" s="11">
        <f t="shared" si="16"/>
        <v>8449.0499999999993</v>
      </c>
      <c r="K20" s="11">
        <f>8449.05-144.35</f>
        <v>8304.6999999999989</v>
      </c>
      <c r="L20" s="11">
        <v>0</v>
      </c>
      <c r="M20" s="11">
        <v>0</v>
      </c>
      <c r="N20" s="11">
        <v>144.35</v>
      </c>
      <c r="O20" s="11">
        <v>0</v>
      </c>
      <c r="P20" s="33">
        <v>40</v>
      </c>
      <c r="Q20" s="33">
        <v>55.6</v>
      </c>
      <c r="R20" s="11">
        <v>2253.4299999999998</v>
      </c>
      <c r="S20" s="11">
        <v>450</v>
      </c>
      <c r="T20" s="31">
        <f t="shared" si="15"/>
        <v>111.95999999999958</v>
      </c>
      <c r="U20" s="32">
        <f t="shared" si="17"/>
        <v>-5.4000000000014552</v>
      </c>
      <c r="V20" s="33">
        <f t="shared" si="18"/>
        <v>20</v>
      </c>
      <c r="W20" s="33">
        <v>25</v>
      </c>
      <c r="X20" s="33">
        <v>180</v>
      </c>
      <c r="Y20" s="33">
        <f t="shared" si="5"/>
        <v>135</v>
      </c>
    </row>
    <row r="21" spans="1:26" ht="37.5" customHeight="1">
      <c r="A21" s="65" t="s">
        <v>27</v>
      </c>
      <c r="B21" s="66"/>
      <c r="C21" s="27">
        <f>SUM(C14:C20)</f>
        <v>56933.539999999994</v>
      </c>
      <c r="D21" s="27">
        <f t="shared" ref="D21:Y21" si="19">SUM(D14:D20)</f>
        <v>26933.980000000003</v>
      </c>
      <c r="E21" s="27">
        <f t="shared" si="19"/>
        <v>161</v>
      </c>
      <c r="F21" s="27">
        <f t="shared" si="19"/>
        <v>474</v>
      </c>
      <c r="G21" s="27">
        <f t="shared" si="19"/>
        <v>1691</v>
      </c>
      <c r="H21" s="27">
        <f t="shared" si="19"/>
        <v>86308.520000000019</v>
      </c>
      <c r="I21" s="27">
        <f t="shared" si="19"/>
        <v>17494.66</v>
      </c>
      <c r="J21" s="27">
        <f t="shared" si="19"/>
        <v>67589.259999999995</v>
      </c>
      <c r="K21" s="27">
        <f t="shared" si="19"/>
        <v>63704.929999999993</v>
      </c>
      <c r="L21" s="27">
        <f t="shared" si="19"/>
        <v>113.01999999999998</v>
      </c>
      <c r="M21" s="27">
        <f t="shared" si="19"/>
        <v>620.66</v>
      </c>
      <c r="N21" s="27">
        <f t="shared" si="19"/>
        <v>3150.65</v>
      </c>
      <c r="O21" s="27">
        <f t="shared" si="19"/>
        <v>1043.32</v>
      </c>
      <c r="P21" s="27">
        <f t="shared" si="19"/>
        <v>115</v>
      </c>
      <c r="Q21" s="27">
        <f t="shared" si="19"/>
        <v>313</v>
      </c>
      <c r="R21" s="27">
        <f t="shared" si="19"/>
        <v>16056.02</v>
      </c>
      <c r="S21" s="27">
        <f t="shared" si="19"/>
        <v>3150</v>
      </c>
      <c r="T21" s="27">
        <f t="shared" si="19"/>
        <v>32.679999999999836</v>
      </c>
      <c r="U21" s="27">
        <f t="shared" si="19"/>
        <v>-1.6000000000021828</v>
      </c>
      <c r="V21" s="27">
        <f t="shared" si="19"/>
        <v>468</v>
      </c>
      <c r="W21" s="27">
        <f t="shared" si="19"/>
        <v>1223</v>
      </c>
      <c r="X21" s="27">
        <f t="shared" si="19"/>
        <v>3270</v>
      </c>
      <c r="Y21" s="27">
        <f t="shared" si="19"/>
        <v>1579</v>
      </c>
    </row>
    <row r="22" spans="1:26" s="35" customFormat="1" ht="18.75">
      <c r="A22" s="9">
        <v>44760</v>
      </c>
      <c r="B22" s="10" t="s">
        <v>23</v>
      </c>
      <c r="C22" s="11">
        <v>6758.47</v>
      </c>
      <c r="D22" s="11">
        <v>3862.19</v>
      </c>
      <c r="E22" s="11">
        <v>10.5</v>
      </c>
      <c r="F22" s="11">
        <v>75</v>
      </c>
      <c r="G22" s="11">
        <v>228.61</v>
      </c>
      <c r="H22" s="11">
        <f t="shared" ref="H22:H28" si="20">SUM(C22:G22,P22)</f>
        <v>10934.77</v>
      </c>
      <c r="I22" s="11">
        <v>2220.92</v>
      </c>
      <c r="J22" s="11">
        <f>SUM(K22:N22)</f>
        <v>8654.24</v>
      </c>
      <c r="K22" s="11">
        <f>8654.24-285.69-21.03-400.2</f>
        <v>7947.3199999999988</v>
      </c>
      <c r="L22" s="11">
        <v>21.03</v>
      </c>
      <c r="M22" s="11">
        <v>285.69</v>
      </c>
      <c r="N22" s="11">
        <v>400.2</v>
      </c>
      <c r="O22" s="11">
        <v>261.89999999999998</v>
      </c>
      <c r="P22" s="33">
        <v>0</v>
      </c>
      <c r="Q22" s="33">
        <v>30</v>
      </c>
      <c r="R22" s="11">
        <v>1826.82</v>
      </c>
      <c r="S22" s="11">
        <v>450</v>
      </c>
      <c r="T22" s="31">
        <f t="shared" ref="T22:T28" si="21">SUM(O22,P22,Q22,R22)-I22</f>
        <v>-102.20000000000027</v>
      </c>
      <c r="U22" s="32">
        <f>SUM(I22+J22+W22)-(H22)</f>
        <v>0</v>
      </c>
      <c r="V22" s="33">
        <f>SUM(G22-W22)</f>
        <v>169</v>
      </c>
      <c r="W22" s="33">
        <v>59.61</v>
      </c>
      <c r="X22" s="33">
        <v>280</v>
      </c>
      <c r="Y22" s="33">
        <f t="shared" si="5"/>
        <v>51.389999999999986</v>
      </c>
    </row>
    <row r="23" spans="1:26" s="35" customFormat="1" ht="18.75">
      <c r="A23" s="9">
        <v>44761</v>
      </c>
      <c r="B23" s="10" t="s">
        <v>24</v>
      </c>
      <c r="C23" s="11">
        <v>6240.52</v>
      </c>
      <c r="D23" s="11">
        <v>3645.02</v>
      </c>
      <c r="E23" s="11">
        <v>51.5</v>
      </c>
      <c r="F23" s="11">
        <v>36</v>
      </c>
      <c r="G23" s="11">
        <v>84.5</v>
      </c>
      <c r="H23" s="11">
        <f t="shared" si="20"/>
        <v>10057.540000000001</v>
      </c>
      <c r="I23" s="11">
        <v>1940.57</v>
      </c>
      <c r="J23" s="11">
        <f t="shared" ref="J23:J28" si="22">SUM(K23:N23)</f>
        <v>8011.96</v>
      </c>
      <c r="K23" s="11">
        <f>8011.96-101.9-198.99</f>
        <v>7711.0700000000006</v>
      </c>
      <c r="L23" s="11">
        <v>0</v>
      </c>
      <c r="M23" s="11">
        <v>101.9</v>
      </c>
      <c r="N23" s="11">
        <v>198.99</v>
      </c>
      <c r="O23" s="11">
        <v>0</v>
      </c>
      <c r="P23" s="33">
        <v>0</v>
      </c>
      <c r="Q23" s="33">
        <v>14</v>
      </c>
      <c r="R23" s="11">
        <v>1927.69</v>
      </c>
      <c r="S23" s="11">
        <v>450</v>
      </c>
      <c r="T23" s="31">
        <f t="shared" si="21"/>
        <v>1.1200000000001182</v>
      </c>
      <c r="U23" s="32">
        <f t="shared" ref="U23:U30" si="23">SUM(I23+J23+W23)-(H23)</f>
        <v>-100.01000000000022</v>
      </c>
      <c r="V23" s="33">
        <f t="shared" ref="V23:V28" si="24">SUM(G23-W23)</f>
        <v>79.5</v>
      </c>
      <c r="W23" s="33">
        <v>5</v>
      </c>
      <c r="X23" s="33">
        <v>130</v>
      </c>
      <c r="Y23" s="33">
        <f t="shared" si="5"/>
        <v>45.5</v>
      </c>
    </row>
    <row r="24" spans="1:26" s="35" customFormat="1" ht="18.75">
      <c r="A24" s="9">
        <v>44762</v>
      </c>
      <c r="B24" s="10" t="s">
        <v>25</v>
      </c>
      <c r="C24" s="11">
        <v>8267.49</v>
      </c>
      <c r="D24" s="11">
        <v>3472.68</v>
      </c>
      <c r="E24" s="11">
        <v>17</v>
      </c>
      <c r="F24" s="11">
        <v>59</v>
      </c>
      <c r="G24" s="11">
        <v>384</v>
      </c>
      <c r="H24" s="11">
        <f t="shared" si="20"/>
        <v>12245.17</v>
      </c>
      <c r="I24" s="11">
        <f>2324.46</f>
        <v>2324.46</v>
      </c>
      <c r="J24" s="11">
        <f t="shared" si="22"/>
        <v>9810.7099999999991</v>
      </c>
      <c r="K24" s="11">
        <f>9810.71-210.49-514.85</f>
        <v>9085.369999999999</v>
      </c>
      <c r="L24" s="11">
        <v>0</v>
      </c>
      <c r="M24" s="11">
        <v>210.49</v>
      </c>
      <c r="N24" s="11">
        <v>514.85</v>
      </c>
      <c r="O24" s="11">
        <v>281.27</v>
      </c>
      <c r="P24" s="33">
        <v>45</v>
      </c>
      <c r="Q24" s="33">
        <v>104</v>
      </c>
      <c r="R24" s="11">
        <v>1892.55</v>
      </c>
      <c r="S24" s="11">
        <v>450</v>
      </c>
      <c r="T24" s="31">
        <f t="shared" si="21"/>
        <v>-1.6400000000003274</v>
      </c>
      <c r="U24" s="32">
        <f t="shared" si="23"/>
        <v>0</v>
      </c>
      <c r="V24" s="33">
        <f t="shared" si="24"/>
        <v>274</v>
      </c>
      <c r="W24" s="33">
        <v>110</v>
      </c>
      <c r="X24" s="33">
        <v>240</v>
      </c>
      <c r="Y24" s="33">
        <f t="shared" si="5"/>
        <v>-144</v>
      </c>
    </row>
    <row r="25" spans="1:26" s="35" customFormat="1" ht="18.75">
      <c r="A25" s="9">
        <v>44763</v>
      </c>
      <c r="B25" s="10" t="s">
        <v>26</v>
      </c>
      <c r="C25" s="11">
        <v>7113.53</v>
      </c>
      <c r="D25" s="11">
        <v>3396.4</v>
      </c>
      <c r="E25" s="11">
        <v>31.5</v>
      </c>
      <c r="F25" s="11">
        <v>45</v>
      </c>
      <c r="G25" s="11">
        <v>50</v>
      </c>
      <c r="H25" s="11">
        <f t="shared" si="20"/>
        <v>10706.43</v>
      </c>
      <c r="I25" s="11">
        <v>2671.67</v>
      </c>
      <c r="J25" s="11">
        <f t="shared" si="22"/>
        <v>8024.76</v>
      </c>
      <c r="K25" s="11">
        <f>8024.76-74.42-275.51</f>
        <v>7674.83</v>
      </c>
      <c r="L25" s="11">
        <v>0</v>
      </c>
      <c r="M25" s="11">
        <v>74.42</v>
      </c>
      <c r="N25" s="11">
        <v>275.51</v>
      </c>
      <c r="O25" s="11">
        <v>0</v>
      </c>
      <c r="P25" s="33">
        <v>70</v>
      </c>
      <c r="Q25" s="33">
        <v>202</v>
      </c>
      <c r="R25" s="11">
        <v>2396.98</v>
      </c>
      <c r="S25" s="11">
        <v>450</v>
      </c>
      <c r="T25" s="31">
        <f t="shared" si="21"/>
        <v>-2.6900000000000546</v>
      </c>
      <c r="U25" s="32">
        <f t="shared" si="23"/>
        <v>0</v>
      </c>
      <c r="V25" s="33">
        <f t="shared" si="24"/>
        <v>40</v>
      </c>
      <c r="W25" s="33">
        <v>10</v>
      </c>
      <c r="X25" s="33">
        <v>200</v>
      </c>
      <c r="Y25" s="33">
        <f t="shared" si="5"/>
        <v>150</v>
      </c>
    </row>
    <row r="26" spans="1:26" s="35" customFormat="1" ht="18.75">
      <c r="A26" s="9">
        <v>44764</v>
      </c>
      <c r="B26" s="10" t="s">
        <v>20</v>
      </c>
      <c r="C26" s="11">
        <v>9286.43</v>
      </c>
      <c r="D26" s="11">
        <v>4254.5</v>
      </c>
      <c r="E26" s="11">
        <v>53.5</v>
      </c>
      <c r="F26" s="11">
        <v>128</v>
      </c>
      <c r="G26" s="11">
        <v>368</v>
      </c>
      <c r="H26" s="11">
        <f t="shared" si="20"/>
        <v>14133.84</v>
      </c>
      <c r="I26" s="11">
        <v>2847.12</v>
      </c>
      <c r="J26" s="11">
        <f t="shared" si="22"/>
        <v>11077.72</v>
      </c>
      <c r="K26" s="11">
        <f>11077.72-148.47-430.02</f>
        <v>10499.23</v>
      </c>
      <c r="L26" s="11">
        <v>0</v>
      </c>
      <c r="M26" s="11">
        <v>148.47</v>
      </c>
      <c r="N26" s="11">
        <v>430.02</v>
      </c>
      <c r="O26" s="11">
        <v>623.12</v>
      </c>
      <c r="P26" s="33">
        <v>43.41</v>
      </c>
      <c r="Q26" s="33">
        <v>39</v>
      </c>
      <c r="R26" s="11">
        <v>2137.4499999999998</v>
      </c>
      <c r="S26" s="11">
        <v>450</v>
      </c>
      <c r="T26" s="31">
        <f t="shared" si="21"/>
        <v>-4.1400000000003274</v>
      </c>
      <c r="U26" s="32">
        <f t="shared" si="23"/>
        <v>0</v>
      </c>
      <c r="V26" s="33">
        <f t="shared" si="24"/>
        <v>159</v>
      </c>
      <c r="W26" s="33">
        <v>209</v>
      </c>
      <c r="X26" s="33">
        <v>1240</v>
      </c>
      <c r="Y26" s="33">
        <f t="shared" si="5"/>
        <v>872</v>
      </c>
    </row>
    <row r="27" spans="1:26" s="35" customFormat="1" ht="18.75">
      <c r="A27" s="9">
        <v>44765</v>
      </c>
      <c r="B27" s="10" t="s">
        <v>21</v>
      </c>
      <c r="C27" s="11">
        <v>7594.97</v>
      </c>
      <c r="D27" s="11">
        <v>4580.24</v>
      </c>
      <c r="E27" s="11">
        <v>4</v>
      </c>
      <c r="F27" s="11">
        <v>84</v>
      </c>
      <c r="G27" s="11">
        <v>81</v>
      </c>
      <c r="H27" s="11">
        <f t="shared" si="20"/>
        <v>12394.21</v>
      </c>
      <c r="I27" s="11">
        <v>2652.11</v>
      </c>
      <c r="J27" s="11">
        <f t="shared" si="22"/>
        <v>9586.09</v>
      </c>
      <c r="K27" s="11">
        <f>9586.09-100.33</f>
        <v>9485.76</v>
      </c>
      <c r="L27" s="11">
        <v>0</v>
      </c>
      <c r="M27" s="11">
        <v>0</v>
      </c>
      <c r="N27" s="11">
        <v>100.33</v>
      </c>
      <c r="O27" s="11">
        <v>0</v>
      </c>
      <c r="P27" s="33">
        <v>50</v>
      </c>
      <c r="Q27" s="33">
        <v>64</v>
      </c>
      <c r="R27" s="11">
        <v>2543.2399999999998</v>
      </c>
      <c r="S27" s="11">
        <v>450</v>
      </c>
      <c r="T27" s="31">
        <f t="shared" si="21"/>
        <v>5.1299999999996544</v>
      </c>
      <c r="U27" s="32">
        <f t="shared" si="23"/>
        <v>-110.0099999999984</v>
      </c>
      <c r="V27" s="33">
        <f t="shared" si="24"/>
        <v>35</v>
      </c>
      <c r="W27" s="33">
        <v>46</v>
      </c>
      <c r="X27" s="33">
        <v>970</v>
      </c>
      <c r="Y27" s="33">
        <f t="shared" si="5"/>
        <v>889</v>
      </c>
      <c r="Z27" s="35" t="s">
        <v>87</v>
      </c>
    </row>
    <row r="28" spans="1:26" s="35" customFormat="1" ht="18.75">
      <c r="A28" s="9">
        <v>44766</v>
      </c>
      <c r="B28" s="10" t="s">
        <v>22</v>
      </c>
      <c r="C28" s="11">
        <v>6666.44</v>
      </c>
      <c r="D28" s="11">
        <v>3377.72</v>
      </c>
      <c r="E28" s="11">
        <v>0</v>
      </c>
      <c r="F28" s="11">
        <v>95</v>
      </c>
      <c r="G28" s="11">
        <v>85</v>
      </c>
      <c r="H28" s="11">
        <f t="shared" si="20"/>
        <v>10319.34</v>
      </c>
      <c r="I28" s="11">
        <v>2466.54</v>
      </c>
      <c r="J28" s="11">
        <f t="shared" si="22"/>
        <v>7794.89</v>
      </c>
      <c r="K28" s="11">
        <f>7794.89-48.86-80.62-90.34</f>
        <v>7575.0700000000006</v>
      </c>
      <c r="L28" s="11">
        <v>90.34</v>
      </c>
      <c r="M28" s="11">
        <v>48.86</v>
      </c>
      <c r="N28" s="11">
        <v>80.62</v>
      </c>
      <c r="O28" s="11">
        <v>0</v>
      </c>
      <c r="P28" s="33">
        <v>95.18</v>
      </c>
      <c r="Q28" s="33">
        <v>52</v>
      </c>
      <c r="R28" s="11">
        <v>2303.11</v>
      </c>
      <c r="S28" s="11">
        <v>450</v>
      </c>
      <c r="T28" s="31">
        <f t="shared" si="21"/>
        <v>-16.25</v>
      </c>
      <c r="U28" s="32">
        <f t="shared" si="23"/>
        <v>7.0900000000001455</v>
      </c>
      <c r="V28" s="33">
        <f t="shared" si="24"/>
        <v>20</v>
      </c>
      <c r="W28" s="33">
        <v>65</v>
      </c>
      <c r="X28" s="33">
        <v>130</v>
      </c>
      <c r="Y28" s="33">
        <f t="shared" si="5"/>
        <v>45</v>
      </c>
    </row>
    <row r="29" spans="1:26" ht="37.5" customHeight="1">
      <c r="A29" s="65" t="s">
        <v>27</v>
      </c>
      <c r="B29" s="66"/>
      <c r="C29" s="27">
        <f>SUM(C22:C28)</f>
        <v>51927.850000000006</v>
      </c>
      <c r="D29" s="27">
        <f t="shared" ref="D29:Y29" si="25">SUM(D22:D28)</f>
        <v>26588.75</v>
      </c>
      <c r="E29" s="27">
        <f t="shared" si="25"/>
        <v>168</v>
      </c>
      <c r="F29" s="27">
        <f t="shared" si="25"/>
        <v>522</v>
      </c>
      <c r="G29" s="27">
        <f t="shared" si="25"/>
        <v>1281.1100000000001</v>
      </c>
      <c r="H29" s="27">
        <f t="shared" si="25"/>
        <v>80791.299999999988</v>
      </c>
      <c r="I29" s="27">
        <f t="shared" si="25"/>
        <v>17123.39</v>
      </c>
      <c r="J29" s="27">
        <f t="shared" si="25"/>
        <v>62960.369999999995</v>
      </c>
      <c r="K29" s="27">
        <f t="shared" si="25"/>
        <v>59978.649999999994</v>
      </c>
      <c r="L29" s="27">
        <f t="shared" si="25"/>
        <v>111.37</v>
      </c>
      <c r="M29" s="27">
        <f t="shared" si="25"/>
        <v>869.83</v>
      </c>
      <c r="N29" s="27">
        <f t="shared" si="25"/>
        <v>2000.52</v>
      </c>
      <c r="O29" s="27">
        <f t="shared" si="25"/>
        <v>1166.29</v>
      </c>
      <c r="P29" s="27">
        <f t="shared" si="25"/>
        <v>303.59000000000003</v>
      </c>
      <c r="Q29" s="27">
        <f t="shared" si="25"/>
        <v>505</v>
      </c>
      <c r="R29" s="27">
        <f t="shared" si="25"/>
        <v>15027.840000000002</v>
      </c>
      <c r="S29" s="27">
        <f t="shared" si="25"/>
        <v>3150</v>
      </c>
      <c r="T29" s="27">
        <f t="shared" si="25"/>
        <v>-120.67000000000121</v>
      </c>
      <c r="U29" s="27">
        <f t="shared" si="25"/>
        <v>-202.92999999999847</v>
      </c>
      <c r="V29" s="27">
        <f t="shared" si="25"/>
        <v>776.5</v>
      </c>
      <c r="W29" s="27">
        <f t="shared" si="25"/>
        <v>504.61</v>
      </c>
      <c r="X29" s="27">
        <f t="shared" si="25"/>
        <v>3190</v>
      </c>
      <c r="Y29" s="27">
        <f t="shared" si="25"/>
        <v>1908.8899999999999</v>
      </c>
    </row>
    <row r="30" spans="1:26" ht="20.25" customHeight="1">
      <c r="A30" s="9">
        <v>44767</v>
      </c>
      <c r="B30" s="10" t="s">
        <v>23</v>
      </c>
      <c r="C30" s="11">
        <v>7908.03</v>
      </c>
      <c r="D30" s="11">
        <v>3105.28</v>
      </c>
      <c r="E30" s="11">
        <v>9.5</v>
      </c>
      <c r="F30" s="11">
        <v>100</v>
      </c>
      <c r="G30" s="11">
        <v>274.35000000000002</v>
      </c>
      <c r="H30" s="11">
        <f t="shared" ref="H30:H36" si="26">SUM(C30:G30,P30)</f>
        <v>11397.16</v>
      </c>
      <c r="I30" s="11">
        <v>2419.5300000000002</v>
      </c>
      <c r="J30" s="11">
        <f>SUM(K30:N30)</f>
        <v>8804.2799999999988</v>
      </c>
      <c r="K30" s="11">
        <f>8035.07-59.11</f>
        <v>7975.96</v>
      </c>
      <c r="L30" s="11">
        <v>59.11</v>
      </c>
      <c r="M30" s="11">
        <v>147.11000000000001</v>
      </c>
      <c r="N30" s="11">
        <v>622.1</v>
      </c>
      <c r="O30" s="11">
        <v>101.9</v>
      </c>
      <c r="P30" s="33">
        <v>0</v>
      </c>
      <c r="Q30" s="33">
        <v>31</v>
      </c>
      <c r="R30" s="11">
        <v>2290.58</v>
      </c>
      <c r="S30" s="11">
        <v>450</v>
      </c>
      <c r="T30" s="31">
        <f t="shared" ref="T30" si="27">SUM(O30,P30,Q30,R30)-I30</f>
        <v>3.9499999999998181</v>
      </c>
      <c r="U30" s="32">
        <f t="shared" si="23"/>
        <v>0</v>
      </c>
      <c r="V30" s="33">
        <f t="shared" ref="V30" si="28">SUM(G30-W30)</f>
        <v>101.00000000000003</v>
      </c>
      <c r="W30" s="33">
        <v>173.35</v>
      </c>
      <c r="X30" s="33">
        <v>310</v>
      </c>
      <c r="Y30" s="33">
        <f t="shared" si="5"/>
        <v>35.649999999999977</v>
      </c>
    </row>
    <row r="31" spans="1:26" ht="20.25" customHeight="1">
      <c r="A31" s="9">
        <v>44768</v>
      </c>
      <c r="B31" s="10" t="s">
        <v>24</v>
      </c>
      <c r="C31" s="11">
        <v>8478.06</v>
      </c>
      <c r="D31" s="11">
        <v>2921.46</v>
      </c>
      <c r="E31" s="11">
        <v>21</v>
      </c>
      <c r="F31" s="11">
        <v>42</v>
      </c>
      <c r="G31" s="11">
        <v>104.71</v>
      </c>
      <c r="H31" s="11">
        <f t="shared" si="26"/>
        <v>11567.23</v>
      </c>
      <c r="I31" s="11">
        <v>2133.64</v>
      </c>
      <c r="J31" s="11">
        <f t="shared" ref="J31:J36" si="29">SUM(K31:N31)</f>
        <v>9423.59</v>
      </c>
      <c r="K31" s="11">
        <f>9423.59-271.02-478.68</f>
        <v>8673.89</v>
      </c>
      <c r="L31" s="11">
        <v>0</v>
      </c>
      <c r="M31" s="11">
        <v>271.02</v>
      </c>
      <c r="N31" s="11">
        <v>478.68</v>
      </c>
      <c r="O31" s="11">
        <v>446.87</v>
      </c>
      <c r="P31" s="33">
        <v>0</v>
      </c>
      <c r="Q31" s="33">
        <v>36</v>
      </c>
      <c r="R31" s="11">
        <v>1656</v>
      </c>
      <c r="S31" s="11">
        <v>450</v>
      </c>
      <c r="T31" s="31">
        <f t="shared" ref="T31:T36" si="30">SUM(O31,P31,Q31,R31)-I31</f>
        <v>5.2300000000000182</v>
      </c>
      <c r="U31" s="32">
        <f t="shared" ref="U31:U36" si="31">SUM(I31+J31+W31)-(H31)</f>
        <v>0</v>
      </c>
      <c r="V31" s="33">
        <f t="shared" ref="V31:V36" si="32">SUM(G31-W31)</f>
        <v>94.71</v>
      </c>
      <c r="W31" s="33">
        <v>10</v>
      </c>
      <c r="X31" s="33">
        <v>250</v>
      </c>
      <c r="Y31" s="33">
        <f t="shared" si="5"/>
        <v>145.29000000000002</v>
      </c>
    </row>
    <row r="32" spans="1:26" ht="20.25" customHeight="1">
      <c r="A32" s="9">
        <v>44769</v>
      </c>
      <c r="B32" s="10" t="s">
        <v>25</v>
      </c>
      <c r="C32" s="11">
        <v>8160.58</v>
      </c>
      <c r="D32" s="11">
        <v>3308.86</v>
      </c>
      <c r="E32" s="11">
        <v>0</v>
      </c>
      <c r="F32" s="11">
        <v>37</v>
      </c>
      <c r="G32" s="11">
        <v>0</v>
      </c>
      <c r="H32" s="11">
        <f t="shared" si="26"/>
        <v>11506.44</v>
      </c>
      <c r="I32" s="11">
        <v>2359.11</v>
      </c>
      <c r="J32" s="11">
        <f t="shared" si="29"/>
        <v>9135.16</v>
      </c>
      <c r="K32" s="11">
        <f>9135.16-370.21-278.48</f>
        <v>8486.4700000000012</v>
      </c>
      <c r="L32" s="11">
        <v>0</v>
      </c>
      <c r="M32" s="11">
        <v>370.21</v>
      </c>
      <c r="N32" s="11">
        <v>278.48</v>
      </c>
      <c r="O32" s="11">
        <v>0</v>
      </c>
      <c r="P32" s="33">
        <v>0</v>
      </c>
      <c r="Q32" s="33">
        <v>33</v>
      </c>
      <c r="R32" s="11">
        <v>2313.02</v>
      </c>
      <c r="S32" s="11">
        <v>450</v>
      </c>
      <c r="T32" s="31">
        <f t="shared" si="30"/>
        <v>-13.090000000000146</v>
      </c>
      <c r="U32" s="32">
        <f t="shared" si="31"/>
        <v>-12.170000000000073</v>
      </c>
      <c r="V32" s="33">
        <f t="shared" si="32"/>
        <v>0</v>
      </c>
      <c r="W32" s="33">
        <v>0</v>
      </c>
      <c r="X32" s="33">
        <v>490</v>
      </c>
      <c r="Y32" s="33">
        <f t="shared" si="5"/>
        <v>490</v>
      </c>
    </row>
    <row r="33" spans="1:27" ht="20.25" customHeight="1">
      <c r="A33" s="9">
        <v>44770</v>
      </c>
      <c r="B33" s="10" t="s">
        <v>26</v>
      </c>
      <c r="C33" s="11">
        <v>10313.93</v>
      </c>
      <c r="D33" s="11">
        <v>3727.92</v>
      </c>
      <c r="E33" s="11">
        <v>9.5</v>
      </c>
      <c r="F33" s="11">
        <v>120</v>
      </c>
      <c r="G33" s="11">
        <v>78.72</v>
      </c>
      <c r="H33" s="11">
        <f t="shared" si="26"/>
        <v>14280.07</v>
      </c>
      <c r="I33" s="11">
        <v>2886.21</v>
      </c>
      <c r="J33" s="11">
        <f t="shared" si="29"/>
        <v>11223.85</v>
      </c>
      <c r="K33" s="11">
        <f>11223.85-307.15-261.19</f>
        <v>10655.51</v>
      </c>
      <c r="L33" s="11">
        <v>0</v>
      </c>
      <c r="M33" s="11">
        <v>307.14999999999998</v>
      </c>
      <c r="N33" s="11">
        <v>261.19</v>
      </c>
      <c r="O33" s="11">
        <v>1184.6400000000001</v>
      </c>
      <c r="P33" s="33">
        <v>30</v>
      </c>
      <c r="Q33" s="33">
        <v>52.2</v>
      </c>
      <c r="R33" s="11">
        <v>1618.75</v>
      </c>
      <c r="S33" s="11">
        <v>450</v>
      </c>
      <c r="T33" s="31">
        <f t="shared" si="30"/>
        <v>-0.61999999999989086</v>
      </c>
      <c r="U33" s="32">
        <f t="shared" si="31"/>
        <v>-140.0099999999984</v>
      </c>
      <c r="V33" s="33">
        <f t="shared" si="32"/>
        <v>48.72</v>
      </c>
      <c r="W33" s="33">
        <v>30</v>
      </c>
      <c r="X33" s="33">
        <v>360</v>
      </c>
      <c r="Y33" s="33">
        <f t="shared" si="5"/>
        <v>281.27999999999997</v>
      </c>
      <c r="Z33" t="s">
        <v>88</v>
      </c>
      <c r="AA33" t="s">
        <v>89</v>
      </c>
    </row>
    <row r="34" spans="1:27" ht="20.25" customHeight="1">
      <c r="A34" s="9">
        <v>44771</v>
      </c>
      <c r="B34" s="10" t="s">
        <v>20</v>
      </c>
      <c r="C34" s="11">
        <v>10656.49</v>
      </c>
      <c r="D34" s="11">
        <v>4375.75</v>
      </c>
      <c r="E34" s="11">
        <v>38</v>
      </c>
      <c r="F34" s="11">
        <v>144</v>
      </c>
      <c r="G34" s="11">
        <v>30</v>
      </c>
      <c r="H34" s="11">
        <f t="shared" si="26"/>
        <v>15258.4</v>
      </c>
      <c r="I34" s="11">
        <v>3073.42</v>
      </c>
      <c r="J34" s="11">
        <f t="shared" si="29"/>
        <v>12248.66</v>
      </c>
      <c r="K34" s="11">
        <f>12248.66-176.95-394.5</f>
        <v>11677.21</v>
      </c>
      <c r="L34" s="11">
        <v>0</v>
      </c>
      <c r="M34" s="11">
        <v>176.95</v>
      </c>
      <c r="N34" s="11">
        <v>394.5</v>
      </c>
      <c r="O34" s="11">
        <v>529.23</v>
      </c>
      <c r="P34" s="33">
        <v>14.16</v>
      </c>
      <c r="Q34" s="33">
        <v>94</v>
      </c>
      <c r="R34" s="11">
        <v>2399.35</v>
      </c>
      <c r="S34" s="11">
        <v>450</v>
      </c>
      <c r="T34" s="31">
        <f t="shared" si="30"/>
        <v>-36.680000000000291</v>
      </c>
      <c r="U34" s="32">
        <f t="shared" si="31"/>
        <v>83.680000000000291</v>
      </c>
      <c r="V34" s="33">
        <f t="shared" si="32"/>
        <v>10</v>
      </c>
      <c r="W34" s="33">
        <v>20</v>
      </c>
      <c r="X34" s="33">
        <v>580</v>
      </c>
      <c r="Y34" s="33">
        <f t="shared" si="5"/>
        <v>550</v>
      </c>
    </row>
    <row r="35" spans="1:27" ht="20.25" customHeight="1">
      <c r="A35" s="9">
        <v>44772</v>
      </c>
      <c r="B35" s="10" t="s">
        <v>21</v>
      </c>
      <c r="C35" s="11">
        <v>8197.69</v>
      </c>
      <c r="D35" s="11">
        <v>4768.68</v>
      </c>
      <c r="E35" s="11">
        <v>14</v>
      </c>
      <c r="F35" s="11">
        <v>105</v>
      </c>
      <c r="G35" s="11">
        <v>159</v>
      </c>
      <c r="H35" s="11">
        <f t="shared" si="26"/>
        <v>13244.37</v>
      </c>
      <c r="I35" s="11">
        <v>3023.42</v>
      </c>
      <c r="J35" s="11">
        <f t="shared" si="29"/>
        <v>10240.950000000001</v>
      </c>
      <c r="K35" s="11">
        <f>10240.95-290.6</f>
        <v>9950.35</v>
      </c>
      <c r="L35" s="11">
        <v>0</v>
      </c>
      <c r="M35" s="11">
        <v>0</v>
      </c>
      <c r="N35" s="11">
        <v>290.60000000000002</v>
      </c>
      <c r="O35" s="11">
        <v>0</v>
      </c>
      <c r="P35" s="33">
        <v>0</v>
      </c>
      <c r="Q35" s="33">
        <v>32</v>
      </c>
      <c r="R35" s="11">
        <v>2991.35</v>
      </c>
      <c r="S35" s="11">
        <v>450</v>
      </c>
      <c r="T35" s="31">
        <f t="shared" si="30"/>
        <v>-7.0000000000163709E-2</v>
      </c>
      <c r="U35" s="32">
        <f t="shared" si="31"/>
        <v>20</v>
      </c>
      <c r="V35" s="33">
        <f t="shared" si="32"/>
        <v>159</v>
      </c>
      <c r="W35" s="33">
        <v>0</v>
      </c>
      <c r="X35" s="33">
        <v>720</v>
      </c>
      <c r="Y35" s="33">
        <f t="shared" si="5"/>
        <v>561</v>
      </c>
    </row>
    <row r="36" spans="1:27" ht="20.25" customHeight="1">
      <c r="A36" s="9">
        <v>44773</v>
      </c>
      <c r="B36" s="10" t="s">
        <v>22</v>
      </c>
      <c r="C36" s="11">
        <v>6881.52</v>
      </c>
      <c r="D36" s="11">
        <v>3320.69</v>
      </c>
      <c r="E36" s="11">
        <v>0</v>
      </c>
      <c r="F36" s="11">
        <v>67</v>
      </c>
      <c r="G36" s="11">
        <v>12</v>
      </c>
      <c r="H36" s="11">
        <f t="shared" si="26"/>
        <v>10281.210000000001</v>
      </c>
      <c r="I36" s="11">
        <v>2397.75</v>
      </c>
      <c r="J36" s="11">
        <f t="shared" si="29"/>
        <v>7876.06</v>
      </c>
      <c r="K36" s="11">
        <f>7876.06-69.83-297.65-13.97</f>
        <v>7494.6100000000006</v>
      </c>
      <c r="L36" s="11">
        <v>13.97</v>
      </c>
      <c r="M36" s="11">
        <v>69.83</v>
      </c>
      <c r="N36" s="11">
        <v>297.64999999999998</v>
      </c>
      <c r="O36" s="11">
        <v>0</v>
      </c>
      <c r="P36" s="33">
        <v>0</v>
      </c>
      <c r="Q36" s="33">
        <v>29</v>
      </c>
      <c r="R36" s="11">
        <v>2368.69</v>
      </c>
      <c r="S36" s="11">
        <v>450</v>
      </c>
      <c r="T36" s="31">
        <f t="shared" si="30"/>
        <v>-5.999999999994543E-2</v>
      </c>
      <c r="U36" s="32">
        <f t="shared" si="31"/>
        <v>4.6000000000003638</v>
      </c>
      <c r="V36" s="33">
        <f t="shared" si="32"/>
        <v>0</v>
      </c>
      <c r="W36" s="33">
        <v>12</v>
      </c>
      <c r="X36" s="33">
        <v>230</v>
      </c>
      <c r="Y36" s="33">
        <f t="shared" si="5"/>
        <v>218</v>
      </c>
    </row>
    <row r="37" spans="1:27" ht="37.5" customHeight="1">
      <c r="A37" s="65" t="s">
        <v>27</v>
      </c>
      <c r="B37" s="66"/>
      <c r="C37" s="27">
        <f>SUM(C30:C36)</f>
        <v>60596.3</v>
      </c>
      <c r="D37" s="27">
        <f t="shared" ref="D37:Y37" si="33">SUM(D30:D36)</f>
        <v>25528.639999999999</v>
      </c>
      <c r="E37" s="27">
        <f t="shared" si="33"/>
        <v>92</v>
      </c>
      <c r="F37" s="27">
        <f t="shared" si="33"/>
        <v>615</v>
      </c>
      <c r="G37" s="27">
        <f t="shared" si="33"/>
        <v>658.78</v>
      </c>
      <c r="H37" s="27">
        <f t="shared" si="33"/>
        <v>87534.88</v>
      </c>
      <c r="I37" s="27">
        <f t="shared" si="33"/>
        <v>18293.080000000002</v>
      </c>
      <c r="J37" s="27">
        <f t="shared" si="33"/>
        <v>68952.549999999988</v>
      </c>
      <c r="K37" s="27">
        <f t="shared" si="33"/>
        <v>64914</v>
      </c>
      <c r="L37" s="27">
        <f t="shared" si="33"/>
        <v>73.08</v>
      </c>
      <c r="M37" s="27">
        <f t="shared" si="33"/>
        <v>1342.2699999999998</v>
      </c>
      <c r="N37" s="27">
        <f t="shared" si="33"/>
        <v>2623.2000000000003</v>
      </c>
      <c r="O37" s="27">
        <f t="shared" si="33"/>
        <v>2262.6400000000003</v>
      </c>
      <c r="P37" s="27">
        <f t="shared" si="33"/>
        <v>44.16</v>
      </c>
      <c r="Q37" s="27">
        <f t="shared" si="33"/>
        <v>307.2</v>
      </c>
      <c r="R37" s="27">
        <f t="shared" si="33"/>
        <v>15637.740000000002</v>
      </c>
      <c r="S37" s="27">
        <f t="shared" si="33"/>
        <v>3150</v>
      </c>
      <c r="T37" s="27">
        <f t="shared" si="33"/>
        <v>-41.3400000000006</v>
      </c>
      <c r="U37" s="27">
        <f t="shared" si="33"/>
        <v>-43.899999999997817</v>
      </c>
      <c r="V37" s="27">
        <f t="shared" si="33"/>
        <v>413.43000000000006</v>
      </c>
      <c r="W37" s="27">
        <f t="shared" si="33"/>
        <v>245.35</v>
      </c>
      <c r="X37" s="27">
        <f t="shared" si="33"/>
        <v>2940</v>
      </c>
      <c r="Y37" s="27">
        <f t="shared" si="33"/>
        <v>2281.2200000000003</v>
      </c>
    </row>
    <row r="38" spans="1:27" ht="51.75" customHeight="1">
      <c r="A38" s="67" t="s">
        <v>17</v>
      </c>
      <c r="B38" s="68"/>
      <c r="C38" s="30">
        <f>SUM(C29,C21,C13,C5,C37)</f>
        <v>251370.44</v>
      </c>
      <c r="D38" s="30">
        <f t="shared" ref="D38:Y38" si="34">SUM(D29,D21,D13,D5,D37)</f>
        <v>117326.63</v>
      </c>
      <c r="E38" s="30">
        <f t="shared" si="34"/>
        <v>651</v>
      </c>
      <c r="F38" s="30">
        <f t="shared" si="34"/>
        <v>2531</v>
      </c>
      <c r="G38" s="30">
        <f t="shared" si="34"/>
        <v>4368.58</v>
      </c>
      <c r="H38" s="30">
        <f t="shared" si="34"/>
        <v>377150.63</v>
      </c>
      <c r="I38" s="30">
        <f t="shared" si="34"/>
        <v>78608.75</v>
      </c>
      <c r="J38" s="30">
        <f t="shared" si="34"/>
        <v>295618.42</v>
      </c>
      <c r="K38" s="30">
        <f t="shared" si="34"/>
        <v>279281.81</v>
      </c>
      <c r="L38" s="30">
        <f t="shared" si="34"/>
        <v>602.23</v>
      </c>
      <c r="M38" s="30">
        <f t="shared" si="34"/>
        <v>5143.9000000000005</v>
      </c>
      <c r="N38" s="30">
        <f t="shared" si="34"/>
        <v>10590.48</v>
      </c>
      <c r="O38" s="30">
        <f t="shared" si="34"/>
        <v>5070.49</v>
      </c>
      <c r="P38" s="30">
        <f t="shared" si="34"/>
        <v>902.98</v>
      </c>
      <c r="Q38" s="30">
        <f t="shared" si="34"/>
        <v>1564.9</v>
      </c>
      <c r="R38" s="30">
        <f t="shared" si="34"/>
        <v>71063.91</v>
      </c>
      <c r="S38" s="30">
        <f t="shared" si="34"/>
        <v>13950</v>
      </c>
      <c r="T38" s="30">
        <f t="shared" si="34"/>
        <v>-6.4700000000025284</v>
      </c>
      <c r="U38" s="30">
        <f t="shared" si="34"/>
        <v>-635.42999999999483</v>
      </c>
      <c r="V38" s="30">
        <f t="shared" si="34"/>
        <v>1956.7900000000002</v>
      </c>
      <c r="W38" s="30">
        <f t="shared" si="34"/>
        <v>2288.0300000000002</v>
      </c>
      <c r="X38" s="30">
        <f t="shared" si="34"/>
        <v>13690</v>
      </c>
      <c r="Y38" s="30">
        <f t="shared" si="34"/>
        <v>9321.4200000000019</v>
      </c>
    </row>
    <row r="40" spans="1:27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</row>
    <row r="41" spans="1:27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</row>
    <row r="42" spans="1:27"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</row>
    <row r="43" spans="1:27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</row>
    <row r="44" spans="1:27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</row>
    <row r="46" spans="1:27" hidden="1"/>
    <row r="47" spans="1:27" ht="18.75" hidden="1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3"/>
      <c r="Q47" s="33"/>
      <c r="R47" s="11"/>
      <c r="S47" s="11"/>
      <c r="T47" s="31"/>
      <c r="U47" s="32"/>
      <c r="V47" s="33"/>
      <c r="W47" s="33"/>
      <c r="X47" s="33"/>
      <c r="Y47" s="33"/>
    </row>
    <row r="48" spans="1:27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3"/>
      <c r="Q48" s="33"/>
      <c r="R48" s="11"/>
      <c r="S48" s="11"/>
      <c r="T48" s="31"/>
      <c r="U48" s="32"/>
      <c r="V48" s="33"/>
      <c r="W48" s="33"/>
      <c r="X48" s="33"/>
      <c r="Y48" s="33"/>
    </row>
    <row r="49" spans="1:25" s="28" customFormat="1" ht="18.75" hidden="1">
      <c r="A49"/>
      <c r="B4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3"/>
      <c r="Q49" s="33"/>
      <c r="R49" s="11"/>
      <c r="S49" s="11"/>
      <c r="T49" s="31"/>
      <c r="U49" s="32"/>
      <c r="V49" s="33"/>
      <c r="W49" s="33"/>
      <c r="X49" s="33"/>
      <c r="Y49" s="33"/>
    </row>
    <row r="50" spans="1:25" s="28" customFormat="1" hidden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</row>
    <row r="51" spans="1:25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</row>
    <row r="52" spans="1:25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</row>
  </sheetData>
  <sheetProtection password="CCFB" sheet="1" objects="1" scenarios="1"/>
  <mergeCells count="6">
    <mergeCell ref="A38:B38"/>
    <mergeCell ref="A5:B5"/>
    <mergeCell ref="A13:B13"/>
    <mergeCell ref="A21:B21"/>
    <mergeCell ref="A29:B29"/>
    <mergeCell ref="A37:B37"/>
  </mergeCells>
  <conditionalFormatting sqref="T47:U49 T6:U12 T14:U20 T22:U28 T30:U36 T2:U4">
    <cfRule type="cellIs" dxfId="223" priority="76" operator="lessThan">
      <formula>0</formula>
    </cfRule>
    <cfRule type="cellIs" dxfId="222" priority="77" operator="greaterThan">
      <formula>0</formula>
    </cfRule>
  </conditionalFormatting>
  <conditionalFormatting sqref="T47:V49 T6:V12 T14:V20 T22:V28 T30:V36 T2:V4">
    <cfRule type="cellIs" dxfId="221" priority="73" operator="equal">
      <formula>0</formula>
    </cfRule>
    <cfRule type="cellIs" dxfId="220" priority="74" operator="lessThan">
      <formula>0</formula>
    </cfRule>
    <cfRule type="cellIs" dxfId="219" priority="75" operator="greaterThan">
      <formula>0</formula>
    </cfRule>
  </conditionalFormatting>
  <conditionalFormatting sqref="Y6:Y12 Y14:Y20 Y22:Y28 Y30:Y36 Y2:Y4">
    <cfRule type="cellIs" dxfId="218" priority="33" operator="equal">
      <formula>0</formula>
    </cfRule>
    <cfRule type="cellIs" dxfId="217" priority="34" operator="lessThan">
      <formula>0</formula>
    </cfRule>
    <cfRule type="cellIs" dxfId="216" priority="3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B52"/>
  <sheetViews>
    <sheetView topLeftCell="B1" zoomScale="60" zoomScaleNormal="60" workbookViewId="0">
      <selection activeCell="Z36" sqref="Z36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0" width="13.42578125" customWidth="1"/>
    <col min="11" max="12" width="14.7109375" customWidth="1"/>
    <col min="13" max="13" width="14" customWidth="1"/>
    <col min="14" max="14" width="16.42578125" customWidth="1"/>
    <col min="15" max="16" width="15.5703125" customWidth="1"/>
    <col min="17" max="17" width="13.85546875" customWidth="1"/>
    <col min="18" max="18" width="13.5703125" customWidth="1"/>
    <col min="19" max="19" width="14.28515625" customWidth="1"/>
    <col min="20" max="20" width="13" customWidth="1"/>
    <col min="21" max="21" width="14.85546875" customWidth="1"/>
    <col min="22" max="22" width="15.85546875" customWidth="1"/>
    <col min="23" max="23" width="16.5703125" customWidth="1"/>
    <col min="24" max="24" width="14" customWidth="1"/>
    <col min="25" max="25" width="13" customWidth="1"/>
    <col min="26" max="26" width="14.85546875" customWidth="1"/>
    <col min="27" max="27" width="15.5703125" customWidth="1"/>
  </cols>
  <sheetData>
    <row r="1" spans="1:28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43</v>
      </c>
      <c r="L1" s="8" t="s">
        <v>44</v>
      </c>
      <c r="M1" s="8" t="s">
        <v>42</v>
      </c>
      <c r="N1" s="8" t="s">
        <v>8</v>
      </c>
      <c r="O1" s="8" t="s">
        <v>28</v>
      </c>
      <c r="P1" s="8" t="s">
        <v>92</v>
      </c>
      <c r="Q1" s="8" t="s">
        <v>9</v>
      </c>
      <c r="R1" s="8" t="s">
        <v>10</v>
      </c>
      <c r="S1" s="8" t="s">
        <v>11</v>
      </c>
      <c r="T1" s="8" t="s">
        <v>12</v>
      </c>
      <c r="U1" s="8" t="s">
        <v>13</v>
      </c>
      <c r="V1" s="8" t="s">
        <v>14</v>
      </c>
      <c r="W1" s="8" t="s">
        <v>34</v>
      </c>
      <c r="X1" s="23" t="s">
        <v>39</v>
      </c>
      <c r="Y1" s="23" t="s">
        <v>40</v>
      </c>
      <c r="Z1" s="23" t="s">
        <v>78</v>
      </c>
      <c r="AA1" s="23" t="s">
        <v>79</v>
      </c>
    </row>
    <row r="2" spans="1:28" ht="20.25" customHeight="1">
      <c r="A2" s="9">
        <v>44774</v>
      </c>
      <c r="B2" s="10" t="s">
        <v>23</v>
      </c>
      <c r="C2" s="11">
        <v>8219.82</v>
      </c>
      <c r="D2" s="11">
        <v>3394.34</v>
      </c>
      <c r="E2" s="11">
        <v>12.5</v>
      </c>
      <c r="F2" s="11">
        <v>72</v>
      </c>
      <c r="G2" s="11"/>
      <c r="H2" s="11">
        <v>216</v>
      </c>
      <c r="I2" s="11">
        <f t="shared" ref="I2:I8" si="0">SUM(C2:H2,R2)</f>
        <v>11914.66</v>
      </c>
      <c r="J2" s="11">
        <v>2650.76</v>
      </c>
      <c r="K2" s="11">
        <f>SUM(L2:O2)</f>
        <v>8976.01</v>
      </c>
      <c r="L2" s="11">
        <f>8976.01-136.09-244.75</f>
        <v>8595.17</v>
      </c>
      <c r="M2" s="11">
        <v>0</v>
      </c>
      <c r="N2" s="11">
        <v>136.09</v>
      </c>
      <c r="O2" s="11">
        <v>244.75</v>
      </c>
      <c r="P2" s="11"/>
      <c r="Q2" s="11">
        <v>264.92</v>
      </c>
      <c r="R2" s="33">
        <v>0</v>
      </c>
      <c r="S2" s="33">
        <v>61</v>
      </c>
      <c r="T2" s="11">
        <v>2327.9</v>
      </c>
      <c r="U2" s="11">
        <v>450</v>
      </c>
      <c r="V2" s="31">
        <f t="shared" ref="V2:V8" si="1">SUM(Q2,R2,S2,T2)-J2</f>
        <v>3.0599999999999454</v>
      </c>
      <c r="W2" s="32">
        <f t="shared" ref="W2:W8" si="2">SUM(J2+K2+Y2)-(I2)</f>
        <v>-78.889999999999418</v>
      </c>
      <c r="X2" s="33">
        <f t="shared" ref="X2:X3" si="3">SUM(H2-Y2)</f>
        <v>7</v>
      </c>
      <c r="Y2" s="33">
        <v>209</v>
      </c>
      <c r="Z2" s="33">
        <v>130</v>
      </c>
      <c r="AA2" s="33">
        <f t="shared" ref="AA2:AA36" si="4">SUM(Z2-H2)</f>
        <v>-86</v>
      </c>
    </row>
    <row r="3" spans="1:28" ht="20.25" customHeight="1">
      <c r="A3" s="9">
        <v>44775</v>
      </c>
      <c r="B3" s="10" t="s">
        <v>24</v>
      </c>
      <c r="C3" s="11">
        <v>6073.7</v>
      </c>
      <c r="D3" s="11">
        <v>2853.29</v>
      </c>
      <c r="E3" s="11">
        <v>0</v>
      </c>
      <c r="F3" s="11">
        <v>72</v>
      </c>
      <c r="G3" s="11"/>
      <c r="H3" s="11">
        <v>10</v>
      </c>
      <c r="I3" s="11">
        <f t="shared" si="0"/>
        <v>9008.99</v>
      </c>
      <c r="J3" s="11">
        <v>1898.64</v>
      </c>
      <c r="K3" s="11">
        <f t="shared" ref="K3:K5" si="5">SUM(L3:O3)</f>
        <v>7105.35</v>
      </c>
      <c r="L3" s="11">
        <f>7105.35-151.59-261.95</f>
        <v>6691.81</v>
      </c>
      <c r="M3" s="11">
        <v>0</v>
      </c>
      <c r="N3" s="11">
        <v>151.59</v>
      </c>
      <c r="O3" s="11">
        <v>261.95</v>
      </c>
      <c r="P3" s="11"/>
      <c r="Q3" s="11">
        <v>0</v>
      </c>
      <c r="R3" s="33">
        <v>0</v>
      </c>
      <c r="S3" s="33">
        <v>13</v>
      </c>
      <c r="T3" s="11">
        <v>1887.18</v>
      </c>
      <c r="U3" s="11">
        <v>450</v>
      </c>
      <c r="V3" s="31">
        <f t="shared" si="1"/>
        <v>1.5399999999999636</v>
      </c>
      <c r="W3" s="32">
        <f t="shared" si="2"/>
        <v>5</v>
      </c>
      <c r="X3" s="33">
        <f t="shared" si="3"/>
        <v>0</v>
      </c>
      <c r="Y3" s="33">
        <v>10</v>
      </c>
      <c r="Z3" s="33">
        <v>400</v>
      </c>
      <c r="AA3" s="33">
        <f t="shared" si="4"/>
        <v>390</v>
      </c>
    </row>
    <row r="4" spans="1:28" ht="20.25" customHeight="1">
      <c r="A4" s="9">
        <v>44776</v>
      </c>
      <c r="B4" s="10" t="s">
        <v>25</v>
      </c>
      <c r="C4" s="11">
        <v>7666.24</v>
      </c>
      <c r="D4" s="11">
        <v>3709.4</v>
      </c>
      <c r="E4" s="11">
        <v>10</v>
      </c>
      <c r="F4" s="11">
        <v>40</v>
      </c>
      <c r="G4" s="11"/>
      <c r="H4" s="11">
        <v>72.5</v>
      </c>
      <c r="I4" s="11">
        <f t="shared" si="0"/>
        <v>11498.14</v>
      </c>
      <c r="J4" s="11">
        <v>2613.2399999999998</v>
      </c>
      <c r="K4" s="11">
        <f t="shared" si="5"/>
        <v>8877.3999999999978</v>
      </c>
      <c r="L4" s="11">
        <f>8877.4-403.67-546.14-30.27</f>
        <v>7897.3199999999988</v>
      </c>
      <c r="M4" s="11">
        <v>30.27</v>
      </c>
      <c r="N4" s="11">
        <v>403.67</v>
      </c>
      <c r="O4" s="11">
        <v>546.14</v>
      </c>
      <c r="P4" s="11"/>
      <c r="Q4" s="11">
        <v>56.37</v>
      </c>
      <c r="R4" s="33">
        <v>0</v>
      </c>
      <c r="S4" s="33">
        <v>28.7</v>
      </c>
      <c r="T4" s="11">
        <v>2513.41</v>
      </c>
      <c r="U4" s="11">
        <v>450</v>
      </c>
      <c r="V4" s="31">
        <f t="shared" si="1"/>
        <v>-14.759999999999764</v>
      </c>
      <c r="W4" s="32">
        <f t="shared" si="2"/>
        <v>14.999999999998181</v>
      </c>
      <c r="X4" s="33">
        <f t="shared" ref="X4:X5" si="6">SUM(H4-Y4)</f>
        <v>50</v>
      </c>
      <c r="Y4" s="33">
        <v>22.5</v>
      </c>
      <c r="Z4" s="33">
        <v>430</v>
      </c>
      <c r="AA4" s="33">
        <f t="shared" si="4"/>
        <v>357.5</v>
      </c>
    </row>
    <row r="5" spans="1:28" ht="20.25" customHeight="1">
      <c r="A5" s="9">
        <v>44777</v>
      </c>
      <c r="B5" s="10" t="s">
        <v>26</v>
      </c>
      <c r="C5" s="11">
        <v>8191.59</v>
      </c>
      <c r="D5" s="11">
        <v>3666.18</v>
      </c>
      <c r="E5" s="11">
        <v>1.5</v>
      </c>
      <c r="F5" s="11">
        <v>39</v>
      </c>
      <c r="G5" s="11"/>
      <c r="H5" s="11">
        <v>221.75</v>
      </c>
      <c r="I5" s="11">
        <f t="shared" si="0"/>
        <v>12150.02</v>
      </c>
      <c r="J5" s="11">
        <v>2290.48</v>
      </c>
      <c r="K5" s="11">
        <f t="shared" si="5"/>
        <v>9670.5400000000009</v>
      </c>
      <c r="L5" s="11">
        <f>9670.54-71.12-500.74</f>
        <v>9098.68</v>
      </c>
      <c r="M5" s="11">
        <v>0</v>
      </c>
      <c r="N5" s="11">
        <v>71.12</v>
      </c>
      <c r="O5" s="11">
        <v>500.74</v>
      </c>
      <c r="P5" s="11"/>
      <c r="Q5" s="11">
        <v>0</v>
      </c>
      <c r="R5" s="33">
        <v>30</v>
      </c>
      <c r="S5" s="33">
        <v>69</v>
      </c>
      <c r="T5" s="11">
        <v>2197.5700000000002</v>
      </c>
      <c r="U5" s="11">
        <v>450</v>
      </c>
      <c r="V5" s="31">
        <f t="shared" si="1"/>
        <v>6.0900000000001455</v>
      </c>
      <c r="W5" s="32">
        <f t="shared" si="2"/>
        <v>-20</v>
      </c>
      <c r="X5" s="33">
        <f t="shared" si="6"/>
        <v>52.75</v>
      </c>
      <c r="Y5" s="33">
        <v>169</v>
      </c>
      <c r="Z5" s="33">
        <v>540</v>
      </c>
      <c r="AA5" s="33">
        <f t="shared" si="4"/>
        <v>318.25</v>
      </c>
      <c r="AB5" t="s">
        <v>90</v>
      </c>
    </row>
    <row r="6" spans="1:28" ht="20.25" customHeight="1">
      <c r="A6" s="9">
        <v>44778</v>
      </c>
      <c r="B6" s="10" t="s">
        <v>20</v>
      </c>
      <c r="C6" s="11">
        <v>9989.2199999999993</v>
      </c>
      <c r="D6" s="11">
        <v>4668.37</v>
      </c>
      <c r="E6" s="11">
        <v>12.5</v>
      </c>
      <c r="F6" s="11">
        <v>64</v>
      </c>
      <c r="G6" s="11"/>
      <c r="H6" s="11">
        <v>50</v>
      </c>
      <c r="I6" s="11">
        <f t="shared" si="0"/>
        <v>14784.09</v>
      </c>
      <c r="J6" s="11">
        <v>2383.42</v>
      </c>
      <c r="K6" s="11">
        <f t="shared" ref="K6:K7" si="7">SUM(L6:O6)</f>
        <v>12393.67</v>
      </c>
      <c r="L6" s="11">
        <f>12393.67-597.97-118.97-430.49</f>
        <v>11246.240000000002</v>
      </c>
      <c r="M6" s="11">
        <v>118.97</v>
      </c>
      <c r="N6" s="11">
        <v>597.97</v>
      </c>
      <c r="O6" s="11">
        <v>430.49</v>
      </c>
      <c r="P6" s="11"/>
      <c r="Q6" s="11">
        <v>0</v>
      </c>
      <c r="R6" s="33">
        <v>0</v>
      </c>
      <c r="S6" s="33">
        <v>0</v>
      </c>
      <c r="T6" s="11">
        <v>2414.86</v>
      </c>
      <c r="U6" s="11">
        <v>450</v>
      </c>
      <c r="V6" s="31">
        <f t="shared" si="1"/>
        <v>31.440000000000055</v>
      </c>
      <c r="W6" s="32">
        <f t="shared" si="2"/>
        <v>33</v>
      </c>
      <c r="X6" s="33">
        <f t="shared" ref="X6:X8" si="8">SUM(H6-Y6)</f>
        <v>10</v>
      </c>
      <c r="Y6" s="33">
        <v>40</v>
      </c>
      <c r="Z6" s="33">
        <v>1000</v>
      </c>
      <c r="AA6" s="33">
        <f t="shared" si="4"/>
        <v>950</v>
      </c>
    </row>
    <row r="7" spans="1:28" ht="20.25" customHeight="1">
      <c r="A7" s="9">
        <v>44779</v>
      </c>
      <c r="B7" s="10" t="s">
        <v>21</v>
      </c>
      <c r="C7" s="11">
        <v>7513.89</v>
      </c>
      <c r="D7" s="11">
        <v>4415.37</v>
      </c>
      <c r="E7" s="11">
        <v>40</v>
      </c>
      <c r="F7" s="11">
        <v>78</v>
      </c>
      <c r="G7" s="11"/>
      <c r="H7" s="11">
        <v>0</v>
      </c>
      <c r="I7" s="11">
        <f t="shared" si="0"/>
        <v>12047.26</v>
      </c>
      <c r="J7" s="11">
        <v>2550.79</v>
      </c>
      <c r="K7" s="11">
        <f t="shared" si="7"/>
        <v>9462.93</v>
      </c>
      <c r="L7" s="11">
        <f>9462.93-410.71</f>
        <v>9052.2200000000012</v>
      </c>
      <c r="M7" s="11">
        <v>0</v>
      </c>
      <c r="N7" s="11">
        <v>0</v>
      </c>
      <c r="O7" s="11">
        <v>410.71</v>
      </c>
      <c r="P7" s="11"/>
      <c r="Q7" s="11">
        <v>0</v>
      </c>
      <c r="R7" s="33">
        <v>0</v>
      </c>
      <c r="S7" s="33">
        <v>17</v>
      </c>
      <c r="T7" s="11">
        <v>2537.08</v>
      </c>
      <c r="U7" s="11">
        <v>450</v>
      </c>
      <c r="V7" s="31">
        <f t="shared" si="1"/>
        <v>3.2899999999999636</v>
      </c>
      <c r="W7" s="32">
        <f t="shared" si="2"/>
        <v>-33.539999999999054</v>
      </c>
      <c r="X7" s="33">
        <f t="shared" si="8"/>
        <v>0</v>
      </c>
      <c r="Y7" s="33">
        <v>0</v>
      </c>
      <c r="Z7" s="33">
        <v>860</v>
      </c>
      <c r="AA7" s="33">
        <f t="shared" si="4"/>
        <v>860</v>
      </c>
    </row>
    <row r="8" spans="1:28" ht="18.75">
      <c r="A8" s="9">
        <v>44780</v>
      </c>
      <c r="B8" s="10" t="s">
        <v>22</v>
      </c>
      <c r="C8" s="11">
        <v>6905.71</v>
      </c>
      <c r="D8" s="11">
        <v>3904.61</v>
      </c>
      <c r="E8" s="11">
        <v>0</v>
      </c>
      <c r="F8" s="11">
        <v>47</v>
      </c>
      <c r="G8" s="11">
        <v>25</v>
      </c>
      <c r="H8" s="11">
        <v>27.18</v>
      </c>
      <c r="I8" s="11">
        <f t="shared" si="0"/>
        <v>10924.5</v>
      </c>
      <c r="J8" s="11">
        <v>2556.98</v>
      </c>
      <c r="K8" s="11">
        <f t="shared" ref="K8" si="9">SUM(L8:O8)</f>
        <v>8435.6200000000008</v>
      </c>
      <c r="L8" s="11">
        <f>8435.62-154.37</f>
        <v>8281.25</v>
      </c>
      <c r="M8" s="11">
        <v>0</v>
      </c>
      <c r="N8" s="11">
        <v>154.37</v>
      </c>
      <c r="O8" s="11">
        <v>0</v>
      </c>
      <c r="P8" s="11"/>
      <c r="Q8" s="11">
        <v>0</v>
      </c>
      <c r="R8" s="33">
        <v>15</v>
      </c>
      <c r="S8" s="33">
        <v>22</v>
      </c>
      <c r="T8" s="11">
        <v>2458.4499999999998</v>
      </c>
      <c r="U8" s="11">
        <v>450</v>
      </c>
      <c r="V8" s="31">
        <f t="shared" si="1"/>
        <v>-61.5300000000002</v>
      </c>
      <c r="W8" s="32">
        <f t="shared" si="2"/>
        <v>68.100000000000364</v>
      </c>
      <c r="X8" s="33">
        <f t="shared" si="8"/>
        <v>27.18</v>
      </c>
      <c r="Y8" s="33">
        <v>0</v>
      </c>
      <c r="Z8" s="33">
        <v>330</v>
      </c>
      <c r="AA8" s="33">
        <f t="shared" si="4"/>
        <v>302.82</v>
      </c>
    </row>
    <row r="9" spans="1:28" ht="37.5" customHeight="1">
      <c r="A9" s="65" t="s">
        <v>27</v>
      </c>
      <c r="B9" s="66"/>
      <c r="C9" s="27">
        <f>SUM(C2:C8)</f>
        <v>54560.17</v>
      </c>
      <c r="D9" s="27">
        <f t="shared" ref="D9:AA9" si="10">SUM(D2:D8)</f>
        <v>26611.56</v>
      </c>
      <c r="E9" s="27">
        <f t="shared" si="10"/>
        <v>76.5</v>
      </c>
      <c r="F9" s="27">
        <f t="shared" si="10"/>
        <v>412</v>
      </c>
      <c r="G9" s="27">
        <f t="shared" ref="G9" si="11">SUM(G2:G8)</f>
        <v>25</v>
      </c>
      <c r="H9" s="27">
        <f t="shared" si="10"/>
        <v>597.42999999999995</v>
      </c>
      <c r="I9" s="27">
        <f t="shared" si="10"/>
        <v>82327.659999999989</v>
      </c>
      <c r="J9" s="27">
        <f t="shared" si="10"/>
        <v>16944.310000000001</v>
      </c>
      <c r="K9" s="27">
        <f t="shared" si="10"/>
        <v>64921.520000000004</v>
      </c>
      <c r="L9" s="27">
        <f t="shared" si="10"/>
        <v>60862.69</v>
      </c>
      <c r="M9" s="27">
        <f t="shared" si="10"/>
        <v>149.24</v>
      </c>
      <c r="N9" s="27">
        <f t="shared" si="10"/>
        <v>1514.81</v>
      </c>
      <c r="O9" s="27">
        <f t="shared" si="10"/>
        <v>2394.7799999999997</v>
      </c>
      <c r="P9" s="27">
        <f t="shared" ref="P9" si="12">SUM(P2:P8)</f>
        <v>0</v>
      </c>
      <c r="Q9" s="27">
        <f t="shared" si="10"/>
        <v>321.29000000000002</v>
      </c>
      <c r="R9" s="27">
        <f t="shared" si="10"/>
        <v>45</v>
      </c>
      <c r="S9" s="27">
        <f t="shared" si="10"/>
        <v>210.7</v>
      </c>
      <c r="T9" s="27">
        <f t="shared" si="10"/>
        <v>16336.45</v>
      </c>
      <c r="U9" s="27">
        <f t="shared" si="10"/>
        <v>3150</v>
      </c>
      <c r="V9" s="27">
        <f t="shared" si="10"/>
        <v>-30.869999999999891</v>
      </c>
      <c r="W9" s="27">
        <f t="shared" si="10"/>
        <v>-11.329999999999927</v>
      </c>
      <c r="X9" s="27">
        <f t="shared" si="10"/>
        <v>146.93</v>
      </c>
      <c r="Y9" s="27">
        <f t="shared" si="10"/>
        <v>450.5</v>
      </c>
      <c r="Z9" s="27">
        <f t="shared" si="10"/>
        <v>3690</v>
      </c>
      <c r="AA9" s="27">
        <f t="shared" si="10"/>
        <v>3092.57</v>
      </c>
    </row>
    <row r="10" spans="1:28" ht="18.75">
      <c r="A10" s="9">
        <v>44781</v>
      </c>
      <c r="B10" s="10" t="s">
        <v>23</v>
      </c>
      <c r="C10" s="11">
        <v>7423.74</v>
      </c>
      <c r="D10" s="11">
        <v>3218.65</v>
      </c>
      <c r="E10" s="11">
        <v>1.5</v>
      </c>
      <c r="F10" s="11">
        <v>98</v>
      </c>
      <c r="G10" s="11">
        <v>51</v>
      </c>
      <c r="H10" s="11">
        <v>72</v>
      </c>
      <c r="I10" s="11">
        <f t="shared" ref="I10:I16" si="13">SUM(C10:H10,R10)</f>
        <v>10874.89</v>
      </c>
      <c r="J10" s="11">
        <v>1949.44</v>
      </c>
      <c r="K10" s="11">
        <f>SUM(L10:O10)</f>
        <v>8904.9400000000023</v>
      </c>
      <c r="L10" s="11">
        <f>8904.94-76.61-38.5-631.54</f>
        <v>8158.29</v>
      </c>
      <c r="M10" s="11">
        <v>38.5</v>
      </c>
      <c r="N10" s="11">
        <v>76.61</v>
      </c>
      <c r="O10" s="11">
        <v>631.54</v>
      </c>
      <c r="P10" s="11"/>
      <c r="Q10" s="11">
        <v>66.400000000000006</v>
      </c>
      <c r="R10" s="33">
        <v>10</v>
      </c>
      <c r="S10" s="33">
        <v>11</v>
      </c>
      <c r="T10" s="11">
        <v>1825.7</v>
      </c>
      <c r="U10" s="11">
        <v>450</v>
      </c>
      <c r="V10" s="31">
        <f t="shared" ref="V10:V16" si="14">SUM(Q10,R10,S10,T10)-J10</f>
        <v>-36.339999999999918</v>
      </c>
      <c r="W10" s="32">
        <f>SUM(J10+K10+Y10)-(I10)</f>
        <v>11.49000000000342</v>
      </c>
      <c r="X10" s="33">
        <f>SUM(H10-Y10)</f>
        <v>40</v>
      </c>
      <c r="Y10" s="33">
        <v>32</v>
      </c>
      <c r="Z10" s="33">
        <v>270</v>
      </c>
      <c r="AA10" s="33">
        <f t="shared" si="4"/>
        <v>198</v>
      </c>
    </row>
    <row r="11" spans="1:28" ht="18.75">
      <c r="A11" s="9">
        <v>44782</v>
      </c>
      <c r="B11" s="10" t="s">
        <v>24</v>
      </c>
      <c r="C11" s="11">
        <v>8166.25</v>
      </c>
      <c r="D11" s="11">
        <v>3795</v>
      </c>
      <c r="E11" s="11">
        <v>15.5</v>
      </c>
      <c r="F11" s="11">
        <v>55</v>
      </c>
      <c r="G11" s="11">
        <v>50</v>
      </c>
      <c r="H11" s="11">
        <v>30</v>
      </c>
      <c r="I11" s="11">
        <f t="shared" si="13"/>
        <v>12151.75</v>
      </c>
      <c r="J11" s="11">
        <v>2732.45</v>
      </c>
      <c r="K11" s="11">
        <f t="shared" ref="K11:K16" si="15">SUM(L11:O11)</f>
        <v>9389.2999999999993</v>
      </c>
      <c r="L11" s="11">
        <f>9389.3-81.23-472.8-20.01</f>
        <v>8815.26</v>
      </c>
      <c r="M11" s="11">
        <v>20.010000000000002</v>
      </c>
      <c r="N11" s="11">
        <v>81.23</v>
      </c>
      <c r="O11" s="11">
        <v>472.8</v>
      </c>
      <c r="P11" s="11"/>
      <c r="Q11" s="11">
        <v>0</v>
      </c>
      <c r="R11" s="33">
        <v>40</v>
      </c>
      <c r="S11" s="33">
        <v>42</v>
      </c>
      <c r="T11" s="11">
        <v>2642.98</v>
      </c>
      <c r="U11" s="11">
        <v>450</v>
      </c>
      <c r="V11" s="31">
        <f t="shared" si="14"/>
        <v>-7.4699999999997999</v>
      </c>
      <c r="W11" s="32">
        <f t="shared" ref="W11:W16" si="16">SUM(J11+K11+Y11)-(I11)</f>
        <v>0</v>
      </c>
      <c r="X11" s="33">
        <f t="shared" ref="X11:X16" si="17">SUM(H11-Y11)</f>
        <v>0</v>
      </c>
      <c r="Y11" s="33">
        <v>30</v>
      </c>
      <c r="Z11" s="33">
        <v>590</v>
      </c>
      <c r="AA11" s="33">
        <f t="shared" si="4"/>
        <v>560</v>
      </c>
    </row>
    <row r="12" spans="1:28" ht="18.75">
      <c r="A12" s="9">
        <v>44783</v>
      </c>
      <c r="B12" s="10" t="s">
        <v>25</v>
      </c>
      <c r="C12" s="11">
        <v>7324.63</v>
      </c>
      <c r="D12" s="11">
        <v>3655.89</v>
      </c>
      <c r="E12" s="11">
        <v>2</v>
      </c>
      <c r="F12" s="11">
        <v>94</v>
      </c>
      <c r="G12" s="11">
        <v>109.02</v>
      </c>
      <c r="H12" s="11">
        <v>0</v>
      </c>
      <c r="I12" s="11">
        <f t="shared" si="13"/>
        <v>11245.54</v>
      </c>
      <c r="J12" s="11">
        <v>2596.85</v>
      </c>
      <c r="K12" s="11">
        <f t="shared" si="15"/>
        <v>8539.67</v>
      </c>
      <c r="L12" s="11">
        <f>8539.67-478.73-426.38</f>
        <v>7634.56</v>
      </c>
      <c r="M12" s="11">
        <v>0</v>
      </c>
      <c r="N12" s="11">
        <v>478.73</v>
      </c>
      <c r="O12" s="11">
        <v>426.38</v>
      </c>
      <c r="P12" s="11"/>
      <c r="Q12" s="11">
        <v>346.91</v>
      </c>
      <c r="R12" s="33">
        <v>60</v>
      </c>
      <c r="S12" s="33">
        <v>44.3</v>
      </c>
      <c r="T12" s="11">
        <v>2149.5</v>
      </c>
      <c r="U12" s="11">
        <v>450</v>
      </c>
      <c r="V12" s="31">
        <f t="shared" si="14"/>
        <v>3.8600000000001273</v>
      </c>
      <c r="W12" s="32">
        <f t="shared" si="16"/>
        <v>-109.02000000000044</v>
      </c>
      <c r="X12" s="33">
        <f t="shared" si="17"/>
        <v>0</v>
      </c>
      <c r="Y12" s="33">
        <v>0</v>
      </c>
      <c r="Z12" s="33">
        <v>380</v>
      </c>
      <c r="AA12" s="33">
        <f t="shared" si="4"/>
        <v>380</v>
      </c>
    </row>
    <row r="13" spans="1:28" ht="18.75">
      <c r="A13" s="9">
        <v>44784</v>
      </c>
      <c r="B13" s="10" t="s">
        <v>26</v>
      </c>
      <c r="C13" s="11">
        <v>8020.25</v>
      </c>
      <c r="D13" s="11">
        <v>3849.47</v>
      </c>
      <c r="E13" s="11">
        <v>18</v>
      </c>
      <c r="F13" s="11">
        <v>66</v>
      </c>
      <c r="G13" s="11">
        <v>30</v>
      </c>
      <c r="H13" s="11">
        <v>196.9</v>
      </c>
      <c r="I13" s="11">
        <f t="shared" si="13"/>
        <v>12180.619999999999</v>
      </c>
      <c r="J13" s="11">
        <v>2615.13</v>
      </c>
      <c r="K13" s="11">
        <f t="shared" si="15"/>
        <v>9368.59</v>
      </c>
      <c r="L13" s="11">
        <f>9368.59-180.11-948.66</f>
        <v>8239.82</v>
      </c>
      <c r="M13" s="11">
        <v>0</v>
      </c>
      <c r="N13" s="11">
        <v>180.11</v>
      </c>
      <c r="O13" s="11">
        <v>948.66</v>
      </c>
      <c r="P13" s="11"/>
      <c r="Q13" s="11">
        <v>619.69000000000005</v>
      </c>
      <c r="R13" s="33">
        <v>0</v>
      </c>
      <c r="S13" s="33">
        <v>40</v>
      </c>
      <c r="T13" s="11">
        <v>1895.4</v>
      </c>
      <c r="U13" s="11">
        <v>450</v>
      </c>
      <c r="V13" s="31">
        <f t="shared" si="14"/>
        <v>-60.039999999999964</v>
      </c>
      <c r="W13" s="32">
        <f t="shared" si="16"/>
        <v>0</v>
      </c>
      <c r="X13" s="33">
        <f t="shared" si="17"/>
        <v>0</v>
      </c>
      <c r="Y13" s="33">
        <v>196.9</v>
      </c>
      <c r="Z13" s="33">
        <v>540</v>
      </c>
      <c r="AA13" s="33">
        <f t="shared" si="4"/>
        <v>343.1</v>
      </c>
    </row>
    <row r="14" spans="1:28" ht="18.75">
      <c r="A14" s="9">
        <v>44785</v>
      </c>
      <c r="B14" s="10" t="s">
        <v>20</v>
      </c>
      <c r="C14" s="11">
        <v>9536.7000000000007</v>
      </c>
      <c r="D14" s="11">
        <v>4264.5200000000004</v>
      </c>
      <c r="E14" s="11">
        <v>35.5</v>
      </c>
      <c r="F14" s="11">
        <v>194</v>
      </c>
      <c r="G14" s="11">
        <v>30</v>
      </c>
      <c r="H14" s="11">
        <v>12</v>
      </c>
      <c r="I14" s="11">
        <f t="shared" si="13"/>
        <v>14072.720000000001</v>
      </c>
      <c r="J14" s="11">
        <v>2699.01</v>
      </c>
      <c r="K14" s="11">
        <f t="shared" si="15"/>
        <v>11642.91</v>
      </c>
      <c r="L14" s="11">
        <f>11642.91-115.8-40-236.32</f>
        <v>11250.79</v>
      </c>
      <c r="M14" s="11">
        <v>40</v>
      </c>
      <c r="N14" s="11">
        <v>115.8</v>
      </c>
      <c r="O14" s="11">
        <v>236.32</v>
      </c>
      <c r="P14" s="11"/>
      <c r="Q14" s="11">
        <v>221.11</v>
      </c>
      <c r="R14" s="33">
        <v>0</v>
      </c>
      <c r="S14" s="33">
        <v>93.9</v>
      </c>
      <c r="T14" s="11">
        <v>2048.5300000000002</v>
      </c>
      <c r="U14" s="11">
        <v>450</v>
      </c>
      <c r="V14" s="31">
        <f t="shared" si="14"/>
        <v>-335.47000000000025</v>
      </c>
      <c r="W14" s="32">
        <f t="shared" si="16"/>
        <v>269.19999999999891</v>
      </c>
      <c r="X14" s="33">
        <f t="shared" si="17"/>
        <v>12</v>
      </c>
      <c r="Y14" s="33">
        <v>0</v>
      </c>
      <c r="Z14" s="33">
        <v>470</v>
      </c>
      <c r="AA14" s="33">
        <f t="shared" si="4"/>
        <v>458</v>
      </c>
    </row>
    <row r="15" spans="1:28" ht="18.75">
      <c r="A15" s="9">
        <v>44786</v>
      </c>
      <c r="B15" s="10" t="s">
        <v>21</v>
      </c>
      <c r="C15" s="11">
        <v>7902.07</v>
      </c>
      <c r="D15" s="11">
        <v>5472.42</v>
      </c>
      <c r="E15" s="11">
        <v>10</v>
      </c>
      <c r="F15" s="11">
        <v>82</v>
      </c>
      <c r="G15" s="11">
        <v>50</v>
      </c>
      <c r="H15" s="11">
        <v>22.8</v>
      </c>
      <c r="I15" s="11">
        <f t="shared" si="13"/>
        <v>13567.119999999999</v>
      </c>
      <c r="J15" s="11">
        <v>2930.08</v>
      </c>
      <c r="K15" s="11">
        <f t="shared" si="15"/>
        <v>10609.03</v>
      </c>
      <c r="L15" s="11">
        <f>10609.03-145-45-219.31</f>
        <v>10199.720000000001</v>
      </c>
      <c r="M15" s="11">
        <v>45</v>
      </c>
      <c r="N15" s="11">
        <v>145</v>
      </c>
      <c r="O15" s="11">
        <v>219.31</v>
      </c>
      <c r="P15" s="11"/>
      <c r="Q15" s="11">
        <v>0</v>
      </c>
      <c r="R15" s="33">
        <v>27.83</v>
      </c>
      <c r="S15" s="33">
        <v>9</v>
      </c>
      <c r="T15" s="11">
        <v>2907.88</v>
      </c>
      <c r="U15" s="11">
        <v>450</v>
      </c>
      <c r="V15" s="31">
        <f t="shared" si="14"/>
        <v>14.630000000000109</v>
      </c>
      <c r="W15" s="32">
        <f t="shared" si="16"/>
        <v>-18.009999999998399</v>
      </c>
      <c r="X15" s="33">
        <f t="shared" si="17"/>
        <v>12.8</v>
      </c>
      <c r="Y15" s="33">
        <v>10</v>
      </c>
      <c r="Z15" s="33">
        <v>550</v>
      </c>
      <c r="AA15" s="33">
        <f t="shared" si="4"/>
        <v>527.20000000000005</v>
      </c>
    </row>
    <row r="16" spans="1:28" ht="18.75">
      <c r="A16" s="9">
        <v>44787</v>
      </c>
      <c r="B16" s="10" t="s">
        <v>22</v>
      </c>
      <c r="C16" s="11">
        <v>6851.17</v>
      </c>
      <c r="D16" s="11">
        <v>3657.31</v>
      </c>
      <c r="E16" s="11">
        <v>0</v>
      </c>
      <c r="F16" s="11">
        <v>101</v>
      </c>
      <c r="G16" s="11">
        <v>35</v>
      </c>
      <c r="H16" s="11">
        <v>20</v>
      </c>
      <c r="I16" s="11">
        <f t="shared" si="13"/>
        <v>10666.98</v>
      </c>
      <c r="J16" s="11">
        <v>2504.96</v>
      </c>
      <c r="K16" s="11">
        <f t="shared" si="15"/>
        <v>8142.02</v>
      </c>
      <c r="L16" s="11">
        <f>8142.02-71.43-162.84-9.99</f>
        <v>7897.76</v>
      </c>
      <c r="M16" s="11">
        <v>9.99</v>
      </c>
      <c r="N16" s="11">
        <v>71.430000000000007</v>
      </c>
      <c r="O16" s="11">
        <v>162.84</v>
      </c>
      <c r="P16" s="11"/>
      <c r="Q16" s="11">
        <v>0</v>
      </c>
      <c r="R16" s="33">
        <v>2.5</v>
      </c>
      <c r="S16" s="33">
        <v>55</v>
      </c>
      <c r="T16" s="11">
        <v>2450.15</v>
      </c>
      <c r="U16" s="11">
        <v>450</v>
      </c>
      <c r="V16" s="31">
        <f t="shared" si="14"/>
        <v>2.6900000000000546</v>
      </c>
      <c r="W16" s="32">
        <f t="shared" si="16"/>
        <v>0</v>
      </c>
      <c r="X16" s="33">
        <f t="shared" si="17"/>
        <v>0</v>
      </c>
      <c r="Y16" s="33">
        <v>20</v>
      </c>
      <c r="Z16" s="33">
        <v>160</v>
      </c>
      <c r="AA16" s="33">
        <f t="shared" si="4"/>
        <v>140</v>
      </c>
    </row>
    <row r="17" spans="1:27" ht="37.5" customHeight="1">
      <c r="A17" s="65" t="s">
        <v>27</v>
      </c>
      <c r="B17" s="66"/>
      <c r="C17" s="27">
        <f>SUM(C10:C16)</f>
        <v>55224.81</v>
      </c>
      <c r="D17" s="27">
        <f t="shared" ref="D17:AA17" si="18">SUM(D10:D16)</f>
        <v>27913.26</v>
      </c>
      <c r="E17" s="27">
        <f t="shared" si="18"/>
        <v>82.5</v>
      </c>
      <c r="F17" s="27">
        <f t="shared" si="18"/>
        <v>690</v>
      </c>
      <c r="G17" s="27">
        <f t="shared" ref="G17" si="19">SUM(G10:G16)</f>
        <v>355.02</v>
      </c>
      <c r="H17" s="27">
        <f t="shared" si="18"/>
        <v>353.7</v>
      </c>
      <c r="I17" s="27">
        <f t="shared" si="18"/>
        <v>84759.62</v>
      </c>
      <c r="J17" s="27">
        <f t="shared" si="18"/>
        <v>18027.919999999998</v>
      </c>
      <c r="K17" s="27">
        <f t="shared" si="18"/>
        <v>66596.460000000006</v>
      </c>
      <c r="L17" s="27">
        <f t="shared" si="18"/>
        <v>62196.200000000004</v>
      </c>
      <c r="M17" s="27">
        <f t="shared" si="18"/>
        <v>153.5</v>
      </c>
      <c r="N17" s="27">
        <f t="shared" si="18"/>
        <v>1148.9100000000001</v>
      </c>
      <c r="O17" s="27">
        <f t="shared" si="18"/>
        <v>3097.85</v>
      </c>
      <c r="P17" s="27">
        <f t="shared" ref="P17" si="20">SUM(P10:P16)</f>
        <v>0</v>
      </c>
      <c r="Q17" s="27">
        <f t="shared" si="18"/>
        <v>1254.1100000000001</v>
      </c>
      <c r="R17" s="27">
        <f t="shared" si="18"/>
        <v>140.32999999999998</v>
      </c>
      <c r="S17" s="27">
        <f t="shared" si="18"/>
        <v>295.20000000000005</v>
      </c>
      <c r="T17" s="27">
        <f t="shared" si="18"/>
        <v>15920.140000000001</v>
      </c>
      <c r="U17" s="27">
        <f t="shared" si="18"/>
        <v>3150</v>
      </c>
      <c r="V17" s="27">
        <f t="shared" si="18"/>
        <v>-418.13999999999965</v>
      </c>
      <c r="W17" s="27">
        <f t="shared" si="18"/>
        <v>153.66000000000349</v>
      </c>
      <c r="X17" s="27">
        <f t="shared" si="18"/>
        <v>64.8</v>
      </c>
      <c r="Y17" s="27">
        <f t="shared" si="18"/>
        <v>288.89999999999998</v>
      </c>
      <c r="Z17" s="27">
        <f t="shared" si="18"/>
        <v>2960</v>
      </c>
      <c r="AA17" s="27">
        <f t="shared" si="18"/>
        <v>2606.3000000000002</v>
      </c>
    </row>
    <row r="18" spans="1:27" s="35" customFormat="1" ht="18.75">
      <c r="A18" s="9">
        <v>44788</v>
      </c>
      <c r="B18" s="10" t="s">
        <v>23</v>
      </c>
      <c r="C18" s="11">
        <v>6779.95</v>
      </c>
      <c r="D18" s="11">
        <v>3552.26</v>
      </c>
      <c r="E18" s="11">
        <v>1.5</v>
      </c>
      <c r="F18" s="11">
        <v>29</v>
      </c>
      <c r="G18" s="11">
        <v>156.38999999999999</v>
      </c>
      <c r="H18" s="11">
        <v>35</v>
      </c>
      <c r="I18" s="11">
        <f t="shared" ref="I18:I24" si="21">SUM(C18:H18,R18)</f>
        <v>10554.099999999999</v>
      </c>
      <c r="J18" s="11">
        <v>2814.59</v>
      </c>
      <c r="K18" s="11">
        <f>SUM(L18:O18)</f>
        <v>7704.51</v>
      </c>
      <c r="L18" s="11">
        <f>7704.51-132.27-10-198.88</f>
        <v>7363.36</v>
      </c>
      <c r="M18" s="11">
        <v>10</v>
      </c>
      <c r="N18" s="11">
        <v>132.27000000000001</v>
      </c>
      <c r="O18" s="11">
        <v>198.88</v>
      </c>
      <c r="P18" s="11"/>
      <c r="Q18" s="11">
        <v>252.12</v>
      </c>
      <c r="R18" s="33">
        <v>0</v>
      </c>
      <c r="S18" s="33">
        <v>24</v>
      </c>
      <c r="T18" s="11">
        <v>2526.77</v>
      </c>
      <c r="U18" s="11">
        <v>450</v>
      </c>
      <c r="V18" s="31">
        <f t="shared" ref="V18:V24" si="22">SUM(Q18,R18,S18,T18)-J18</f>
        <v>-11.700000000000273</v>
      </c>
      <c r="W18" s="32">
        <f>SUM(J18+K18+Y18)-(I18)</f>
        <v>0</v>
      </c>
      <c r="X18" s="33">
        <f>SUM(H18-Y18)</f>
        <v>0</v>
      </c>
      <c r="Y18" s="33">
        <v>35</v>
      </c>
      <c r="Z18" s="33">
        <v>170</v>
      </c>
      <c r="AA18" s="33">
        <f t="shared" si="4"/>
        <v>135</v>
      </c>
    </row>
    <row r="19" spans="1:27" s="35" customFormat="1" ht="18.75">
      <c r="A19" s="9">
        <v>44789</v>
      </c>
      <c r="B19" s="10" t="s">
        <v>24</v>
      </c>
      <c r="C19" s="11">
        <v>7442.77</v>
      </c>
      <c r="D19" s="11">
        <v>3231.86</v>
      </c>
      <c r="E19" s="11">
        <v>22.5</v>
      </c>
      <c r="F19" s="11">
        <v>137</v>
      </c>
      <c r="G19" s="11">
        <v>10</v>
      </c>
      <c r="H19" s="11">
        <v>20</v>
      </c>
      <c r="I19" s="11">
        <f t="shared" si="21"/>
        <v>10874.130000000001</v>
      </c>
      <c r="J19" s="11">
        <v>2522.0500000000002</v>
      </c>
      <c r="K19" s="11">
        <f t="shared" ref="K19:K24" si="23">SUM(L19:O19)</f>
        <v>8313.08</v>
      </c>
      <c r="L19" s="11">
        <f>8313.08-632</f>
        <v>7681.08</v>
      </c>
      <c r="M19" s="11">
        <v>0</v>
      </c>
      <c r="N19" s="11">
        <v>0</v>
      </c>
      <c r="O19" s="11">
        <v>632</v>
      </c>
      <c r="P19" s="11"/>
      <c r="Q19" s="11">
        <v>0</v>
      </c>
      <c r="R19" s="33">
        <v>10</v>
      </c>
      <c r="S19" s="33">
        <v>64</v>
      </c>
      <c r="T19" s="11">
        <v>2451</v>
      </c>
      <c r="U19" s="11">
        <v>450</v>
      </c>
      <c r="V19" s="31">
        <f t="shared" si="22"/>
        <v>2.9499999999998181</v>
      </c>
      <c r="W19" s="32">
        <f t="shared" ref="W19:W24" si="24">SUM(J19+K19+Y19)-(I19)</f>
        <v>-29</v>
      </c>
      <c r="X19" s="33">
        <f t="shared" ref="X19:X23" si="25">SUM(H19-Y19)</f>
        <v>10</v>
      </c>
      <c r="Y19" s="33">
        <v>10</v>
      </c>
      <c r="Z19" s="33">
        <v>550</v>
      </c>
      <c r="AA19" s="33">
        <f t="shared" si="4"/>
        <v>530</v>
      </c>
    </row>
    <row r="20" spans="1:27" s="35" customFormat="1" ht="18.75">
      <c r="A20" s="9">
        <v>44790</v>
      </c>
      <c r="B20" s="10" t="s">
        <v>25</v>
      </c>
      <c r="C20" s="11">
        <v>7593.32</v>
      </c>
      <c r="D20" s="11">
        <v>3173.58</v>
      </c>
      <c r="E20" s="11">
        <v>11</v>
      </c>
      <c r="F20" s="11">
        <v>80</v>
      </c>
      <c r="G20" s="11">
        <v>40</v>
      </c>
      <c r="H20" s="11">
        <f>57-28.8</f>
        <v>28.2</v>
      </c>
      <c r="I20" s="11">
        <f t="shared" si="21"/>
        <v>10987.1</v>
      </c>
      <c r="J20" s="11">
        <v>2345.4</v>
      </c>
      <c r="K20" s="11">
        <f t="shared" si="23"/>
        <v>8660.5</v>
      </c>
      <c r="L20" s="11">
        <f>8660.5-30.21-148.04</f>
        <v>8482.25</v>
      </c>
      <c r="M20" s="11">
        <v>30.21</v>
      </c>
      <c r="N20" s="11">
        <v>0</v>
      </c>
      <c r="O20" s="11">
        <v>148.04</v>
      </c>
      <c r="P20" s="11"/>
      <c r="Q20" s="11">
        <v>288.8</v>
      </c>
      <c r="R20" s="33">
        <v>61</v>
      </c>
      <c r="S20" s="33">
        <v>16</v>
      </c>
      <c r="T20" s="11">
        <v>1988.29</v>
      </c>
      <c r="U20" s="11">
        <v>450</v>
      </c>
      <c r="V20" s="31">
        <f t="shared" si="22"/>
        <v>8.6900000000000546</v>
      </c>
      <c r="W20" s="32">
        <f t="shared" si="24"/>
        <v>28.799999999999272</v>
      </c>
      <c r="X20" s="33">
        <f t="shared" si="25"/>
        <v>18.2</v>
      </c>
      <c r="Y20" s="33">
        <v>10</v>
      </c>
      <c r="Z20" s="33">
        <v>60</v>
      </c>
      <c r="AA20" s="33">
        <f t="shared" si="4"/>
        <v>31.8</v>
      </c>
    </row>
    <row r="21" spans="1:27" s="35" customFormat="1" ht="18.75">
      <c r="A21" s="9">
        <v>44791</v>
      </c>
      <c r="B21" s="10" t="s">
        <v>26</v>
      </c>
      <c r="C21" s="11">
        <v>8384.33</v>
      </c>
      <c r="D21" s="11">
        <v>3672.17</v>
      </c>
      <c r="E21" s="11">
        <v>4</v>
      </c>
      <c r="F21" s="11">
        <v>20</v>
      </c>
      <c r="G21" s="11">
        <v>15</v>
      </c>
      <c r="H21" s="11">
        <v>42</v>
      </c>
      <c r="I21" s="11">
        <f t="shared" si="21"/>
        <v>12174.72</v>
      </c>
      <c r="J21" s="11">
        <v>2714.92</v>
      </c>
      <c r="K21" s="11">
        <f t="shared" si="23"/>
        <v>9467.7999999999993</v>
      </c>
      <c r="L21" s="11">
        <f>9467.8-88.43-485.59</f>
        <v>8893.7799999999988</v>
      </c>
      <c r="M21" s="11">
        <v>88.43</v>
      </c>
      <c r="N21" s="11">
        <v>0</v>
      </c>
      <c r="O21" s="11">
        <v>485.59</v>
      </c>
      <c r="P21" s="11"/>
      <c r="Q21" s="11">
        <v>0</v>
      </c>
      <c r="R21" s="33">
        <v>37.22</v>
      </c>
      <c r="S21" s="33">
        <v>5</v>
      </c>
      <c r="T21" s="11">
        <v>2538.8000000000002</v>
      </c>
      <c r="U21" s="11">
        <v>450</v>
      </c>
      <c r="V21" s="31">
        <f t="shared" si="22"/>
        <v>-133.90000000000009</v>
      </c>
      <c r="W21" s="32">
        <f t="shared" si="24"/>
        <v>20</v>
      </c>
      <c r="X21" s="33">
        <f t="shared" si="25"/>
        <v>30</v>
      </c>
      <c r="Y21" s="33">
        <v>12</v>
      </c>
      <c r="Z21" s="33">
        <v>310</v>
      </c>
      <c r="AA21" s="33">
        <f t="shared" si="4"/>
        <v>268</v>
      </c>
    </row>
    <row r="22" spans="1:27" s="35" customFormat="1" ht="18.75">
      <c r="A22" s="9">
        <v>44792</v>
      </c>
      <c r="B22" s="10" t="s">
        <v>20</v>
      </c>
      <c r="C22" s="11">
        <v>9738.2999999999993</v>
      </c>
      <c r="D22" s="11">
        <v>5094.43</v>
      </c>
      <c r="E22" s="11">
        <v>35</v>
      </c>
      <c r="F22" s="11">
        <v>219</v>
      </c>
      <c r="G22" s="11">
        <v>40</v>
      </c>
      <c r="H22" s="11">
        <v>5</v>
      </c>
      <c r="I22" s="11">
        <f t="shared" si="21"/>
        <v>15181.73</v>
      </c>
      <c r="J22" s="43">
        <v>3397.4</v>
      </c>
      <c r="K22" s="11">
        <f t="shared" si="23"/>
        <v>11784.33</v>
      </c>
      <c r="L22" s="11">
        <f>11784.33-105.52-153.57-773.99</f>
        <v>10751.25</v>
      </c>
      <c r="M22" s="11">
        <v>153.57</v>
      </c>
      <c r="N22" s="11">
        <v>105.52</v>
      </c>
      <c r="O22" s="11">
        <v>773.99</v>
      </c>
      <c r="P22" s="11"/>
      <c r="Q22" s="11">
        <v>0</v>
      </c>
      <c r="R22" s="33">
        <v>50</v>
      </c>
      <c r="S22" s="33">
        <v>85</v>
      </c>
      <c r="T22" s="11">
        <v>3416.61</v>
      </c>
      <c r="U22" s="11">
        <v>450</v>
      </c>
      <c r="V22" s="31">
        <f t="shared" si="22"/>
        <v>154.21000000000004</v>
      </c>
      <c r="W22" s="32">
        <f t="shared" si="24"/>
        <v>0</v>
      </c>
      <c r="X22" s="33">
        <f t="shared" si="25"/>
        <v>5</v>
      </c>
      <c r="Y22" s="33">
        <v>0</v>
      </c>
      <c r="Z22" s="33">
        <v>1060</v>
      </c>
      <c r="AA22" s="33">
        <f t="shared" si="4"/>
        <v>1055</v>
      </c>
    </row>
    <row r="23" spans="1:27" s="35" customFormat="1" ht="18.75">
      <c r="A23" s="9">
        <v>44793</v>
      </c>
      <c r="B23" s="10" t="s">
        <v>21</v>
      </c>
      <c r="C23" s="11">
        <v>8033.94</v>
      </c>
      <c r="D23" s="11">
        <v>4450.88</v>
      </c>
      <c r="E23" s="11">
        <v>32</v>
      </c>
      <c r="F23" s="11">
        <v>43</v>
      </c>
      <c r="G23" s="11">
        <v>16</v>
      </c>
      <c r="H23" s="11">
        <v>10</v>
      </c>
      <c r="I23" s="11">
        <f t="shared" si="21"/>
        <v>12586.22</v>
      </c>
      <c r="J23" s="11">
        <v>2956.62</v>
      </c>
      <c r="K23" s="11">
        <f t="shared" si="23"/>
        <v>9524.58</v>
      </c>
      <c r="L23" s="11">
        <f>9524.58-69.29-32.48-76.82</f>
        <v>9345.99</v>
      </c>
      <c r="M23" s="11">
        <v>32.479999999999997</v>
      </c>
      <c r="N23" s="11">
        <v>69.290000000000006</v>
      </c>
      <c r="O23" s="11">
        <v>76.819999999999993</v>
      </c>
      <c r="P23" s="11">
        <v>0</v>
      </c>
      <c r="Q23" s="11">
        <v>0</v>
      </c>
      <c r="R23" s="33">
        <v>0.4</v>
      </c>
      <c r="S23" s="33">
        <v>55</v>
      </c>
      <c r="T23" s="11">
        <v>2904.95</v>
      </c>
      <c r="U23" s="11">
        <v>450</v>
      </c>
      <c r="V23" s="31">
        <f t="shared" si="22"/>
        <v>3.7300000000000182</v>
      </c>
      <c r="W23" s="32">
        <f t="shared" si="24"/>
        <v>-95.019999999998618</v>
      </c>
      <c r="X23" s="33">
        <f t="shared" si="25"/>
        <v>0</v>
      </c>
      <c r="Y23" s="33">
        <v>10</v>
      </c>
      <c r="Z23" s="33">
        <v>740</v>
      </c>
      <c r="AA23" s="33">
        <f t="shared" si="4"/>
        <v>730</v>
      </c>
    </row>
    <row r="24" spans="1:27" s="35" customFormat="1" ht="18.75">
      <c r="A24" s="9">
        <v>44794</v>
      </c>
      <c r="B24" s="10" t="s">
        <v>22</v>
      </c>
      <c r="C24" s="11">
        <v>7917.76</v>
      </c>
      <c r="D24" s="11">
        <v>3624.52</v>
      </c>
      <c r="E24" s="11">
        <v>0</v>
      </c>
      <c r="F24" s="11">
        <v>62</v>
      </c>
      <c r="G24" s="11">
        <v>65</v>
      </c>
      <c r="H24" s="11">
        <v>93</v>
      </c>
      <c r="I24" s="11">
        <f t="shared" si="21"/>
        <v>11772.28</v>
      </c>
      <c r="J24" s="11">
        <v>2897.98</v>
      </c>
      <c r="K24" s="11">
        <f t="shared" si="23"/>
        <v>8826.2999999999993</v>
      </c>
      <c r="L24" s="11">
        <f>8826.3-64.43-380.95</f>
        <v>8380.9199999999983</v>
      </c>
      <c r="M24" s="11">
        <v>64.430000000000007</v>
      </c>
      <c r="N24" s="11">
        <v>0</v>
      </c>
      <c r="O24" s="11">
        <v>380.95</v>
      </c>
      <c r="P24" s="11">
        <v>53</v>
      </c>
      <c r="Q24" s="11">
        <v>0</v>
      </c>
      <c r="R24" s="33">
        <v>10</v>
      </c>
      <c r="S24" s="33">
        <v>40</v>
      </c>
      <c r="T24" s="11">
        <v>2842.35</v>
      </c>
      <c r="U24" s="11">
        <v>450</v>
      </c>
      <c r="V24" s="31">
        <f t="shared" si="22"/>
        <v>-5.6300000000001091</v>
      </c>
      <c r="W24" s="32">
        <f t="shared" si="24"/>
        <v>-28.800000000001091</v>
      </c>
      <c r="X24" s="33">
        <f>73.8-28.8</f>
        <v>45</v>
      </c>
      <c r="Y24" s="33">
        <f>48-28.8</f>
        <v>19.2</v>
      </c>
      <c r="Z24" s="33">
        <v>230</v>
      </c>
      <c r="AA24" s="33">
        <f t="shared" si="4"/>
        <v>137</v>
      </c>
    </row>
    <row r="25" spans="1:27" ht="37.5" customHeight="1">
      <c r="A25" s="65" t="s">
        <v>27</v>
      </c>
      <c r="B25" s="66"/>
      <c r="C25" s="27">
        <f>SUM(C18:C24)</f>
        <v>55890.37</v>
      </c>
      <c r="D25" s="27">
        <f t="shared" ref="D25:AA25" si="26">SUM(D18:D24)</f>
        <v>26799.700000000004</v>
      </c>
      <c r="E25" s="27">
        <f t="shared" si="26"/>
        <v>106</v>
      </c>
      <c r="F25" s="27">
        <f t="shared" si="26"/>
        <v>590</v>
      </c>
      <c r="G25" s="27">
        <f t="shared" ref="G25" si="27">SUM(G18:G24)</f>
        <v>342.39</v>
      </c>
      <c r="H25" s="27">
        <f t="shared" si="26"/>
        <v>233.2</v>
      </c>
      <c r="I25" s="27">
        <f t="shared" si="26"/>
        <v>84130.28</v>
      </c>
      <c r="J25" s="27">
        <f t="shared" si="26"/>
        <v>19648.96</v>
      </c>
      <c r="K25" s="27">
        <f t="shared" si="26"/>
        <v>64281.100000000006</v>
      </c>
      <c r="L25" s="27">
        <f t="shared" si="26"/>
        <v>60898.63</v>
      </c>
      <c r="M25" s="27">
        <f t="shared" si="26"/>
        <v>379.12000000000006</v>
      </c>
      <c r="N25" s="27">
        <f t="shared" si="26"/>
        <v>307.08000000000004</v>
      </c>
      <c r="O25" s="27">
        <f t="shared" si="26"/>
        <v>2696.27</v>
      </c>
      <c r="P25" s="27">
        <f t="shared" ref="P25" si="28">SUM(P18:P24)</f>
        <v>53</v>
      </c>
      <c r="Q25" s="27">
        <f t="shared" si="26"/>
        <v>540.92000000000007</v>
      </c>
      <c r="R25" s="27">
        <f t="shared" si="26"/>
        <v>168.62</v>
      </c>
      <c r="S25" s="27">
        <f t="shared" si="26"/>
        <v>289</v>
      </c>
      <c r="T25" s="27">
        <f t="shared" si="26"/>
        <v>18668.77</v>
      </c>
      <c r="U25" s="27">
        <f t="shared" si="26"/>
        <v>3150</v>
      </c>
      <c r="V25" s="27">
        <f t="shared" si="26"/>
        <v>18.349999999999454</v>
      </c>
      <c r="W25" s="27">
        <f t="shared" si="26"/>
        <v>-104.02000000000044</v>
      </c>
      <c r="X25" s="27">
        <f t="shared" si="26"/>
        <v>108.2</v>
      </c>
      <c r="Y25" s="27">
        <f t="shared" si="26"/>
        <v>96.2</v>
      </c>
      <c r="Z25" s="27">
        <f t="shared" si="26"/>
        <v>3120</v>
      </c>
      <c r="AA25" s="27">
        <f t="shared" si="26"/>
        <v>2886.8</v>
      </c>
    </row>
    <row r="26" spans="1:27" s="35" customFormat="1" ht="18.75">
      <c r="A26" s="9">
        <v>44795</v>
      </c>
      <c r="B26" s="10" t="s">
        <v>23</v>
      </c>
      <c r="C26" s="11">
        <v>8184.33</v>
      </c>
      <c r="D26" s="11">
        <v>3310.76</v>
      </c>
      <c r="E26" s="11">
        <v>2.5</v>
      </c>
      <c r="F26" s="11">
        <v>18</v>
      </c>
      <c r="G26" s="11">
        <v>10</v>
      </c>
      <c r="H26" s="11">
        <v>30</v>
      </c>
      <c r="I26" s="11">
        <f t="shared" ref="I26:I32" si="29">SUM(C26:H26,R26)</f>
        <v>11595.59</v>
      </c>
      <c r="J26" s="11">
        <v>2499.15</v>
      </c>
      <c r="K26" s="11">
        <f>SUM(L26:O26)</f>
        <v>9065.5400000000009</v>
      </c>
      <c r="L26" s="11">
        <f>9065.54-669.68</f>
        <v>8395.86</v>
      </c>
      <c r="M26" s="11">
        <v>0</v>
      </c>
      <c r="N26" s="11">
        <v>0</v>
      </c>
      <c r="O26" s="11">
        <v>669.68</v>
      </c>
      <c r="P26" s="11">
        <v>333.07</v>
      </c>
      <c r="Q26" s="11">
        <v>77.400000000000006</v>
      </c>
      <c r="R26" s="33">
        <v>40</v>
      </c>
      <c r="S26" s="33">
        <v>10</v>
      </c>
      <c r="T26" s="11">
        <v>2375.3200000000002</v>
      </c>
      <c r="U26" s="11">
        <v>450</v>
      </c>
      <c r="V26" s="31">
        <f t="shared" ref="V26:V32" si="30">SUM(Q26,R26,S26,T26)-J26</f>
        <v>3.5700000000001637</v>
      </c>
      <c r="W26" s="32">
        <f>SUM(J26+K26+Y26)-(I26)</f>
        <v>-0.8999999999996362</v>
      </c>
      <c r="X26" s="33">
        <f>SUM(H26-Y26)</f>
        <v>0</v>
      </c>
      <c r="Y26" s="33">
        <v>30</v>
      </c>
      <c r="Z26" s="33">
        <v>470</v>
      </c>
      <c r="AA26" s="33">
        <f t="shared" si="4"/>
        <v>440</v>
      </c>
    </row>
    <row r="27" spans="1:27" s="35" customFormat="1" ht="18.75">
      <c r="A27" s="9">
        <v>44796</v>
      </c>
      <c r="B27" s="10" t="s">
        <v>24</v>
      </c>
      <c r="C27" s="11">
        <v>5814.19</v>
      </c>
      <c r="D27" s="11">
        <v>3055.15</v>
      </c>
      <c r="E27" s="11">
        <v>32.5</v>
      </c>
      <c r="F27" s="11">
        <v>89</v>
      </c>
      <c r="G27" s="11">
        <v>10</v>
      </c>
      <c r="H27" s="11">
        <v>40</v>
      </c>
      <c r="I27" s="11">
        <f t="shared" si="29"/>
        <v>9040.84</v>
      </c>
      <c r="J27" s="11">
        <v>1858.63</v>
      </c>
      <c r="K27" s="11">
        <f t="shared" ref="K27:K32" si="31">SUM(L27:O27)</f>
        <v>7145.8</v>
      </c>
      <c r="L27" s="11">
        <f>7145.8-150.01-460.46</f>
        <v>6535.33</v>
      </c>
      <c r="M27" s="11">
        <v>0</v>
      </c>
      <c r="N27" s="11">
        <v>150.01</v>
      </c>
      <c r="O27" s="11">
        <v>460.46</v>
      </c>
      <c r="P27" s="11">
        <v>115.5</v>
      </c>
      <c r="Q27" s="11">
        <v>0</v>
      </c>
      <c r="R27" s="33">
        <v>0</v>
      </c>
      <c r="S27" s="33">
        <v>44.8</v>
      </c>
      <c r="T27" s="11">
        <v>1806.6</v>
      </c>
      <c r="U27" s="11">
        <v>450</v>
      </c>
      <c r="V27" s="31">
        <f t="shared" si="30"/>
        <v>-7.2300000000002456</v>
      </c>
      <c r="W27" s="32">
        <f t="shared" ref="W27:W34" si="32">SUM(J27+K27+Y27)-(I27)</f>
        <v>3.5900000000001455</v>
      </c>
      <c r="X27" s="33">
        <f t="shared" ref="X27:X32" si="33">SUM(H27-Y27)</f>
        <v>0</v>
      </c>
      <c r="Y27" s="33">
        <v>40</v>
      </c>
      <c r="Z27" s="33">
        <v>890</v>
      </c>
      <c r="AA27" s="33">
        <f t="shared" si="4"/>
        <v>850</v>
      </c>
    </row>
    <row r="28" spans="1:27" s="35" customFormat="1" ht="18.75">
      <c r="A28" s="9">
        <v>44797</v>
      </c>
      <c r="B28" s="10" t="s">
        <v>25</v>
      </c>
      <c r="C28" s="11">
        <v>7153.19</v>
      </c>
      <c r="D28" s="11">
        <v>3473.79</v>
      </c>
      <c r="E28" s="11">
        <v>3.5</v>
      </c>
      <c r="F28" s="11">
        <v>41</v>
      </c>
      <c r="G28" s="11">
        <v>0</v>
      </c>
      <c r="H28" s="11">
        <v>0</v>
      </c>
      <c r="I28" s="11">
        <f t="shared" si="29"/>
        <v>10681.48</v>
      </c>
      <c r="J28" s="11">
        <v>2579.4</v>
      </c>
      <c r="K28" s="11">
        <f t="shared" si="31"/>
        <v>8101.18</v>
      </c>
      <c r="L28" s="11">
        <f>8101.18-129.73-246.97-32.07</f>
        <v>7692.4100000000008</v>
      </c>
      <c r="M28" s="11">
        <v>32.07</v>
      </c>
      <c r="N28" s="11">
        <v>129.72999999999999</v>
      </c>
      <c r="O28" s="11">
        <v>246.97</v>
      </c>
      <c r="P28" s="11">
        <v>350.55</v>
      </c>
      <c r="Q28" s="11">
        <v>0</v>
      </c>
      <c r="R28" s="33">
        <v>10</v>
      </c>
      <c r="S28" s="33">
        <v>20</v>
      </c>
      <c r="T28" s="11">
        <v>2548.9699999999998</v>
      </c>
      <c r="U28" s="11">
        <v>450</v>
      </c>
      <c r="V28" s="31">
        <f t="shared" si="30"/>
        <v>-0.43000000000029104</v>
      </c>
      <c r="W28" s="32">
        <f t="shared" si="32"/>
        <v>-0.8999999999996362</v>
      </c>
      <c r="X28" s="33">
        <f t="shared" si="33"/>
        <v>0</v>
      </c>
      <c r="Y28" s="33">
        <v>0</v>
      </c>
      <c r="Z28" s="33">
        <v>340</v>
      </c>
      <c r="AA28" s="33">
        <f t="shared" si="4"/>
        <v>340</v>
      </c>
    </row>
    <row r="29" spans="1:27" s="35" customFormat="1" ht="18.75">
      <c r="A29" s="9">
        <v>44798</v>
      </c>
      <c r="B29" s="10" t="s">
        <v>26</v>
      </c>
      <c r="C29" s="11">
        <v>8190.35</v>
      </c>
      <c r="D29" s="11">
        <v>4158.51</v>
      </c>
      <c r="E29" s="11">
        <v>8</v>
      </c>
      <c r="F29" s="11">
        <v>25</v>
      </c>
      <c r="G29" s="11">
        <v>30</v>
      </c>
      <c r="H29" s="11">
        <v>539.16</v>
      </c>
      <c r="I29" s="11">
        <f t="shared" si="29"/>
        <v>12971.02</v>
      </c>
      <c r="J29" s="11">
        <v>2592.65</v>
      </c>
      <c r="K29" s="11">
        <f t="shared" si="31"/>
        <v>9878.91</v>
      </c>
      <c r="L29" s="11">
        <f>9878.91-27.23-293.5</f>
        <v>9558.18</v>
      </c>
      <c r="M29" s="11">
        <v>27.23</v>
      </c>
      <c r="N29" s="11">
        <v>0</v>
      </c>
      <c r="O29" s="11">
        <v>293.5</v>
      </c>
      <c r="P29" s="11">
        <v>365.89</v>
      </c>
      <c r="Q29" s="11">
        <v>973.41</v>
      </c>
      <c r="R29" s="33">
        <v>20</v>
      </c>
      <c r="S29" s="33">
        <v>33</v>
      </c>
      <c r="T29" s="11">
        <v>1568.95</v>
      </c>
      <c r="U29" s="11">
        <v>450</v>
      </c>
      <c r="V29" s="31">
        <f t="shared" si="30"/>
        <v>2.7099999999995816</v>
      </c>
      <c r="W29" s="32">
        <f t="shared" si="32"/>
        <v>-474.46000000000095</v>
      </c>
      <c r="X29" s="33">
        <v>40</v>
      </c>
      <c r="Y29" s="33">
        <v>25</v>
      </c>
      <c r="Z29" s="33">
        <v>170</v>
      </c>
      <c r="AA29" s="33">
        <f t="shared" si="4"/>
        <v>-369.15999999999997</v>
      </c>
    </row>
    <row r="30" spans="1:27" s="35" customFormat="1" ht="18.75">
      <c r="A30" s="9">
        <v>44799</v>
      </c>
      <c r="B30" s="10" t="s">
        <v>20</v>
      </c>
      <c r="C30" s="11">
        <v>10756.25</v>
      </c>
      <c r="D30" s="11">
        <v>4603.5</v>
      </c>
      <c r="E30" s="11">
        <v>40</v>
      </c>
      <c r="F30" s="11">
        <v>125</v>
      </c>
      <c r="G30" s="11">
        <v>120</v>
      </c>
      <c r="H30" s="11">
        <v>70</v>
      </c>
      <c r="I30" s="11">
        <f t="shared" si="29"/>
        <v>15716.75</v>
      </c>
      <c r="J30" s="11">
        <v>2844.85</v>
      </c>
      <c r="K30" s="11">
        <f t="shared" si="31"/>
        <v>12754.81</v>
      </c>
      <c r="L30" s="11">
        <f>12754.81-59.94-334.2</f>
        <v>12360.669999999998</v>
      </c>
      <c r="M30" s="11">
        <v>0</v>
      </c>
      <c r="N30" s="11">
        <v>59.94</v>
      </c>
      <c r="O30" s="11">
        <v>334.2</v>
      </c>
      <c r="P30" s="11">
        <v>195.08</v>
      </c>
      <c r="Q30" s="11">
        <v>0</v>
      </c>
      <c r="R30" s="33">
        <v>2</v>
      </c>
      <c r="S30" s="33">
        <v>40.299999999999997</v>
      </c>
      <c r="T30" s="11">
        <v>2800.29</v>
      </c>
      <c r="U30" s="11">
        <v>450</v>
      </c>
      <c r="V30" s="31">
        <f t="shared" si="30"/>
        <v>-2.2599999999997635</v>
      </c>
      <c r="W30" s="32">
        <f t="shared" si="32"/>
        <v>-67.090000000000146</v>
      </c>
      <c r="X30" s="33">
        <f t="shared" si="33"/>
        <v>20</v>
      </c>
      <c r="Y30" s="33">
        <v>50</v>
      </c>
      <c r="Z30" s="33">
        <v>1120</v>
      </c>
      <c r="AA30" s="33">
        <f t="shared" si="4"/>
        <v>1050</v>
      </c>
    </row>
    <row r="31" spans="1:27" s="35" customFormat="1" ht="18.75">
      <c r="A31" s="9">
        <v>44800</v>
      </c>
      <c r="B31" s="10" t="s">
        <v>21</v>
      </c>
      <c r="C31" s="11">
        <v>7466.19</v>
      </c>
      <c r="D31" s="11">
        <v>4776.33</v>
      </c>
      <c r="E31" s="11">
        <v>18</v>
      </c>
      <c r="F31" s="11">
        <v>184</v>
      </c>
      <c r="G31" s="11">
        <v>15</v>
      </c>
      <c r="H31" s="11">
        <v>20</v>
      </c>
      <c r="I31" s="11">
        <f t="shared" si="29"/>
        <v>12544.52</v>
      </c>
      <c r="J31" s="11">
        <v>2576.13</v>
      </c>
      <c r="K31" s="11">
        <f t="shared" si="31"/>
        <v>9932.09</v>
      </c>
      <c r="L31" s="11">
        <f>9932.09-50.97-248.27</f>
        <v>9632.85</v>
      </c>
      <c r="M31" s="11">
        <v>0</v>
      </c>
      <c r="N31" s="11">
        <v>50.97</v>
      </c>
      <c r="O31" s="11">
        <v>248.27</v>
      </c>
      <c r="P31" s="11">
        <v>184</v>
      </c>
      <c r="Q31" s="11">
        <v>0</v>
      </c>
      <c r="R31" s="33">
        <v>65</v>
      </c>
      <c r="S31" s="33">
        <v>104</v>
      </c>
      <c r="T31" s="11">
        <v>2401</v>
      </c>
      <c r="U31" s="11">
        <v>450</v>
      </c>
      <c r="V31" s="31">
        <f t="shared" si="30"/>
        <v>-6.1300000000001091</v>
      </c>
      <c r="W31" s="32">
        <f t="shared" si="32"/>
        <v>-26.299999999999272</v>
      </c>
      <c r="X31" s="33">
        <f t="shared" si="33"/>
        <v>10</v>
      </c>
      <c r="Y31" s="33">
        <v>10</v>
      </c>
      <c r="Z31" s="33">
        <v>470</v>
      </c>
      <c r="AA31" s="33">
        <f t="shared" si="4"/>
        <v>450</v>
      </c>
    </row>
    <row r="32" spans="1:27" s="35" customFormat="1" ht="18.75">
      <c r="A32" s="9">
        <v>44801</v>
      </c>
      <c r="B32" s="10" t="s">
        <v>22</v>
      </c>
      <c r="C32" s="11">
        <v>7112.8</v>
      </c>
      <c r="D32" s="11">
        <v>4395.3900000000003</v>
      </c>
      <c r="E32" s="11">
        <v>2.5</v>
      </c>
      <c r="F32" s="11">
        <v>103</v>
      </c>
      <c r="G32" s="11">
        <v>20</v>
      </c>
      <c r="H32" s="11">
        <v>51</v>
      </c>
      <c r="I32" s="11">
        <f t="shared" si="29"/>
        <v>11784.69</v>
      </c>
      <c r="J32" s="11">
        <v>2205.65</v>
      </c>
      <c r="K32" s="11">
        <f t="shared" si="31"/>
        <v>9579.0400000000009</v>
      </c>
      <c r="L32" s="11">
        <f>9579.04-11.65-322.95</f>
        <v>9244.44</v>
      </c>
      <c r="M32" s="11">
        <v>11.65</v>
      </c>
      <c r="N32" s="11">
        <v>0</v>
      </c>
      <c r="O32" s="11">
        <v>322.95</v>
      </c>
      <c r="P32" s="11">
        <v>104.6</v>
      </c>
      <c r="Q32" s="11">
        <v>0</v>
      </c>
      <c r="R32" s="33">
        <v>100</v>
      </c>
      <c r="S32" s="33">
        <v>91</v>
      </c>
      <c r="T32" s="11">
        <v>2019.55</v>
      </c>
      <c r="U32" s="11">
        <v>450</v>
      </c>
      <c r="V32" s="31">
        <f t="shared" si="30"/>
        <v>4.9000000000000909</v>
      </c>
      <c r="W32" s="32">
        <f t="shared" si="32"/>
        <v>0</v>
      </c>
      <c r="X32" s="33">
        <f t="shared" si="33"/>
        <v>51</v>
      </c>
      <c r="Y32" s="33">
        <v>0</v>
      </c>
      <c r="Z32" s="33">
        <v>920</v>
      </c>
      <c r="AA32" s="33">
        <f t="shared" si="4"/>
        <v>869</v>
      </c>
    </row>
    <row r="33" spans="1:27" ht="37.5" customHeight="1">
      <c r="A33" s="65" t="s">
        <v>27</v>
      </c>
      <c r="B33" s="66"/>
      <c r="C33" s="27">
        <f>SUM(C26:C32)</f>
        <v>54677.3</v>
      </c>
      <c r="D33" s="27">
        <f t="shared" ref="D33:AA33" si="34">SUM(D26:D32)</f>
        <v>27773.43</v>
      </c>
      <c r="E33" s="27">
        <f t="shared" si="34"/>
        <v>107</v>
      </c>
      <c r="F33" s="27">
        <f t="shared" si="34"/>
        <v>585</v>
      </c>
      <c r="G33" s="27">
        <f t="shared" ref="G33" si="35">SUM(G26:G32)</f>
        <v>205</v>
      </c>
      <c r="H33" s="27">
        <f t="shared" si="34"/>
        <v>750.16</v>
      </c>
      <c r="I33" s="27">
        <f t="shared" si="34"/>
        <v>84334.89</v>
      </c>
      <c r="J33" s="27">
        <f t="shared" si="34"/>
        <v>17156.460000000003</v>
      </c>
      <c r="K33" s="27">
        <f t="shared" si="34"/>
        <v>66457.37</v>
      </c>
      <c r="L33" s="27">
        <f t="shared" si="34"/>
        <v>63419.74</v>
      </c>
      <c r="M33" s="27">
        <f t="shared" si="34"/>
        <v>70.95</v>
      </c>
      <c r="N33" s="27">
        <f t="shared" si="34"/>
        <v>390.65</v>
      </c>
      <c r="O33" s="27">
        <f t="shared" si="34"/>
        <v>2576.0299999999997</v>
      </c>
      <c r="P33" s="27">
        <f t="shared" ref="P33" si="36">SUM(P26:P32)</f>
        <v>1648.6899999999998</v>
      </c>
      <c r="Q33" s="27">
        <f t="shared" si="34"/>
        <v>1050.81</v>
      </c>
      <c r="R33" s="27">
        <f t="shared" si="34"/>
        <v>237</v>
      </c>
      <c r="S33" s="27">
        <f t="shared" si="34"/>
        <v>343.1</v>
      </c>
      <c r="T33" s="27">
        <f t="shared" si="34"/>
        <v>15520.68</v>
      </c>
      <c r="U33" s="27">
        <f t="shared" si="34"/>
        <v>3150</v>
      </c>
      <c r="V33" s="27">
        <f t="shared" si="34"/>
        <v>-4.870000000000573</v>
      </c>
      <c r="W33" s="27">
        <f t="shared" si="34"/>
        <v>-566.05999999999949</v>
      </c>
      <c r="X33" s="27">
        <f t="shared" si="34"/>
        <v>121</v>
      </c>
      <c r="Y33" s="27">
        <f t="shared" si="34"/>
        <v>155</v>
      </c>
      <c r="Z33" s="27">
        <f t="shared" si="34"/>
        <v>4380</v>
      </c>
      <c r="AA33" s="27">
        <f t="shared" si="34"/>
        <v>3629.84</v>
      </c>
    </row>
    <row r="34" spans="1:27" ht="20.25" customHeight="1">
      <c r="A34" s="9">
        <v>44802</v>
      </c>
      <c r="B34" s="10" t="s">
        <v>23</v>
      </c>
      <c r="C34" s="11">
        <v>6799.75</v>
      </c>
      <c r="D34" s="11">
        <v>3267.46</v>
      </c>
      <c r="E34" s="11">
        <v>6.5</v>
      </c>
      <c r="F34" s="11">
        <v>92</v>
      </c>
      <c r="G34" s="11">
        <v>75</v>
      </c>
      <c r="H34" s="11">
        <v>10</v>
      </c>
      <c r="I34" s="11">
        <f t="shared" ref="I34:I36" si="37">SUM(C34:H34,R34)</f>
        <v>10280.719999999999</v>
      </c>
      <c r="J34" s="11">
        <v>2206.25</v>
      </c>
      <c r="K34" s="11">
        <f>SUM(L34:O34)</f>
        <v>8073.57</v>
      </c>
      <c r="L34" s="11">
        <f>8073.57-28.09-181.11</f>
        <v>7864.37</v>
      </c>
      <c r="M34" s="11">
        <v>0</v>
      </c>
      <c r="N34" s="11">
        <v>28.09</v>
      </c>
      <c r="O34" s="11">
        <v>181.11</v>
      </c>
      <c r="P34" s="11">
        <v>123.91</v>
      </c>
      <c r="Q34" s="11">
        <v>74.7</v>
      </c>
      <c r="R34" s="33">
        <v>30.01</v>
      </c>
      <c r="S34" s="33">
        <v>30.5</v>
      </c>
      <c r="T34" s="11">
        <v>2076.6</v>
      </c>
      <c r="U34" s="11">
        <v>450</v>
      </c>
      <c r="V34" s="31">
        <f t="shared" ref="V34:V36" si="38">SUM(Q34,R34,S34,T34)-J34</f>
        <v>5.5599999999999454</v>
      </c>
      <c r="W34" s="32">
        <f t="shared" si="32"/>
        <v>-0.8999999999996362</v>
      </c>
      <c r="X34" s="33">
        <f t="shared" ref="X34" si="39">SUM(H34-Y34)</f>
        <v>10</v>
      </c>
      <c r="Y34" s="33">
        <v>0</v>
      </c>
      <c r="Z34" s="33"/>
      <c r="AA34" s="33">
        <f t="shared" si="4"/>
        <v>-10</v>
      </c>
    </row>
    <row r="35" spans="1:27" ht="20.25" customHeight="1">
      <c r="A35" s="9">
        <v>44803</v>
      </c>
      <c r="B35" s="10" t="s">
        <v>24</v>
      </c>
      <c r="C35" s="11">
        <v>8543.4699999999993</v>
      </c>
      <c r="D35" s="11">
        <v>3085.44</v>
      </c>
      <c r="E35" s="11">
        <v>25.5</v>
      </c>
      <c r="F35" s="11">
        <v>105</v>
      </c>
      <c r="G35" s="11">
        <v>10</v>
      </c>
      <c r="H35" s="11">
        <v>516.5</v>
      </c>
      <c r="I35" s="11">
        <f t="shared" si="37"/>
        <v>12306.21</v>
      </c>
      <c r="J35" s="11">
        <v>2490.65</v>
      </c>
      <c r="K35" s="11">
        <f t="shared" ref="K35:K36" si="40">SUM(L35:O35)</f>
        <v>9298.16</v>
      </c>
      <c r="L35" s="11">
        <f>9298.16-406.64-479.7</f>
        <v>8411.82</v>
      </c>
      <c r="M35" s="11">
        <v>0</v>
      </c>
      <c r="N35" s="11">
        <v>406.64</v>
      </c>
      <c r="O35" s="11">
        <v>479.7</v>
      </c>
      <c r="P35" s="11">
        <v>310.82</v>
      </c>
      <c r="Q35" s="11">
        <v>0</v>
      </c>
      <c r="R35" s="33">
        <v>20.3</v>
      </c>
      <c r="S35" s="33">
        <v>40</v>
      </c>
      <c r="T35" s="11">
        <v>2419.83</v>
      </c>
      <c r="U35" s="11">
        <v>450</v>
      </c>
      <c r="V35" s="31">
        <f t="shared" si="38"/>
        <v>-10.519999999999982</v>
      </c>
      <c r="W35" s="32">
        <f t="shared" ref="W35:W36" si="41">SUM(J35+K35+Y35)-(I35)</f>
        <v>-0.8999999999996362</v>
      </c>
      <c r="X35" s="33">
        <f t="shared" ref="X35:X36" si="42">SUM(H35-Y35)</f>
        <v>0</v>
      </c>
      <c r="Y35" s="33">
        <v>516.5</v>
      </c>
      <c r="Z35" s="33"/>
      <c r="AA35" s="33">
        <f t="shared" si="4"/>
        <v>-516.5</v>
      </c>
    </row>
    <row r="36" spans="1:27" ht="20.25" customHeight="1">
      <c r="A36" s="9">
        <v>44804</v>
      </c>
      <c r="B36" s="10" t="s">
        <v>25</v>
      </c>
      <c r="C36" s="11">
        <v>7411.83</v>
      </c>
      <c r="D36" s="11">
        <v>3793.92</v>
      </c>
      <c r="E36" s="11">
        <v>10</v>
      </c>
      <c r="F36" s="11">
        <v>96</v>
      </c>
      <c r="G36" s="11">
        <v>0</v>
      </c>
      <c r="H36" s="11">
        <v>10</v>
      </c>
      <c r="I36" s="11">
        <f t="shared" si="37"/>
        <v>11321.75</v>
      </c>
      <c r="J36" s="11">
        <v>2233.1</v>
      </c>
      <c r="K36" s="11">
        <f t="shared" si="40"/>
        <v>9077.75</v>
      </c>
      <c r="L36" s="11">
        <f>9077.75-857.67</f>
        <v>8220.08</v>
      </c>
      <c r="M36" s="11">
        <v>0</v>
      </c>
      <c r="N36" s="11">
        <v>0</v>
      </c>
      <c r="O36" s="11">
        <v>857.67</v>
      </c>
      <c r="P36" s="11">
        <v>332.25</v>
      </c>
      <c r="Q36" s="11">
        <v>0</v>
      </c>
      <c r="R36" s="33">
        <v>0</v>
      </c>
      <c r="S36" s="33">
        <v>63</v>
      </c>
      <c r="T36" s="11">
        <v>2180.4499999999998</v>
      </c>
      <c r="U36" s="11">
        <v>450</v>
      </c>
      <c r="V36" s="31">
        <f t="shared" si="38"/>
        <v>10.349999999999909</v>
      </c>
      <c r="W36" s="32">
        <f t="shared" si="41"/>
        <v>-0.8999999999996362</v>
      </c>
      <c r="X36" s="33">
        <f t="shared" si="42"/>
        <v>0</v>
      </c>
      <c r="Y36" s="33">
        <v>10</v>
      </c>
      <c r="Z36" s="33"/>
      <c r="AA36" s="33">
        <f t="shared" si="4"/>
        <v>-10</v>
      </c>
    </row>
    <row r="37" spans="1:27" ht="37.5" customHeight="1">
      <c r="A37" s="65" t="s">
        <v>27</v>
      </c>
      <c r="B37" s="66"/>
      <c r="C37" s="27">
        <f t="shared" ref="C37:AA37" si="43">SUM(C34:C36)</f>
        <v>22755.05</v>
      </c>
      <c r="D37" s="27">
        <f t="shared" si="43"/>
        <v>10146.82</v>
      </c>
      <c r="E37" s="27">
        <f t="shared" si="43"/>
        <v>42</v>
      </c>
      <c r="F37" s="27">
        <f t="shared" si="43"/>
        <v>293</v>
      </c>
      <c r="G37" s="27">
        <f t="shared" ref="G37" si="44">SUM(G34:G36)</f>
        <v>85</v>
      </c>
      <c r="H37" s="27">
        <f t="shared" si="43"/>
        <v>536.5</v>
      </c>
      <c r="I37" s="27">
        <f t="shared" si="43"/>
        <v>33908.68</v>
      </c>
      <c r="J37" s="27">
        <f t="shared" si="43"/>
        <v>6930</v>
      </c>
      <c r="K37" s="27">
        <f t="shared" si="43"/>
        <v>26449.48</v>
      </c>
      <c r="L37" s="27">
        <f t="shared" si="43"/>
        <v>24496.269999999997</v>
      </c>
      <c r="M37" s="27">
        <f t="shared" si="43"/>
        <v>0</v>
      </c>
      <c r="N37" s="27">
        <f t="shared" si="43"/>
        <v>434.72999999999996</v>
      </c>
      <c r="O37" s="27">
        <f t="shared" si="43"/>
        <v>1518.48</v>
      </c>
      <c r="P37" s="27">
        <f t="shared" ref="P37" si="45">SUM(P34:P36)</f>
        <v>766.98</v>
      </c>
      <c r="Q37" s="27">
        <f t="shared" si="43"/>
        <v>74.7</v>
      </c>
      <c r="R37" s="27">
        <f t="shared" si="43"/>
        <v>50.31</v>
      </c>
      <c r="S37" s="27">
        <f t="shared" si="43"/>
        <v>133.5</v>
      </c>
      <c r="T37" s="27">
        <f t="shared" si="43"/>
        <v>6676.88</v>
      </c>
      <c r="U37" s="27">
        <f t="shared" si="43"/>
        <v>1350</v>
      </c>
      <c r="V37" s="27">
        <f t="shared" si="43"/>
        <v>5.3899999999998727</v>
      </c>
      <c r="W37" s="27">
        <f t="shared" si="43"/>
        <v>-2.6999999999989086</v>
      </c>
      <c r="X37" s="27">
        <f t="shared" si="43"/>
        <v>10</v>
      </c>
      <c r="Y37" s="27">
        <f t="shared" si="43"/>
        <v>526.5</v>
      </c>
      <c r="Z37" s="27">
        <f t="shared" si="43"/>
        <v>0</v>
      </c>
      <c r="AA37" s="27">
        <f t="shared" si="43"/>
        <v>-536.5</v>
      </c>
    </row>
    <row r="38" spans="1:27" ht="51.75" customHeight="1">
      <c r="A38" s="67" t="s">
        <v>17</v>
      </c>
      <c r="B38" s="68"/>
      <c r="C38" s="30">
        <f t="shared" ref="C38:AA38" si="46">SUM(C33,C25,C17,C9,C37)</f>
        <v>243107.7</v>
      </c>
      <c r="D38" s="30">
        <f t="shared" si="46"/>
        <v>119244.76999999999</v>
      </c>
      <c r="E38" s="30">
        <f t="shared" si="46"/>
        <v>414</v>
      </c>
      <c r="F38" s="30">
        <f t="shared" si="46"/>
        <v>2570</v>
      </c>
      <c r="G38" s="30">
        <f t="shared" ref="G38" si="47">SUM(G33,G25,G17,G9,G37)</f>
        <v>1012.41</v>
      </c>
      <c r="H38" s="30">
        <f t="shared" si="46"/>
        <v>2470.9899999999998</v>
      </c>
      <c r="I38" s="30">
        <f t="shared" si="46"/>
        <v>369461.12999999995</v>
      </c>
      <c r="J38" s="30">
        <f t="shared" si="46"/>
        <v>78707.649999999994</v>
      </c>
      <c r="K38" s="30">
        <f t="shared" si="46"/>
        <v>288705.93</v>
      </c>
      <c r="L38" s="30">
        <f t="shared" si="46"/>
        <v>271873.53000000003</v>
      </c>
      <c r="M38" s="30">
        <f t="shared" si="46"/>
        <v>752.81000000000006</v>
      </c>
      <c r="N38" s="30">
        <f t="shared" si="46"/>
        <v>3796.18</v>
      </c>
      <c r="O38" s="30">
        <f t="shared" si="46"/>
        <v>12283.41</v>
      </c>
      <c r="P38" s="30">
        <f t="shared" ref="P38" si="48">SUM(P33,P25,P17,P9,P37)</f>
        <v>2468.67</v>
      </c>
      <c r="Q38" s="30">
        <f t="shared" si="46"/>
        <v>3241.83</v>
      </c>
      <c r="R38" s="30">
        <f t="shared" si="46"/>
        <v>641.26</v>
      </c>
      <c r="S38" s="30">
        <f t="shared" si="46"/>
        <v>1271.5</v>
      </c>
      <c r="T38" s="30">
        <f t="shared" si="46"/>
        <v>73122.92</v>
      </c>
      <c r="U38" s="30">
        <f t="shared" si="46"/>
        <v>13950</v>
      </c>
      <c r="V38" s="30">
        <f t="shared" si="46"/>
        <v>-430.14000000000078</v>
      </c>
      <c r="W38" s="30">
        <f t="shared" si="46"/>
        <v>-530.44999999999527</v>
      </c>
      <c r="X38" s="30">
        <f t="shared" si="46"/>
        <v>450.93</v>
      </c>
      <c r="Y38" s="30">
        <f t="shared" si="46"/>
        <v>1517.1</v>
      </c>
      <c r="Z38" s="30">
        <f t="shared" si="46"/>
        <v>14150</v>
      </c>
      <c r="AA38" s="30">
        <f t="shared" si="46"/>
        <v>11679.01</v>
      </c>
    </row>
    <row r="40" spans="1:27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</row>
    <row r="41" spans="1:27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</row>
    <row r="42" spans="1:27"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</row>
    <row r="43" spans="1:27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</row>
    <row r="44" spans="1:27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</row>
    <row r="46" spans="1:27" hidden="1"/>
    <row r="47" spans="1:27" ht="18.75" hidden="1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33"/>
      <c r="S47" s="33"/>
      <c r="T47" s="11"/>
      <c r="U47" s="11"/>
      <c r="V47" s="31"/>
      <c r="W47" s="32"/>
      <c r="X47" s="33"/>
      <c r="Y47" s="33"/>
      <c r="Z47" s="33"/>
      <c r="AA47" s="33"/>
    </row>
    <row r="48" spans="1:27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33"/>
      <c r="S48" s="33"/>
      <c r="T48" s="11"/>
      <c r="U48" s="11"/>
      <c r="V48" s="31"/>
      <c r="W48" s="32"/>
      <c r="X48" s="33"/>
      <c r="Y48" s="33"/>
      <c r="Z48" s="33"/>
      <c r="AA48" s="33"/>
    </row>
    <row r="49" spans="1:27" s="28" customFormat="1" ht="18.75" hidden="1">
      <c r="A49"/>
      <c r="B4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33"/>
      <c r="S49" s="33"/>
      <c r="T49" s="11"/>
      <c r="U49" s="11"/>
      <c r="V49" s="31"/>
      <c r="W49" s="32"/>
      <c r="X49" s="33"/>
      <c r="Y49" s="33"/>
      <c r="Z49" s="33"/>
      <c r="AA49" s="33"/>
    </row>
    <row r="50" spans="1:27" s="28" customFormat="1" hidden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</row>
    <row r="51" spans="1:27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</row>
    <row r="52" spans="1:27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</row>
  </sheetData>
  <sheetProtection password="CCFB" sheet="1" objects="1" scenarios="1"/>
  <mergeCells count="6">
    <mergeCell ref="A38:B38"/>
    <mergeCell ref="A9:B9"/>
    <mergeCell ref="A17:B17"/>
    <mergeCell ref="A25:B25"/>
    <mergeCell ref="A33:B33"/>
    <mergeCell ref="A37:B37"/>
  </mergeCells>
  <conditionalFormatting sqref="V47:W49 V10:W16 V18:W24 V26:W32 V34:W36 V2:W8">
    <cfRule type="cellIs" dxfId="215" priority="7" operator="lessThan">
      <formula>0</formula>
    </cfRule>
    <cfRule type="cellIs" dxfId="214" priority="8" operator="greaterThan">
      <formula>0</formula>
    </cfRule>
  </conditionalFormatting>
  <conditionalFormatting sqref="V47:X49 V18:X24 V26:X32 V34:X36 V2:X8 V10:X16">
    <cfRule type="cellIs" dxfId="213" priority="4" operator="equal">
      <formula>0</formula>
    </cfRule>
    <cfRule type="cellIs" dxfId="212" priority="5" operator="lessThan">
      <formula>0</formula>
    </cfRule>
    <cfRule type="cellIs" dxfId="211" priority="6" operator="greaterThan">
      <formula>0</formula>
    </cfRule>
  </conditionalFormatting>
  <conditionalFormatting sqref="AA2:AA8 AA10:AA16 AA18:AA24 AA26:AA32 AA34:AA36">
    <cfRule type="cellIs" dxfId="210" priority="1" operator="equal">
      <formula>0</formula>
    </cfRule>
    <cfRule type="cellIs" dxfId="209" priority="2" operator="lessThan">
      <formula>0</formula>
    </cfRule>
    <cfRule type="cellIs" dxfId="208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F54"/>
  <sheetViews>
    <sheetView topLeftCell="H4" zoomScale="60" zoomScaleNormal="60" workbookViewId="0">
      <selection activeCell="AC34" sqref="AC34:AC38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4" width="14" customWidth="1"/>
    <col min="15" max="15" width="16.42578125" customWidth="1"/>
    <col min="16" max="17" width="15.5703125" customWidth="1"/>
    <col min="18" max="18" width="13.85546875" customWidth="1"/>
    <col min="19" max="19" width="13.5703125" customWidth="1"/>
    <col min="20" max="20" width="14.28515625" customWidth="1"/>
    <col min="21" max="21" width="13" customWidth="1"/>
    <col min="22" max="22" width="14.85546875" customWidth="1"/>
    <col min="23" max="23" width="15.85546875" customWidth="1"/>
    <col min="24" max="26" width="16.5703125" customWidth="1"/>
    <col min="27" max="27" width="14" customWidth="1"/>
    <col min="28" max="28" width="13" customWidth="1"/>
    <col min="29" max="29" width="14.85546875" customWidth="1"/>
    <col min="30" max="30" width="15.5703125" customWidth="1"/>
  </cols>
  <sheetData>
    <row r="1" spans="1:30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8</v>
      </c>
      <c r="P1" s="8" t="s">
        <v>28</v>
      </c>
      <c r="Q1" s="8" t="s">
        <v>92</v>
      </c>
      <c r="R1" s="8" t="s">
        <v>9</v>
      </c>
      <c r="S1" s="8" t="s">
        <v>10</v>
      </c>
      <c r="T1" s="8" t="s">
        <v>11</v>
      </c>
      <c r="U1" s="8" t="s">
        <v>12</v>
      </c>
      <c r="V1" s="8" t="s">
        <v>13</v>
      </c>
      <c r="W1" s="8" t="s">
        <v>14</v>
      </c>
      <c r="X1" s="8" t="s">
        <v>34</v>
      </c>
      <c r="Y1" s="23" t="s">
        <v>94</v>
      </c>
      <c r="Z1" s="23" t="s">
        <v>95</v>
      </c>
      <c r="AA1" s="23" t="s">
        <v>39</v>
      </c>
      <c r="AB1" s="23" t="s">
        <v>40</v>
      </c>
      <c r="AC1" s="23" t="s">
        <v>78</v>
      </c>
      <c r="AD1" s="23" t="s">
        <v>79</v>
      </c>
    </row>
    <row r="2" spans="1:30" ht="20.25" customHeight="1">
      <c r="A2" s="9">
        <v>44802</v>
      </c>
      <c r="B2" s="10" t="s">
        <v>23</v>
      </c>
      <c r="C2" s="11">
        <v>6799.75</v>
      </c>
      <c r="D2" s="11">
        <v>3267.46</v>
      </c>
      <c r="E2" s="11">
        <v>6.5</v>
      </c>
      <c r="F2" s="11">
        <v>92</v>
      </c>
      <c r="G2" s="11">
        <v>75</v>
      </c>
      <c r="H2" s="11">
        <v>10</v>
      </c>
      <c r="I2" s="11">
        <f t="shared" ref="I2:I4" si="0">SUM(C2:H2,S2)</f>
        <v>10280.719999999999</v>
      </c>
      <c r="J2" s="11">
        <v>2206.25</v>
      </c>
      <c r="K2" s="11">
        <v>0.9</v>
      </c>
      <c r="L2" s="11">
        <f>SUM(M2:P2)</f>
        <v>8073.57</v>
      </c>
      <c r="M2" s="11">
        <f>SUM(8073.57-28.09)-181.11</f>
        <v>7864.37</v>
      </c>
      <c r="N2" s="11">
        <v>0</v>
      </c>
      <c r="O2" s="11">
        <v>28.09</v>
      </c>
      <c r="P2" s="11">
        <v>181.11</v>
      </c>
      <c r="Q2" s="11">
        <v>123.91</v>
      </c>
      <c r="R2" s="11">
        <v>74.7</v>
      </c>
      <c r="S2" s="33">
        <v>30.01</v>
      </c>
      <c r="T2" s="33">
        <v>30.5</v>
      </c>
      <c r="U2" s="11">
        <v>2076.6</v>
      </c>
      <c r="V2" s="11">
        <v>450</v>
      </c>
      <c r="W2" s="31">
        <f t="shared" ref="W2:W4" si="1">SUM(R2,S2,T2,U2)-J2</f>
        <v>5.5599999999999454</v>
      </c>
      <c r="X2" s="32">
        <f>SUM(J2+K2+L2+AB2)-(I2)</f>
        <v>0</v>
      </c>
      <c r="Y2" s="32">
        <f>SUM(G2-Z2)</f>
        <v>75</v>
      </c>
      <c r="Z2" s="32"/>
      <c r="AA2" s="33">
        <f t="shared" ref="AA2" si="2">SUM(H2-AB2)</f>
        <v>10</v>
      </c>
      <c r="AB2" s="33">
        <v>0</v>
      </c>
      <c r="AC2" s="33">
        <v>190</v>
      </c>
      <c r="AD2" s="33">
        <f t="shared" ref="AD2:AD4" si="3">SUM(AC2-H2)</f>
        <v>180</v>
      </c>
    </row>
    <row r="3" spans="1:30" ht="20.25" customHeight="1">
      <c r="A3" s="9">
        <v>44803</v>
      </c>
      <c r="B3" s="10" t="s">
        <v>24</v>
      </c>
      <c r="C3" s="11">
        <v>8543.4699999999993</v>
      </c>
      <c r="D3" s="11">
        <v>3085.44</v>
      </c>
      <c r="E3" s="11">
        <v>25.5</v>
      </c>
      <c r="F3" s="11">
        <v>105</v>
      </c>
      <c r="G3" s="11">
        <v>10</v>
      </c>
      <c r="H3" s="11">
        <v>516.5</v>
      </c>
      <c r="I3" s="11">
        <f t="shared" si="0"/>
        <v>12306.21</v>
      </c>
      <c r="J3" s="11">
        <v>2490.65</v>
      </c>
      <c r="K3" s="11">
        <v>0.9</v>
      </c>
      <c r="L3" s="11">
        <f t="shared" ref="L3:L4" si="4">SUM(M3:P3)</f>
        <v>9298.16</v>
      </c>
      <c r="M3" s="11">
        <f>9298.16-406.64-479.7</f>
        <v>8411.82</v>
      </c>
      <c r="N3" s="11">
        <v>0</v>
      </c>
      <c r="O3" s="11">
        <v>406.64</v>
      </c>
      <c r="P3" s="11">
        <v>479.7</v>
      </c>
      <c r="Q3" s="11">
        <v>310.82</v>
      </c>
      <c r="R3" s="11">
        <v>0</v>
      </c>
      <c r="S3" s="33">
        <v>20.3</v>
      </c>
      <c r="T3" s="33">
        <v>40</v>
      </c>
      <c r="U3" s="11">
        <v>2419.83</v>
      </c>
      <c r="V3" s="11">
        <v>450</v>
      </c>
      <c r="W3" s="31">
        <f t="shared" si="1"/>
        <v>-10.519999999999982</v>
      </c>
      <c r="X3" s="32">
        <f t="shared" ref="X3:X8" si="5">SUM(J3+K3+L3+AB3)-(I3)</f>
        <v>0</v>
      </c>
      <c r="Y3" s="32">
        <f t="shared" ref="Y3:Y8" si="6">SUM(G3-Z3)</f>
        <v>10</v>
      </c>
      <c r="Z3" s="32"/>
      <c r="AA3" s="33">
        <f t="shared" ref="AA3:AA4" si="7">SUM(H3-AB3)</f>
        <v>0</v>
      </c>
      <c r="AB3" s="33">
        <v>516.5</v>
      </c>
      <c r="AC3" s="33">
        <v>610</v>
      </c>
      <c r="AD3" s="33">
        <f t="shared" si="3"/>
        <v>93.5</v>
      </c>
    </row>
    <row r="4" spans="1:30" ht="20.25" customHeight="1">
      <c r="A4" s="9">
        <v>44804</v>
      </c>
      <c r="B4" s="10" t="s">
        <v>25</v>
      </c>
      <c r="C4" s="11">
        <v>7411.83</v>
      </c>
      <c r="D4" s="11">
        <v>3793.92</v>
      </c>
      <c r="E4" s="11">
        <v>10</v>
      </c>
      <c r="F4" s="11">
        <v>96</v>
      </c>
      <c r="G4" s="11">
        <v>0</v>
      </c>
      <c r="H4" s="11">
        <v>10</v>
      </c>
      <c r="I4" s="11">
        <f t="shared" si="0"/>
        <v>11321.75</v>
      </c>
      <c r="J4" s="11">
        <f>2233.1</f>
        <v>2233.1</v>
      </c>
      <c r="K4" s="11">
        <v>0.9</v>
      </c>
      <c r="L4" s="11">
        <f t="shared" si="4"/>
        <v>9077.75</v>
      </c>
      <c r="M4" s="11">
        <f>9077.75-857.67</f>
        <v>8220.08</v>
      </c>
      <c r="N4" s="11">
        <v>0</v>
      </c>
      <c r="O4" s="11">
        <v>0</v>
      </c>
      <c r="P4" s="11">
        <v>857.67</v>
      </c>
      <c r="Q4" s="11">
        <v>332.25</v>
      </c>
      <c r="R4" s="11">
        <v>0</v>
      </c>
      <c r="S4" s="33">
        <v>0</v>
      </c>
      <c r="T4" s="33">
        <v>63</v>
      </c>
      <c r="U4" s="11">
        <v>2180.4499999999998</v>
      </c>
      <c r="V4" s="11">
        <v>450</v>
      </c>
      <c r="W4" s="31">
        <f t="shared" si="1"/>
        <v>10.349999999999909</v>
      </c>
      <c r="X4" s="32">
        <f t="shared" si="5"/>
        <v>0</v>
      </c>
      <c r="Y4" s="32">
        <f t="shared" si="6"/>
        <v>0</v>
      </c>
      <c r="Z4" s="32"/>
      <c r="AA4" s="33">
        <f t="shared" si="7"/>
        <v>0</v>
      </c>
      <c r="AB4" s="33">
        <v>10</v>
      </c>
      <c r="AC4" s="33">
        <v>300</v>
      </c>
      <c r="AD4" s="33">
        <f t="shared" si="3"/>
        <v>290</v>
      </c>
    </row>
    <row r="5" spans="1:30" ht="20.25" customHeight="1">
      <c r="A5" s="9">
        <v>44805</v>
      </c>
      <c r="B5" s="10" t="s">
        <v>26</v>
      </c>
      <c r="C5" s="11">
        <v>8284.02</v>
      </c>
      <c r="D5" s="11">
        <v>3381.83</v>
      </c>
      <c r="E5" s="11">
        <v>17</v>
      </c>
      <c r="F5" s="11">
        <v>92</v>
      </c>
      <c r="G5" s="11">
        <v>5</v>
      </c>
      <c r="H5" s="11">
        <v>16.04</v>
      </c>
      <c r="I5" s="11">
        <f>SUM(C5:H5,S5)</f>
        <v>11847.890000000001</v>
      </c>
      <c r="J5" s="11">
        <v>1951.62</v>
      </c>
      <c r="K5" s="11">
        <v>0.9</v>
      </c>
      <c r="L5" s="11">
        <f t="shared" ref="L5:L38" si="8">SUM(M5:Q5)</f>
        <v>10166.900000000001</v>
      </c>
      <c r="M5" s="11">
        <f>9895.37-47.96-487.75</f>
        <v>9359.6600000000017</v>
      </c>
      <c r="N5" s="11">
        <v>0</v>
      </c>
      <c r="O5" s="11">
        <v>47.96</v>
      </c>
      <c r="P5" s="11">
        <v>487.75</v>
      </c>
      <c r="Q5" s="11">
        <v>271.52999999999997</v>
      </c>
      <c r="R5" s="11">
        <v>181.35</v>
      </c>
      <c r="S5" s="33">
        <v>52</v>
      </c>
      <c r="T5" s="33">
        <v>49</v>
      </c>
      <c r="U5" s="11">
        <v>1654.85</v>
      </c>
      <c r="V5" s="11">
        <v>450</v>
      </c>
      <c r="W5" s="31">
        <f>SUM(R5,S5,T5,U5)-J5</f>
        <v>-14.420000000000073</v>
      </c>
      <c r="X5" s="32">
        <f t="shared" si="5"/>
        <v>271.53000000000065</v>
      </c>
      <c r="Y5" s="32">
        <f t="shared" si="6"/>
        <v>5</v>
      </c>
      <c r="Z5" s="32"/>
      <c r="AA5" s="33">
        <f>SUM(H5-AB5)</f>
        <v>16.04</v>
      </c>
      <c r="AB5" s="33">
        <v>0</v>
      </c>
      <c r="AC5" s="33">
        <v>560</v>
      </c>
      <c r="AD5" s="33">
        <f>SUM(AC5-H5)</f>
        <v>543.96</v>
      </c>
    </row>
    <row r="6" spans="1:30" ht="20.25" customHeight="1">
      <c r="A6" s="9">
        <v>44806</v>
      </c>
      <c r="B6" s="10" t="s">
        <v>20</v>
      </c>
      <c r="C6" s="11">
        <v>10058.44</v>
      </c>
      <c r="D6" s="11">
        <v>4435.3100000000004</v>
      </c>
      <c r="E6" s="11">
        <v>93.5</v>
      </c>
      <c r="F6" s="11">
        <v>149</v>
      </c>
      <c r="G6" s="11">
        <v>10</v>
      </c>
      <c r="H6" s="11">
        <v>96</v>
      </c>
      <c r="I6" s="11">
        <f>SUM(C6:H6,S6)</f>
        <v>14862.25</v>
      </c>
      <c r="J6" s="11">
        <v>3175.52</v>
      </c>
      <c r="K6" s="11">
        <v>0.9</v>
      </c>
      <c r="L6" s="11">
        <f t="shared" si="8"/>
        <v>11609.830000000002</v>
      </c>
      <c r="M6" s="11">
        <f>11609.83-211.62-585.96-164.79</f>
        <v>10647.46</v>
      </c>
      <c r="N6" s="11">
        <v>0</v>
      </c>
      <c r="O6" s="11">
        <v>211.62</v>
      </c>
      <c r="P6" s="11">
        <v>585.96</v>
      </c>
      <c r="Q6" s="11">
        <v>164.79</v>
      </c>
      <c r="R6" s="11">
        <v>252.33</v>
      </c>
      <c r="S6" s="33">
        <v>20</v>
      </c>
      <c r="T6" s="33">
        <v>40.4</v>
      </c>
      <c r="U6" s="11">
        <v>2865.24</v>
      </c>
      <c r="V6" s="11">
        <v>450</v>
      </c>
      <c r="W6" s="31">
        <f>SUM(R6,S6,T6,U6)-J6</f>
        <v>2.4499999999998181</v>
      </c>
      <c r="X6" s="32">
        <f t="shared" si="5"/>
        <v>0</v>
      </c>
      <c r="Y6" s="32">
        <f t="shared" si="6"/>
        <v>10</v>
      </c>
      <c r="Z6" s="32"/>
      <c r="AA6" s="33">
        <f>SUM(H6-AB6)</f>
        <v>20</v>
      </c>
      <c r="AB6" s="33">
        <v>76</v>
      </c>
      <c r="AC6" s="33">
        <v>1280</v>
      </c>
      <c r="AD6" s="33">
        <f>SUM(AC6-H6)</f>
        <v>1184</v>
      </c>
    </row>
    <row r="7" spans="1:30" ht="20.25" customHeight="1">
      <c r="A7" s="9">
        <v>44807</v>
      </c>
      <c r="B7" s="10" t="s">
        <v>21</v>
      </c>
      <c r="C7" s="11">
        <v>7139.24</v>
      </c>
      <c r="D7" s="11">
        <v>4257.4799999999996</v>
      </c>
      <c r="E7" s="11">
        <v>50</v>
      </c>
      <c r="F7" s="11">
        <v>99</v>
      </c>
      <c r="G7" s="11">
        <v>30</v>
      </c>
      <c r="H7" s="11">
        <v>32</v>
      </c>
      <c r="I7" s="11">
        <f>SUM(C7:H7,S7)</f>
        <v>11622.72</v>
      </c>
      <c r="J7" s="11">
        <v>2531.0700000000002</v>
      </c>
      <c r="K7" s="11">
        <v>0.9</v>
      </c>
      <c r="L7" s="11">
        <f t="shared" si="8"/>
        <v>9693.69</v>
      </c>
      <c r="M7" s="11">
        <f>9551.08-41.17-124.66-311.22</f>
        <v>9074.0300000000007</v>
      </c>
      <c r="N7" s="11">
        <v>124.66</v>
      </c>
      <c r="O7" s="11">
        <v>41.17</v>
      </c>
      <c r="P7" s="11">
        <v>311.22000000000003</v>
      </c>
      <c r="Q7" s="11">
        <v>142.61000000000001</v>
      </c>
      <c r="R7" s="11">
        <v>0</v>
      </c>
      <c r="S7" s="33">
        <v>15</v>
      </c>
      <c r="T7" s="33">
        <v>145</v>
      </c>
      <c r="U7" s="11">
        <v>2362.1</v>
      </c>
      <c r="V7" s="11">
        <v>450</v>
      </c>
      <c r="W7" s="31">
        <f>SUM(R7,S7,T7,U7)-J7</f>
        <v>-8.9700000000002547</v>
      </c>
      <c r="X7" s="32">
        <f t="shared" si="5"/>
        <v>602.94000000000051</v>
      </c>
      <c r="Y7" s="32">
        <f t="shared" si="6"/>
        <v>30</v>
      </c>
      <c r="Z7" s="32"/>
      <c r="AA7" s="33">
        <f>SUM(H7-AB7)</f>
        <v>32</v>
      </c>
      <c r="AB7" s="33">
        <v>0</v>
      </c>
      <c r="AC7" s="33">
        <v>220</v>
      </c>
      <c r="AD7" s="33">
        <f>SUM(AC7-H7)</f>
        <v>188</v>
      </c>
    </row>
    <row r="8" spans="1:30" ht="18.75">
      <c r="A8" s="9">
        <v>44808</v>
      </c>
      <c r="B8" s="10" t="s">
        <v>22</v>
      </c>
      <c r="C8" s="11">
        <v>6625.55</v>
      </c>
      <c r="D8" s="11">
        <v>3378.76</v>
      </c>
      <c r="E8" s="11">
        <v>0</v>
      </c>
      <c r="F8" s="11">
        <v>219</v>
      </c>
      <c r="G8" s="11">
        <v>20</v>
      </c>
      <c r="H8" s="11">
        <v>8</v>
      </c>
      <c r="I8" s="11">
        <f>SUM(C8:H8,S8)</f>
        <v>10271.310000000001</v>
      </c>
      <c r="J8" s="48">
        <v>1884.87</v>
      </c>
      <c r="K8" s="11">
        <v>1.9</v>
      </c>
      <c r="L8" s="11">
        <v>8386.44</v>
      </c>
      <c r="M8" s="11">
        <f>8386.44-73.02-42.93-181.2</f>
        <v>8089.29</v>
      </c>
      <c r="N8" s="11">
        <v>42.93</v>
      </c>
      <c r="O8" s="11">
        <v>73.02</v>
      </c>
      <c r="P8" s="11">
        <v>181.2</v>
      </c>
      <c r="Q8" s="11">
        <v>125.53</v>
      </c>
      <c r="R8" s="11">
        <v>0</v>
      </c>
      <c r="S8" s="33">
        <v>20</v>
      </c>
      <c r="T8" s="33">
        <v>96</v>
      </c>
      <c r="U8" s="11">
        <v>1790.16</v>
      </c>
      <c r="V8" s="11">
        <v>450</v>
      </c>
      <c r="W8" s="31">
        <f>SUM(R8,S8,T8,U8)-L8</f>
        <v>-6480.2800000000007</v>
      </c>
      <c r="X8" s="32">
        <f t="shared" si="5"/>
        <v>1.8999999999996362</v>
      </c>
      <c r="Y8" s="32">
        <f t="shared" si="6"/>
        <v>20</v>
      </c>
      <c r="Z8" s="32"/>
      <c r="AA8" s="33">
        <f>SUM(H8-AB8)</f>
        <v>8</v>
      </c>
      <c r="AB8" s="33">
        <v>0</v>
      </c>
      <c r="AC8" s="33">
        <v>320</v>
      </c>
      <c r="AD8" s="33">
        <f>SUM(AC8-H8)</f>
        <v>312</v>
      </c>
    </row>
    <row r="9" spans="1:30" ht="37.5" customHeight="1">
      <c r="A9" s="65" t="s">
        <v>27</v>
      </c>
      <c r="B9" s="66"/>
      <c r="C9" s="27">
        <f>SUM(C2:C8)</f>
        <v>54862.3</v>
      </c>
      <c r="D9" s="27">
        <f t="shared" ref="D9:AD9" si="9">SUM(D2:D8)</f>
        <v>25600.199999999997</v>
      </c>
      <c r="E9" s="27">
        <f t="shared" si="9"/>
        <v>202.5</v>
      </c>
      <c r="F9" s="27">
        <f t="shared" si="9"/>
        <v>852</v>
      </c>
      <c r="G9" s="27">
        <f t="shared" si="9"/>
        <v>150</v>
      </c>
      <c r="H9" s="27">
        <f t="shared" si="9"/>
        <v>688.54</v>
      </c>
      <c r="I9" s="27">
        <f t="shared" si="9"/>
        <v>82512.849999999991</v>
      </c>
      <c r="J9" s="27">
        <f t="shared" si="9"/>
        <v>16473.079999999998</v>
      </c>
      <c r="K9" s="27">
        <f t="shared" ref="K9" si="10">SUM(K2:K8)</f>
        <v>7.3000000000000007</v>
      </c>
      <c r="L9" s="27">
        <f>SUM(L2:L8)</f>
        <v>66306.340000000011</v>
      </c>
      <c r="M9" s="27">
        <f t="shared" si="9"/>
        <v>61666.71</v>
      </c>
      <c r="N9" s="27">
        <f t="shared" si="9"/>
        <v>167.59</v>
      </c>
      <c r="O9" s="27">
        <f t="shared" si="9"/>
        <v>808.49999999999989</v>
      </c>
      <c r="P9" s="27">
        <f t="shared" si="9"/>
        <v>3084.6099999999997</v>
      </c>
      <c r="Q9" s="27">
        <f t="shared" si="9"/>
        <v>1471.4399999999998</v>
      </c>
      <c r="R9" s="27">
        <f t="shared" si="9"/>
        <v>508.38</v>
      </c>
      <c r="S9" s="27">
        <f t="shared" si="9"/>
        <v>157.31</v>
      </c>
      <c r="T9" s="27">
        <f t="shared" si="9"/>
        <v>463.9</v>
      </c>
      <c r="U9" s="27">
        <f t="shared" si="9"/>
        <v>15349.23</v>
      </c>
      <c r="V9" s="27">
        <f t="shared" si="9"/>
        <v>3150</v>
      </c>
      <c r="W9" s="27">
        <f t="shared" si="9"/>
        <v>-6495.8300000000017</v>
      </c>
      <c r="X9" s="27">
        <f t="shared" si="9"/>
        <v>876.3700000000008</v>
      </c>
      <c r="Y9" s="27">
        <f t="shared" si="9"/>
        <v>150</v>
      </c>
      <c r="Z9" s="27">
        <f t="shared" si="9"/>
        <v>0</v>
      </c>
      <c r="AA9" s="27">
        <f t="shared" si="9"/>
        <v>86.039999999999992</v>
      </c>
      <c r="AB9" s="27">
        <f t="shared" si="9"/>
        <v>602.5</v>
      </c>
      <c r="AC9" s="27">
        <f t="shared" si="9"/>
        <v>3480</v>
      </c>
      <c r="AD9" s="27">
        <f t="shared" si="9"/>
        <v>2791.46</v>
      </c>
    </row>
    <row r="10" spans="1:30" ht="18.75">
      <c r="A10" s="9">
        <v>44809</v>
      </c>
      <c r="B10" s="10" t="s">
        <v>23</v>
      </c>
      <c r="C10" s="11">
        <v>8101.96</v>
      </c>
      <c r="D10" s="11">
        <f>3450.37+86.4</f>
        <v>3536.77</v>
      </c>
      <c r="E10" s="11">
        <v>10.5</v>
      </c>
      <c r="F10" s="11">
        <v>260</v>
      </c>
      <c r="G10" s="11">
        <v>60</v>
      </c>
      <c r="H10" s="11">
        <v>22.5</v>
      </c>
      <c r="I10" s="11">
        <f t="shared" ref="I10:I16" si="11">SUM(C10:H10,S10)</f>
        <v>11991.73</v>
      </c>
      <c r="J10" s="11">
        <f>2763.41+50</f>
        <v>2813.41</v>
      </c>
      <c r="K10" s="11">
        <v>0</v>
      </c>
      <c r="L10" s="11">
        <f t="shared" si="8"/>
        <v>9155.8200000000015</v>
      </c>
      <c r="M10" s="11">
        <f>2779.08+4846.01+10.25+366.02</f>
        <v>8001.3600000000006</v>
      </c>
      <c r="N10" s="11">
        <v>0</v>
      </c>
      <c r="O10" s="11">
        <v>134.13999999999999</v>
      </c>
      <c r="P10" s="11">
        <v>489.31</v>
      </c>
      <c r="Q10" s="11">
        <f>344.81+186.2</f>
        <v>531.01</v>
      </c>
      <c r="R10" s="11">
        <v>86.4</v>
      </c>
      <c r="S10" s="33">
        <v>0</v>
      </c>
      <c r="T10" s="33">
        <v>51</v>
      </c>
      <c r="U10" s="11">
        <f>2627.6+50</f>
        <v>2677.6</v>
      </c>
      <c r="V10" s="11">
        <v>450</v>
      </c>
      <c r="W10" s="31">
        <f t="shared" ref="W10:W16" si="12">SUM(R10,S10,T10,U10)-J10</f>
        <v>1.5900000000001455</v>
      </c>
      <c r="X10" s="32">
        <f>SUM(J10+K10+L10+AB10)-(I10)</f>
        <v>0</v>
      </c>
      <c r="Y10" s="32">
        <f>SUM(G10-Z10)</f>
        <v>60</v>
      </c>
      <c r="Z10" s="32"/>
      <c r="AA10" s="33">
        <f>SUM(H10-AB10)</f>
        <v>0</v>
      </c>
      <c r="AB10" s="33">
        <v>22.5</v>
      </c>
      <c r="AC10" s="33">
        <v>250</v>
      </c>
      <c r="AD10" s="33">
        <f t="shared" ref="AD10:AD16" si="13">SUM(AC10-H10)</f>
        <v>227.5</v>
      </c>
    </row>
    <row r="11" spans="1:30" ht="18.75">
      <c r="A11" s="9">
        <v>44810</v>
      </c>
      <c r="B11" s="10" t="s">
        <v>24</v>
      </c>
      <c r="C11" s="11">
        <v>8883.51</v>
      </c>
      <c r="D11" s="11">
        <f>2578.8+620.38</f>
        <v>3199.1800000000003</v>
      </c>
      <c r="E11" s="11">
        <v>27.5</v>
      </c>
      <c r="F11" s="11">
        <v>159</v>
      </c>
      <c r="G11" s="11">
        <v>469.02</v>
      </c>
      <c r="H11" s="11">
        <v>116</v>
      </c>
      <c r="I11" s="11">
        <f t="shared" si="11"/>
        <v>12874.210000000001</v>
      </c>
      <c r="J11" s="11">
        <f>2105.33</f>
        <v>2105.33</v>
      </c>
      <c r="K11" s="11">
        <v>0.9</v>
      </c>
      <c r="L11" s="11">
        <f t="shared" si="8"/>
        <v>10182.960000000001</v>
      </c>
      <c r="M11" s="11">
        <f>2635.14+5849.89+994.77</f>
        <v>9479.8000000000011</v>
      </c>
      <c r="N11" s="11">
        <v>0</v>
      </c>
      <c r="O11" s="11">
        <v>0</v>
      </c>
      <c r="P11" s="11">
        <v>572.09</v>
      </c>
      <c r="Q11" s="11">
        <v>131.07</v>
      </c>
      <c r="R11" s="11">
        <v>620.38</v>
      </c>
      <c r="S11" s="33">
        <v>20</v>
      </c>
      <c r="T11" s="33">
        <f>44+3.4</f>
        <v>47.4</v>
      </c>
      <c r="U11" s="11">
        <v>1419.48</v>
      </c>
      <c r="V11" s="11">
        <v>450</v>
      </c>
      <c r="W11" s="31">
        <f t="shared" si="12"/>
        <v>1.930000000000291</v>
      </c>
      <c r="X11" s="32">
        <f t="shared" ref="X11:X16" si="14">SUM(J11+K11+L11+AB11)-(I11)</f>
        <v>-469.02000000000044</v>
      </c>
      <c r="Y11" s="32">
        <f t="shared" ref="Y11:Y16" si="15">SUM(G11-Z11)</f>
        <v>469.02</v>
      </c>
      <c r="Z11" s="32"/>
      <c r="AA11" s="33">
        <f t="shared" ref="AA11:AA16" si="16">SUM(H11-AB11)</f>
        <v>0</v>
      </c>
      <c r="AB11" s="33">
        <v>116</v>
      </c>
      <c r="AC11" s="33">
        <v>680</v>
      </c>
      <c r="AD11" s="33">
        <f t="shared" si="13"/>
        <v>564</v>
      </c>
    </row>
    <row r="12" spans="1:30" ht="18.75">
      <c r="A12" s="9">
        <v>44811</v>
      </c>
      <c r="B12" s="10" t="s">
        <v>25</v>
      </c>
      <c r="C12" s="11">
        <v>6684.57</v>
      </c>
      <c r="D12" s="11">
        <f>2742.3+430.97</f>
        <v>3173.2700000000004</v>
      </c>
      <c r="E12" s="11">
        <v>10</v>
      </c>
      <c r="F12" s="11">
        <v>101</v>
      </c>
      <c r="G12" s="11">
        <v>120</v>
      </c>
      <c r="H12" s="11">
        <v>0</v>
      </c>
      <c r="I12" s="11">
        <f t="shared" si="11"/>
        <v>10118.84</v>
      </c>
      <c r="J12" s="11">
        <v>2274.2199999999998</v>
      </c>
      <c r="K12" s="11">
        <v>0.9</v>
      </c>
      <c r="L12" s="11">
        <f t="shared" si="8"/>
        <v>7843.7199999999993</v>
      </c>
      <c r="M12" s="11">
        <f>2007.36+4649.65+499.59</f>
        <v>7156.5999999999995</v>
      </c>
      <c r="N12" s="11">
        <v>74.150000000000006</v>
      </c>
      <c r="O12" s="11">
        <v>0</v>
      </c>
      <c r="P12" s="11">
        <v>250.8</v>
      </c>
      <c r="Q12" s="11">
        <f>261.77+100.4</f>
        <v>362.16999999999996</v>
      </c>
      <c r="R12" s="11">
        <v>430.97</v>
      </c>
      <c r="S12" s="33">
        <v>30</v>
      </c>
      <c r="T12" s="33">
        <v>22</v>
      </c>
      <c r="U12" s="11">
        <f>1500+271.39</f>
        <v>1771.3899999999999</v>
      </c>
      <c r="V12" s="11">
        <v>450</v>
      </c>
      <c r="W12" s="31">
        <f t="shared" si="12"/>
        <v>-19.860000000000127</v>
      </c>
      <c r="X12" s="32">
        <f t="shared" si="14"/>
        <v>0</v>
      </c>
      <c r="Y12" s="32">
        <f t="shared" si="15"/>
        <v>120</v>
      </c>
      <c r="Z12" s="32"/>
      <c r="AA12" s="33">
        <f t="shared" si="16"/>
        <v>0</v>
      </c>
      <c r="AB12" s="33">
        <v>0</v>
      </c>
      <c r="AC12" s="33">
        <v>420</v>
      </c>
      <c r="AD12" s="33">
        <f t="shared" si="13"/>
        <v>420</v>
      </c>
    </row>
    <row r="13" spans="1:30" ht="18.75">
      <c r="A13" s="9">
        <v>44812</v>
      </c>
      <c r="B13" s="10" t="s">
        <v>26</v>
      </c>
      <c r="C13" s="11">
        <f>9233.29+20.26</f>
        <v>9253.5500000000011</v>
      </c>
      <c r="D13" s="11">
        <f>2551.92+529.39+177.5</f>
        <v>3258.81</v>
      </c>
      <c r="E13" s="11">
        <v>19</v>
      </c>
      <c r="F13" s="11">
        <v>170</v>
      </c>
      <c r="G13" s="11">
        <v>46.12</v>
      </c>
      <c r="H13" s="11">
        <v>0</v>
      </c>
      <c r="I13" s="11">
        <f t="shared" si="11"/>
        <v>12817.480000000001</v>
      </c>
      <c r="J13" s="11">
        <f>2854.64-47</f>
        <v>2807.64</v>
      </c>
      <c r="K13" s="11">
        <v>0.8</v>
      </c>
      <c r="L13" s="11">
        <f t="shared" si="8"/>
        <v>9988.7800000000025</v>
      </c>
      <c r="M13" s="11">
        <f>2694.4+5451.3+672.67</f>
        <v>8818.3700000000008</v>
      </c>
      <c r="N13" s="11">
        <v>103.4</v>
      </c>
      <c r="O13" s="11">
        <v>84.86</v>
      </c>
      <c r="P13" s="11">
        <v>712.45</v>
      </c>
      <c r="Q13" s="11">
        <f>166.51+103.19</f>
        <v>269.7</v>
      </c>
      <c r="R13" s="11">
        <v>706.89</v>
      </c>
      <c r="S13" s="33">
        <v>70</v>
      </c>
      <c r="T13" s="33">
        <v>91</v>
      </c>
      <c r="U13" s="11">
        <v>1946.45</v>
      </c>
      <c r="V13" s="11">
        <v>450</v>
      </c>
      <c r="W13" s="31">
        <f t="shared" si="12"/>
        <v>6.7000000000002728</v>
      </c>
      <c r="X13" s="32">
        <f t="shared" si="14"/>
        <v>-20.259999999998399</v>
      </c>
      <c r="Y13" s="32">
        <f t="shared" si="15"/>
        <v>46.12</v>
      </c>
      <c r="Z13" s="32"/>
      <c r="AA13" s="33">
        <f t="shared" si="16"/>
        <v>0</v>
      </c>
      <c r="AB13" s="33">
        <v>0</v>
      </c>
      <c r="AC13" s="33">
        <v>550</v>
      </c>
      <c r="AD13" s="33">
        <f t="shared" si="13"/>
        <v>550</v>
      </c>
    </row>
    <row r="14" spans="1:30" ht="18.75">
      <c r="A14" s="9">
        <v>44813</v>
      </c>
      <c r="B14" s="10" t="s">
        <v>20</v>
      </c>
      <c r="C14" s="11">
        <v>9683.33</v>
      </c>
      <c r="D14" s="11">
        <v>4750.2</v>
      </c>
      <c r="E14" s="11">
        <v>30</v>
      </c>
      <c r="F14" s="11">
        <v>37</v>
      </c>
      <c r="G14" s="11">
        <v>40</v>
      </c>
      <c r="H14" s="11">
        <v>154.38</v>
      </c>
      <c r="I14" s="11">
        <f t="shared" si="11"/>
        <v>14765.169999999998</v>
      </c>
      <c r="J14" s="11">
        <f>2945.63+10</f>
        <v>2955.63</v>
      </c>
      <c r="K14" s="11">
        <v>0.9</v>
      </c>
      <c r="L14" s="11">
        <f t="shared" si="8"/>
        <v>11654.26</v>
      </c>
      <c r="M14" s="11">
        <f>3227.52+70+6421.96+927.76</f>
        <v>10647.24</v>
      </c>
      <c r="N14" s="11">
        <v>0</v>
      </c>
      <c r="O14" s="11">
        <v>104.42</v>
      </c>
      <c r="P14" s="11">
        <v>484.32</v>
      </c>
      <c r="Q14" s="11">
        <v>418.28</v>
      </c>
      <c r="R14" s="11">
        <v>0</v>
      </c>
      <c r="S14" s="33">
        <v>70.260000000000005</v>
      </c>
      <c r="T14" s="33">
        <v>32</v>
      </c>
      <c r="U14" s="11">
        <f>2871.59+10</f>
        <v>2881.59</v>
      </c>
      <c r="V14" s="11">
        <v>450</v>
      </c>
      <c r="W14" s="31">
        <f t="shared" si="12"/>
        <v>28.220000000000255</v>
      </c>
      <c r="X14" s="32">
        <f t="shared" si="14"/>
        <v>-124.37999999999738</v>
      </c>
      <c r="Y14" s="32">
        <f t="shared" si="15"/>
        <v>40</v>
      </c>
      <c r="Z14" s="32"/>
      <c r="AA14" s="33">
        <f t="shared" si="16"/>
        <v>124.38</v>
      </c>
      <c r="AB14" s="33">
        <v>30</v>
      </c>
      <c r="AC14" s="33">
        <v>670</v>
      </c>
      <c r="AD14" s="33">
        <f t="shared" si="13"/>
        <v>515.62</v>
      </c>
    </row>
    <row r="15" spans="1:30" ht="18.75">
      <c r="A15" s="9">
        <v>44814</v>
      </c>
      <c r="B15" s="10" t="s">
        <v>21</v>
      </c>
      <c r="C15" s="11">
        <v>6991.25</v>
      </c>
      <c r="D15" s="11">
        <v>4832.1000000000004</v>
      </c>
      <c r="E15" s="11">
        <v>26</v>
      </c>
      <c r="F15" s="11">
        <v>89</v>
      </c>
      <c r="G15" s="11">
        <v>60</v>
      </c>
      <c r="H15" s="11">
        <v>45</v>
      </c>
      <c r="I15" s="11">
        <f t="shared" si="11"/>
        <v>12043.35</v>
      </c>
      <c r="J15" s="11">
        <f>2538.19-50</f>
        <v>2488.19</v>
      </c>
      <c r="K15" s="11">
        <v>2.6</v>
      </c>
      <c r="L15" s="11">
        <f t="shared" si="8"/>
        <v>9507.5600000000013</v>
      </c>
      <c r="M15" s="11">
        <f>2602.38+5742.68+745.71</f>
        <v>9090.77</v>
      </c>
      <c r="N15" s="11">
        <v>125.42</v>
      </c>
      <c r="O15" s="11">
        <v>117.28</v>
      </c>
      <c r="P15" s="11">
        <v>56</v>
      </c>
      <c r="Q15" s="11">
        <v>118.09</v>
      </c>
      <c r="R15" s="11">
        <v>0</v>
      </c>
      <c r="S15" s="33">
        <v>0</v>
      </c>
      <c r="T15" s="33">
        <v>55</v>
      </c>
      <c r="U15" s="11">
        <v>2431.8200000000002</v>
      </c>
      <c r="V15" s="11">
        <v>450</v>
      </c>
      <c r="W15" s="31">
        <f t="shared" si="12"/>
        <v>-1.3699999999998909</v>
      </c>
      <c r="X15" s="32">
        <f t="shared" si="14"/>
        <v>0</v>
      </c>
      <c r="Y15" s="32">
        <f t="shared" si="15"/>
        <v>60</v>
      </c>
      <c r="Z15" s="32"/>
      <c r="AA15" s="33">
        <f t="shared" si="16"/>
        <v>0</v>
      </c>
      <c r="AB15" s="33">
        <v>45</v>
      </c>
      <c r="AC15" s="33">
        <v>640</v>
      </c>
      <c r="AD15" s="33">
        <f t="shared" si="13"/>
        <v>595</v>
      </c>
    </row>
    <row r="16" spans="1:30" ht="18.75">
      <c r="A16" s="9">
        <v>44815</v>
      </c>
      <c r="B16" s="10" t="s">
        <v>22</v>
      </c>
      <c r="C16" s="11">
        <v>7831.32</v>
      </c>
      <c r="D16" s="11">
        <v>3830.14</v>
      </c>
      <c r="E16" s="11">
        <v>0</v>
      </c>
      <c r="F16" s="11">
        <v>35</v>
      </c>
      <c r="G16" s="11">
        <v>57.04</v>
      </c>
      <c r="H16" s="11">
        <v>3.29</v>
      </c>
      <c r="I16" s="11">
        <f t="shared" si="11"/>
        <v>11756.79</v>
      </c>
      <c r="J16" s="11">
        <v>2842.13</v>
      </c>
      <c r="K16" s="11">
        <v>1.9</v>
      </c>
      <c r="L16" s="11">
        <f t="shared" si="8"/>
        <v>8813.99</v>
      </c>
      <c r="M16" s="11">
        <f>2478.61+5216.62+446.78</f>
        <v>8142.0099999999993</v>
      </c>
      <c r="N16" s="11">
        <v>0</v>
      </c>
      <c r="O16" s="11">
        <v>244.62</v>
      </c>
      <c r="P16" s="11">
        <v>136.1</v>
      </c>
      <c r="Q16" s="11">
        <v>291.26</v>
      </c>
      <c r="R16" s="11">
        <v>0</v>
      </c>
      <c r="S16" s="33">
        <v>0</v>
      </c>
      <c r="T16" s="33">
        <v>17</v>
      </c>
      <c r="U16" s="11">
        <v>2804.03</v>
      </c>
      <c r="V16" s="11">
        <v>450</v>
      </c>
      <c r="W16" s="31">
        <f t="shared" si="12"/>
        <v>-21.099999999999909</v>
      </c>
      <c r="X16" s="32">
        <f t="shared" si="14"/>
        <v>-95.479999999999563</v>
      </c>
      <c r="Y16" s="32">
        <f t="shared" si="15"/>
        <v>57.04</v>
      </c>
      <c r="Z16" s="32"/>
      <c r="AA16" s="33">
        <f t="shared" si="16"/>
        <v>0</v>
      </c>
      <c r="AB16" s="33">
        <v>3.29</v>
      </c>
      <c r="AC16" s="33">
        <v>660</v>
      </c>
      <c r="AD16" s="33">
        <f t="shared" si="13"/>
        <v>656.71</v>
      </c>
    </row>
    <row r="17" spans="1:32" ht="37.5" customHeight="1">
      <c r="A17" s="65" t="s">
        <v>27</v>
      </c>
      <c r="B17" s="66"/>
      <c r="C17" s="27">
        <f>SUM(C10:C16)</f>
        <v>57429.490000000005</v>
      </c>
      <c r="D17" s="27">
        <f t="shared" ref="D17:AD17" si="17">SUM(D10:D16)</f>
        <v>26580.47</v>
      </c>
      <c r="E17" s="27">
        <f t="shared" si="17"/>
        <v>123</v>
      </c>
      <c r="F17" s="27">
        <f t="shared" si="17"/>
        <v>851</v>
      </c>
      <c r="G17" s="27">
        <f t="shared" si="17"/>
        <v>852.18</v>
      </c>
      <c r="H17" s="27">
        <f t="shared" si="17"/>
        <v>341.17</v>
      </c>
      <c r="I17" s="27">
        <f t="shared" si="17"/>
        <v>86367.57</v>
      </c>
      <c r="J17" s="27">
        <f t="shared" si="17"/>
        <v>18286.55</v>
      </c>
      <c r="K17" s="27">
        <f t="shared" ref="K17" si="18">SUM(K10:K16)</f>
        <v>8</v>
      </c>
      <c r="L17" s="27">
        <f t="shared" si="17"/>
        <v>67147.090000000011</v>
      </c>
      <c r="M17" s="27">
        <f t="shared" si="17"/>
        <v>61336.15</v>
      </c>
      <c r="N17" s="27">
        <f t="shared" si="17"/>
        <v>302.97000000000003</v>
      </c>
      <c r="O17" s="27">
        <f t="shared" si="17"/>
        <v>685.32</v>
      </c>
      <c r="P17" s="27">
        <f t="shared" si="17"/>
        <v>2701.07</v>
      </c>
      <c r="Q17" s="27">
        <f t="shared" si="17"/>
        <v>2121.58</v>
      </c>
      <c r="R17" s="27">
        <f t="shared" si="17"/>
        <v>1844.6399999999999</v>
      </c>
      <c r="S17" s="27">
        <f t="shared" si="17"/>
        <v>190.26</v>
      </c>
      <c r="T17" s="27">
        <f t="shared" si="17"/>
        <v>315.39999999999998</v>
      </c>
      <c r="U17" s="27">
        <f t="shared" si="17"/>
        <v>15932.359999999999</v>
      </c>
      <c r="V17" s="27">
        <f t="shared" si="17"/>
        <v>3150</v>
      </c>
      <c r="W17" s="27">
        <f t="shared" si="17"/>
        <v>-3.8899999999989632</v>
      </c>
      <c r="X17" s="27">
        <f t="shared" si="17"/>
        <v>-709.13999999999578</v>
      </c>
      <c r="Y17" s="27">
        <f t="shared" si="17"/>
        <v>852.18</v>
      </c>
      <c r="Z17" s="27">
        <f t="shared" si="17"/>
        <v>0</v>
      </c>
      <c r="AA17" s="27">
        <f t="shared" si="17"/>
        <v>124.38</v>
      </c>
      <c r="AB17" s="27">
        <f t="shared" si="17"/>
        <v>216.79</v>
      </c>
      <c r="AC17" s="27">
        <f t="shared" si="17"/>
        <v>3870</v>
      </c>
      <c r="AD17" s="27">
        <f t="shared" si="17"/>
        <v>3528.83</v>
      </c>
      <c r="AF17">
        <v>18507.36</v>
      </c>
    </row>
    <row r="18" spans="1:32" s="35" customFormat="1" ht="18.75">
      <c r="A18" s="9">
        <v>44816</v>
      </c>
      <c r="B18" s="10" t="s">
        <v>23</v>
      </c>
      <c r="C18" s="11">
        <f>8637.09+166.65</f>
        <v>8803.74</v>
      </c>
      <c r="D18" s="11">
        <v>3161.19</v>
      </c>
      <c r="E18" s="11">
        <v>6</v>
      </c>
      <c r="F18" s="11">
        <v>95</v>
      </c>
      <c r="G18" s="11">
        <v>50</v>
      </c>
      <c r="H18" s="11">
        <v>47</v>
      </c>
      <c r="I18" s="11">
        <f t="shared" ref="I18:I24" si="19">SUM(C18:H18,S18)</f>
        <v>12202.93</v>
      </c>
      <c r="J18" s="11">
        <v>2835.05</v>
      </c>
      <c r="K18" s="11">
        <v>0.9</v>
      </c>
      <c r="L18" s="11">
        <f t="shared" si="8"/>
        <v>9168.3300000000017</v>
      </c>
      <c r="M18" s="11">
        <f>2696.76+4751.4+511.79</f>
        <v>7959.95</v>
      </c>
      <c r="N18" s="11">
        <v>0</v>
      </c>
      <c r="O18" s="11">
        <v>333.25</v>
      </c>
      <c r="P18" s="11">
        <v>359.35</v>
      </c>
      <c r="Q18" s="11">
        <f>349.07+60.95+105.76</f>
        <v>515.78</v>
      </c>
      <c r="R18" s="11">
        <v>340.49</v>
      </c>
      <c r="S18" s="33">
        <v>40</v>
      </c>
      <c r="T18" s="33">
        <v>5</v>
      </c>
      <c r="U18" s="11">
        <v>2403.54</v>
      </c>
      <c r="V18" s="11">
        <v>450</v>
      </c>
      <c r="W18" s="31">
        <f t="shared" ref="W18:W24" si="20">SUM(R18,S18,T18,U18)-J18</f>
        <v>-46.020000000000437</v>
      </c>
      <c r="X18" s="32">
        <f>SUM(J18+K18+L18+AB18)-(I18)</f>
        <v>-166.64999999999782</v>
      </c>
      <c r="Y18" s="32">
        <f>SUM(G18-Z18)</f>
        <v>50</v>
      </c>
      <c r="Z18" s="33">
        <v>0</v>
      </c>
      <c r="AA18" s="33">
        <f>SUM(H18-AB18)</f>
        <v>15</v>
      </c>
      <c r="AB18" s="33">
        <v>32</v>
      </c>
      <c r="AC18" s="33">
        <v>550</v>
      </c>
      <c r="AD18" s="33">
        <f t="shared" ref="AD18:AD24" si="21">SUM(AC18-H18)</f>
        <v>503</v>
      </c>
      <c r="AF18" s="35">
        <v>370.12</v>
      </c>
    </row>
    <row r="19" spans="1:32" s="35" customFormat="1" ht="18.75">
      <c r="A19" s="9">
        <v>44817</v>
      </c>
      <c r="B19" s="10" t="s">
        <v>24</v>
      </c>
      <c r="C19" s="11">
        <v>8889.15</v>
      </c>
      <c r="D19" s="11">
        <v>3479.53</v>
      </c>
      <c r="E19" s="11">
        <v>35</v>
      </c>
      <c r="F19" s="11">
        <v>18</v>
      </c>
      <c r="G19" s="11">
        <v>50</v>
      </c>
      <c r="H19" s="11">
        <v>80</v>
      </c>
      <c r="I19" s="11">
        <f t="shared" si="19"/>
        <v>12551.68</v>
      </c>
      <c r="J19" s="11">
        <f>2370.52</f>
        <v>2370.52</v>
      </c>
      <c r="K19" s="11">
        <v>0.8</v>
      </c>
      <c r="L19" s="11">
        <f t="shared" si="8"/>
        <v>10050.36</v>
      </c>
      <c r="M19" s="11">
        <f>2202.02+5667.79+1293.93</f>
        <v>9163.74</v>
      </c>
      <c r="N19" s="11">
        <v>0</v>
      </c>
      <c r="O19" s="11">
        <v>164.35</v>
      </c>
      <c r="P19" s="11">
        <v>615.73</v>
      </c>
      <c r="Q19" s="11">
        <v>106.54</v>
      </c>
      <c r="R19" s="11">
        <v>0</v>
      </c>
      <c r="S19" s="33">
        <v>0</v>
      </c>
      <c r="T19" s="33">
        <v>30</v>
      </c>
      <c r="U19" s="11">
        <v>2340.7800000000002</v>
      </c>
      <c r="V19" s="11">
        <v>450</v>
      </c>
      <c r="W19" s="31">
        <f t="shared" si="20"/>
        <v>0.26000000000021828</v>
      </c>
      <c r="X19" s="32">
        <f>SUM(J19+K19+L19+Z19+AB19)-(I19)</f>
        <v>0</v>
      </c>
      <c r="Y19" s="32">
        <f t="shared" ref="Y19:Y38" si="22">SUM(G19-Z19)</f>
        <v>0</v>
      </c>
      <c r="Z19" s="33">
        <v>50</v>
      </c>
      <c r="AA19" s="33">
        <f t="shared" ref="AA19:AA24" si="23">SUM(H19-AB19)</f>
        <v>0</v>
      </c>
      <c r="AB19" s="33">
        <v>80</v>
      </c>
      <c r="AC19" s="33">
        <v>310</v>
      </c>
      <c r="AD19" s="33">
        <f t="shared" si="21"/>
        <v>230</v>
      </c>
      <c r="AF19" s="35">
        <v>195</v>
      </c>
    </row>
    <row r="20" spans="1:32" s="35" customFormat="1" ht="18.75">
      <c r="A20" s="9">
        <v>44818</v>
      </c>
      <c r="B20" s="10" t="s">
        <v>25</v>
      </c>
      <c r="C20" s="11">
        <v>9299.66</v>
      </c>
      <c r="D20" s="11">
        <v>3049.6</v>
      </c>
      <c r="E20" s="11">
        <v>10</v>
      </c>
      <c r="F20" s="11">
        <v>70</v>
      </c>
      <c r="G20" s="11">
        <v>85</v>
      </c>
      <c r="H20" s="11">
        <v>183.12</v>
      </c>
      <c r="I20" s="11">
        <f t="shared" si="19"/>
        <v>12697.380000000001</v>
      </c>
      <c r="J20" s="11">
        <f>2685.38-13.68</f>
        <v>2671.7000000000003</v>
      </c>
      <c r="K20" s="11">
        <v>0</v>
      </c>
      <c r="L20" s="11">
        <f>SUM(M20:Q20)</f>
        <v>9832.5599999999977</v>
      </c>
      <c r="M20" s="11">
        <f>2790.29+5029.91+1233.59</f>
        <v>9053.7899999999991</v>
      </c>
      <c r="N20" s="11">
        <v>70</v>
      </c>
      <c r="O20" s="11">
        <v>0</v>
      </c>
      <c r="P20" s="11">
        <v>528.54999999999995</v>
      </c>
      <c r="Q20" s="11">
        <f>65.05+115.17</f>
        <v>180.22</v>
      </c>
      <c r="R20" s="11">
        <v>0</v>
      </c>
      <c r="S20" s="33">
        <v>0</v>
      </c>
      <c r="T20" s="33">
        <v>50</v>
      </c>
      <c r="U20" s="11">
        <f>1993.03+712.5-80</f>
        <v>2625.5299999999997</v>
      </c>
      <c r="V20" s="11">
        <v>450</v>
      </c>
      <c r="W20" s="31">
        <f t="shared" si="20"/>
        <v>3.8299999999994725</v>
      </c>
      <c r="X20" s="32">
        <f t="shared" ref="X20:X24" si="24">SUM(J20+K20+L20+Z20+AB20)-(I20)</f>
        <v>0</v>
      </c>
      <c r="Y20" s="32">
        <f t="shared" si="22"/>
        <v>65</v>
      </c>
      <c r="Z20" s="33">
        <v>20</v>
      </c>
      <c r="AA20" s="33">
        <f t="shared" si="23"/>
        <v>10</v>
      </c>
      <c r="AB20" s="33">
        <v>173.12</v>
      </c>
      <c r="AC20" s="33">
        <v>70</v>
      </c>
      <c r="AD20" s="33">
        <f t="shared" si="21"/>
        <v>-113.12</v>
      </c>
      <c r="AF20" s="35">
        <v>1510</v>
      </c>
    </row>
    <row r="21" spans="1:32" s="35" customFormat="1" ht="18.75">
      <c r="A21" s="9">
        <v>44819</v>
      </c>
      <c r="B21" s="10" t="s">
        <v>26</v>
      </c>
      <c r="C21" s="11">
        <v>9395.83</v>
      </c>
      <c r="D21" s="11">
        <f>2993.24+380.55</f>
        <v>3373.79</v>
      </c>
      <c r="E21" s="11">
        <v>7</v>
      </c>
      <c r="F21" s="11">
        <v>122</v>
      </c>
      <c r="G21" s="11">
        <v>40</v>
      </c>
      <c r="H21" s="11">
        <v>46.5</v>
      </c>
      <c r="I21" s="11">
        <f t="shared" si="19"/>
        <v>12985.119999999999</v>
      </c>
      <c r="J21" s="11">
        <v>2803.02</v>
      </c>
      <c r="K21" s="11">
        <v>0.9</v>
      </c>
      <c r="L21" s="11">
        <v>10121.200000000001</v>
      </c>
      <c r="M21" s="11">
        <f>2357.96+6199+741.41</f>
        <v>9298.369999999999</v>
      </c>
      <c r="N21" s="11">
        <v>43.03</v>
      </c>
      <c r="O21" s="11">
        <v>312.31</v>
      </c>
      <c r="P21" s="11">
        <v>317.95999999999998</v>
      </c>
      <c r="Q21" s="11">
        <v>149.53</v>
      </c>
      <c r="R21" s="11">
        <v>380.55</v>
      </c>
      <c r="S21" s="33">
        <v>0</v>
      </c>
      <c r="T21" s="33">
        <v>72</v>
      </c>
      <c r="U21" s="11">
        <v>2355.1799999999998</v>
      </c>
      <c r="V21" s="11">
        <v>450</v>
      </c>
      <c r="W21" s="31">
        <f t="shared" si="20"/>
        <v>4.7100000000000364</v>
      </c>
      <c r="X21" s="32">
        <f t="shared" si="24"/>
        <v>0</v>
      </c>
      <c r="Y21" s="32">
        <f t="shared" si="22"/>
        <v>0</v>
      </c>
      <c r="Z21" s="33">
        <v>40</v>
      </c>
      <c r="AA21" s="33">
        <f t="shared" si="23"/>
        <v>26.5</v>
      </c>
      <c r="AB21" s="33">
        <v>20</v>
      </c>
      <c r="AC21" s="33">
        <v>370</v>
      </c>
      <c r="AD21" s="33">
        <f t="shared" si="21"/>
        <v>323.5</v>
      </c>
    </row>
    <row r="22" spans="1:32" s="35" customFormat="1" ht="18.75">
      <c r="A22" s="9">
        <v>44820</v>
      </c>
      <c r="B22" s="10" t="s">
        <v>20</v>
      </c>
      <c r="C22" s="11">
        <v>10599.12</v>
      </c>
      <c r="D22" s="11">
        <f>4822.27+43.15</f>
        <v>4865.42</v>
      </c>
      <c r="E22" s="11">
        <v>65</v>
      </c>
      <c r="F22" s="11">
        <v>18</v>
      </c>
      <c r="G22" s="11">
        <v>20</v>
      </c>
      <c r="H22" s="11">
        <v>130</v>
      </c>
      <c r="I22" s="11">
        <f t="shared" si="19"/>
        <v>15717.54</v>
      </c>
      <c r="J22" s="43">
        <v>2690.68</v>
      </c>
      <c r="K22" s="43">
        <v>0.9</v>
      </c>
      <c r="L22" s="11">
        <f t="shared" si="8"/>
        <v>12940.96</v>
      </c>
      <c r="M22" s="11">
        <f>3899.18+7364.18+711.69</f>
        <v>11975.050000000001</v>
      </c>
      <c r="N22" s="11">
        <v>31.39</v>
      </c>
      <c r="O22" s="11">
        <v>379.38</v>
      </c>
      <c r="P22" s="11">
        <v>379.81</v>
      </c>
      <c r="Q22" s="11">
        <v>175.33</v>
      </c>
      <c r="R22" s="11">
        <v>43.15</v>
      </c>
      <c r="S22" s="33">
        <v>20</v>
      </c>
      <c r="T22" s="33">
        <v>16</v>
      </c>
      <c r="U22" s="11">
        <v>2610.7600000000002</v>
      </c>
      <c r="V22" s="11">
        <v>450</v>
      </c>
      <c r="W22" s="31">
        <f t="shared" si="20"/>
        <v>-0.76999999999952706</v>
      </c>
      <c r="X22" s="32">
        <f t="shared" si="24"/>
        <v>0</v>
      </c>
      <c r="Y22" s="32">
        <f t="shared" si="22"/>
        <v>0</v>
      </c>
      <c r="Z22" s="33">
        <v>20</v>
      </c>
      <c r="AA22" s="33">
        <f t="shared" si="23"/>
        <v>65</v>
      </c>
      <c r="AB22" s="33">
        <v>65</v>
      </c>
      <c r="AC22" s="33">
        <v>1290</v>
      </c>
      <c r="AD22" s="33">
        <f t="shared" si="21"/>
        <v>1160</v>
      </c>
    </row>
    <row r="23" spans="1:32" s="35" customFormat="1" ht="18.75">
      <c r="A23" s="9">
        <v>44821</v>
      </c>
      <c r="B23" s="10" t="s">
        <v>21</v>
      </c>
      <c r="C23" s="11">
        <v>8882.1200000000008</v>
      </c>
      <c r="D23" s="11">
        <v>4615.16</v>
      </c>
      <c r="E23" s="11">
        <v>21.5</v>
      </c>
      <c r="F23" s="11">
        <v>67</v>
      </c>
      <c r="G23" s="11">
        <v>20</v>
      </c>
      <c r="H23" s="11">
        <v>0</v>
      </c>
      <c r="I23" s="11">
        <f t="shared" si="19"/>
        <v>13645.78</v>
      </c>
      <c r="J23" s="11">
        <v>3404.67</v>
      </c>
      <c r="K23" s="11">
        <v>1.3</v>
      </c>
      <c r="L23" s="11">
        <f t="shared" si="8"/>
        <v>10219.81</v>
      </c>
      <c r="M23" s="11">
        <f>682.76+6331.4+2882.16+65</f>
        <v>9961.32</v>
      </c>
      <c r="N23" s="11">
        <v>0</v>
      </c>
      <c r="O23" s="11">
        <v>114.96</v>
      </c>
      <c r="P23" s="11">
        <v>46.37</v>
      </c>
      <c r="Q23" s="11">
        <v>97.16</v>
      </c>
      <c r="R23" s="11">
        <v>0</v>
      </c>
      <c r="S23" s="33">
        <v>40</v>
      </c>
      <c r="T23" s="33">
        <v>10.6</v>
      </c>
      <c r="U23" s="11">
        <v>3333.79</v>
      </c>
      <c r="V23" s="11">
        <v>450</v>
      </c>
      <c r="W23" s="31">
        <f t="shared" si="20"/>
        <v>-20.2800000000002</v>
      </c>
      <c r="X23" s="32">
        <f t="shared" si="24"/>
        <v>0</v>
      </c>
      <c r="Y23" s="32">
        <f t="shared" si="22"/>
        <v>0</v>
      </c>
      <c r="Z23" s="33">
        <v>20</v>
      </c>
      <c r="AA23" s="33">
        <f t="shared" si="23"/>
        <v>0</v>
      </c>
      <c r="AB23" s="33">
        <v>0</v>
      </c>
      <c r="AC23" s="33">
        <v>340</v>
      </c>
      <c r="AD23" s="33">
        <f t="shared" si="21"/>
        <v>340</v>
      </c>
    </row>
    <row r="24" spans="1:32" s="35" customFormat="1" ht="18.75">
      <c r="A24" s="9">
        <v>44822</v>
      </c>
      <c r="B24" s="10" t="s">
        <v>22</v>
      </c>
      <c r="C24" s="11">
        <v>7768.88</v>
      </c>
      <c r="D24" s="11">
        <f>3786.92+93.7</f>
        <v>3880.62</v>
      </c>
      <c r="E24" s="11">
        <v>0</v>
      </c>
      <c r="F24" s="11">
        <v>98</v>
      </c>
      <c r="G24" s="11">
        <v>45</v>
      </c>
      <c r="H24" s="11">
        <v>0</v>
      </c>
      <c r="I24" s="11">
        <f t="shared" si="19"/>
        <v>11832.04</v>
      </c>
      <c r="J24" s="11">
        <v>2999.44</v>
      </c>
      <c r="K24" s="11">
        <v>0</v>
      </c>
      <c r="L24" s="11">
        <f t="shared" si="8"/>
        <v>8787.6</v>
      </c>
      <c r="M24" s="11">
        <f>2503.09+5325.05+647.78</f>
        <v>8475.92</v>
      </c>
      <c r="N24" s="11">
        <v>51.6</v>
      </c>
      <c r="O24" s="11">
        <v>0</v>
      </c>
      <c r="P24" s="11">
        <v>149.18</v>
      </c>
      <c r="Q24" s="11">
        <f>76+34.9</f>
        <v>110.9</v>
      </c>
      <c r="R24" s="11">
        <v>93.7</v>
      </c>
      <c r="S24" s="33">
        <v>39.54</v>
      </c>
      <c r="T24" s="33">
        <v>29</v>
      </c>
      <c r="U24" s="11">
        <v>2837.78</v>
      </c>
      <c r="V24" s="11">
        <v>450</v>
      </c>
      <c r="W24" s="31">
        <f t="shared" si="20"/>
        <v>0.58000000000038199</v>
      </c>
      <c r="X24" s="32">
        <f t="shared" si="24"/>
        <v>0</v>
      </c>
      <c r="Y24" s="32">
        <f t="shared" si="22"/>
        <v>0</v>
      </c>
      <c r="Z24" s="33">
        <v>45</v>
      </c>
      <c r="AA24" s="33">
        <f t="shared" si="23"/>
        <v>0</v>
      </c>
      <c r="AB24" s="33">
        <v>0</v>
      </c>
      <c r="AC24" s="33">
        <v>280</v>
      </c>
      <c r="AD24" s="33">
        <f t="shared" si="21"/>
        <v>280</v>
      </c>
    </row>
    <row r="25" spans="1:32" ht="37.5" customHeight="1">
      <c r="A25" s="65" t="s">
        <v>27</v>
      </c>
      <c r="B25" s="66"/>
      <c r="C25" s="27">
        <f>SUM(C18:C24)</f>
        <v>63638.5</v>
      </c>
      <c r="D25" s="27">
        <f t="shared" ref="D25:AD25" si="25">SUM(D18:D24)</f>
        <v>26425.309999999998</v>
      </c>
      <c r="E25" s="27">
        <f t="shared" si="25"/>
        <v>144.5</v>
      </c>
      <c r="F25" s="27">
        <f t="shared" si="25"/>
        <v>488</v>
      </c>
      <c r="G25" s="27">
        <f t="shared" si="25"/>
        <v>310</v>
      </c>
      <c r="H25" s="27">
        <f t="shared" si="25"/>
        <v>486.62</v>
      </c>
      <c r="I25" s="27">
        <f t="shared" si="25"/>
        <v>91632.47</v>
      </c>
      <c r="J25" s="27">
        <f t="shared" si="25"/>
        <v>19775.079999999998</v>
      </c>
      <c r="K25" s="27">
        <f t="shared" ref="K25" si="26">SUM(K18:K24)</f>
        <v>4.8</v>
      </c>
      <c r="L25" s="27">
        <f t="shared" si="25"/>
        <v>71120.819999999992</v>
      </c>
      <c r="M25" s="27">
        <f t="shared" si="25"/>
        <v>65888.14</v>
      </c>
      <c r="N25" s="27">
        <f t="shared" si="25"/>
        <v>196.02</v>
      </c>
      <c r="O25" s="27">
        <f t="shared" si="25"/>
        <v>1304.25</v>
      </c>
      <c r="P25" s="27">
        <f t="shared" si="25"/>
        <v>2396.9499999999998</v>
      </c>
      <c r="Q25" s="27">
        <f t="shared" si="25"/>
        <v>1335.46</v>
      </c>
      <c r="R25" s="27">
        <f t="shared" si="25"/>
        <v>857.89</v>
      </c>
      <c r="S25" s="27">
        <f t="shared" si="25"/>
        <v>139.54</v>
      </c>
      <c r="T25" s="27">
        <f t="shared" si="25"/>
        <v>212.6</v>
      </c>
      <c r="U25" s="27">
        <f t="shared" si="25"/>
        <v>18507.359999999997</v>
      </c>
      <c r="V25" s="27">
        <f t="shared" si="25"/>
        <v>3150</v>
      </c>
      <c r="W25" s="27">
        <f t="shared" si="25"/>
        <v>-57.690000000000055</v>
      </c>
      <c r="X25" s="27">
        <f t="shared" si="25"/>
        <v>-166.64999999999782</v>
      </c>
      <c r="Y25" s="27">
        <f t="shared" si="25"/>
        <v>115</v>
      </c>
      <c r="Z25" s="27">
        <f t="shared" si="25"/>
        <v>195</v>
      </c>
      <c r="AA25" s="27">
        <f t="shared" si="25"/>
        <v>116.5</v>
      </c>
      <c r="AB25" s="27">
        <f t="shared" si="25"/>
        <v>370.12</v>
      </c>
      <c r="AC25" s="27">
        <f t="shared" si="25"/>
        <v>3210</v>
      </c>
      <c r="AD25" s="27">
        <f t="shared" si="25"/>
        <v>2723.38</v>
      </c>
    </row>
    <row r="26" spans="1:32" s="35" customFormat="1" ht="18.75">
      <c r="A26" s="9">
        <v>44823</v>
      </c>
      <c r="B26" s="10" t="s">
        <v>23</v>
      </c>
      <c r="C26" s="11">
        <f>6486+103.76</f>
        <v>6589.76</v>
      </c>
      <c r="D26" s="11">
        <v>4077.58</v>
      </c>
      <c r="E26" s="11">
        <v>8.5</v>
      </c>
      <c r="F26" s="11">
        <v>157</v>
      </c>
      <c r="G26" s="11">
        <v>55</v>
      </c>
      <c r="H26" s="11">
        <v>258.83999999999997</v>
      </c>
      <c r="I26" s="11">
        <f t="shared" ref="I26:I32" si="27">SUM(C26:H26,S26)</f>
        <v>11146.68</v>
      </c>
      <c r="J26" s="11">
        <v>2469.7600000000002</v>
      </c>
      <c r="K26" s="11">
        <v>0</v>
      </c>
      <c r="L26" s="11">
        <f t="shared" si="8"/>
        <v>8538.1600000000017</v>
      </c>
      <c r="M26" s="11">
        <f>2510.63+4618.31+1050.02</f>
        <v>8178.9600000000009</v>
      </c>
      <c r="N26" s="11">
        <v>0</v>
      </c>
      <c r="O26" s="11">
        <v>83.37</v>
      </c>
      <c r="P26" s="11">
        <v>181.26</v>
      </c>
      <c r="Q26" s="11">
        <v>94.57</v>
      </c>
      <c r="R26" s="11">
        <v>0</v>
      </c>
      <c r="S26" s="33">
        <v>0</v>
      </c>
      <c r="T26" s="33">
        <v>14</v>
      </c>
      <c r="U26" s="11">
        <v>2457.63</v>
      </c>
      <c r="V26" s="11">
        <v>450</v>
      </c>
      <c r="W26" s="31">
        <f t="shared" ref="W26:W32" si="28">SUM(R26,S26,T26,U26)-J26</f>
        <v>1.8699999999998909</v>
      </c>
      <c r="X26" s="32">
        <f>SUM(J26+K26+L26+Z26+AB26)-(I26)</f>
        <v>-103.7599999999984</v>
      </c>
      <c r="Y26" s="32">
        <f t="shared" si="22"/>
        <v>20</v>
      </c>
      <c r="Z26" s="32">
        <v>35</v>
      </c>
      <c r="AA26" s="33">
        <f>SUM(H26-AB26)</f>
        <v>258.83999999999997</v>
      </c>
      <c r="AB26" s="33">
        <v>0</v>
      </c>
      <c r="AC26" s="33">
        <v>380</v>
      </c>
      <c r="AD26" s="33">
        <f t="shared" ref="AD26:AD32" si="29">SUM(AC26-H26)</f>
        <v>121.16000000000003</v>
      </c>
    </row>
    <row r="27" spans="1:32" s="35" customFormat="1" ht="18.75">
      <c r="A27" s="9">
        <v>44824</v>
      </c>
      <c r="B27" s="10" t="s">
        <v>24</v>
      </c>
      <c r="C27" s="11">
        <v>8849.14</v>
      </c>
      <c r="D27" s="11">
        <f>2502.77+599.61</f>
        <v>3102.38</v>
      </c>
      <c r="E27" s="11">
        <v>63</v>
      </c>
      <c r="F27" s="11">
        <v>133</v>
      </c>
      <c r="G27" s="11">
        <v>55</v>
      </c>
      <c r="H27" s="11">
        <v>35</v>
      </c>
      <c r="I27" s="11">
        <f t="shared" si="27"/>
        <v>12267.69</v>
      </c>
      <c r="J27" s="11">
        <v>2574.0700000000002</v>
      </c>
      <c r="K27" s="11">
        <v>0</v>
      </c>
      <c r="L27" s="11">
        <f t="shared" si="8"/>
        <v>9618.619999999999</v>
      </c>
      <c r="M27" s="11">
        <f>2303.65+5300.67+1011.13</f>
        <v>8615.4499999999989</v>
      </c>
      <c r="N27" s="11">
        <v>0</v>
      </c>
      <c r="O27" s="11">
        <v>118.07</v>
      </c>
      <c r="P27" s="11">
        <v>529.44000000000005</v>
      </c>
      <c r="Q27" s="11">
        <f>252.56+103.1</f>
        <v>355.65999999999997</v>
      </c>
      <c r="R27" s="11">
        <v>599.61</v>
      </c>
      <c r="S27" s="33">
        <v>30.17</v>
      </c>
      <c r="T27" s="33">
        <v>102</v>
      </c>
      <c r="U27" s="11">
        <v>1846.46</v>
      </c>
      <c r="V27" s="11">
        <v>450</v>
      </c>
      <c r="W27" s="31">
        <f t="shared" si="28"/>
        <v>4.169999999999618</v>
      </c>
      <c r="X27" s="32">
        <f t="shared" ref="X27:X32" si="30">SUM(J27+K27+L27+Z27+AB27)-(I27)</f>
        <v>0</v>
      </c>
      <c r="Y27" s="32">
        <f t="shared" si="22"/>
        <v>15</v>
      </c>
      <c r="Z27" s="32">
        <v>40</v>
      </c>
      <c r="AA27" s="33">
        <f t="shared" ref="AA27:AA32" si="31">SUM(H27-AB27)</f>
        <v>0</v>
      </c>
      <c r="AB27" s="33">
        <v>35</v>
      </c>
      <c r="AC27" s="33">
        <v>440</v>
      </c>
      <c r="AD27" s="33">
        <f t="shared" si="29"/>
        <v>405</v>
      </c>
    </row>
    <row r="28" spans="1:32" s="35" customFormat="1" ht="18.75">
      <c r="A28" s="9">
        <v>44825</v>
      </c>
      <c r="B28" s="10" t="s">
        <v>25</v>
      </c>
      <c r="C28" s="11">
        <f>7904.02+93.08</f>
        <v>7997.1</v>
      </c>
      <c r="D28" s="11">
        <v>3115.29</v>
      </c>
      <c r="E28" s="11">
        <v>0</v>
      </c>
      <c r="F28" s="11">
        <v>25</v>
      </c>
      <c r="G28" s="11">
        <v>10</v>
      </c>
      <c r="H28" s="11">
        <v>46</v>
      </c>
      <c r="I28" s="11">
        <f t="shared" si="27"/>
        <v>11193.39</v>
      </c>
      <c r="J28" s="11">
        <v>2442.5700000000002</v>
      </c>
      <c r="K28" s="11">
        <v>0.8</v>
      </c>
      <c r="L28" s="11">
        <f t="shared" si="8"/>
        <v>8651.9400000000023</v>
      </c>
      <c r="M28" s="11">
        <f>2484.31+4948.2+431.14</f>
        <v>7863.6500000000005</v>
      </c>
      <c r="N28" s="11">
        <v>11.14</v>
      </c>
      <c r="O28" s="11">
        <v>0</v>
      </c>
      <c r="P28" s="11">
        <v>411.29</v>
      </c>
      <c r="Q28" s="11">
        <f>253.6+112.26</f>
        <v>365.86</v>
      </c>
      <c r="R28" s="11">
        <v>0</v>
      </c>
      <c r="S28" s="33">
        <v>0</v>
      </c>
      <c r="T28" s="33">
        <v>48</v>
      </c>
      <c r="U28" s="11">
        <v>2350</v>
      </c>
      <c r="V28" s="11">
        <v>450</v>
      </c>
      <c r="W28" s="31">
        <f t="shared" si="28"/>
        <v>-44.570000000000164</v>
      </c>
      <c r="X28" s="32">
        <f t="shared" si="30"/>
        <v>-88.079999999996289</v>
      </c>
      <c r="Y28" s="32">
        <f t="shared" si="22"/>
        <v>0</v>
      </c>
      <c r="Z28" s="32">
        <v>10</v>
      </c>
      <c r="AA28" s="33">
        <f t="shared" si="31"/>
        <v>46</v>
      </c>
      <c r="AB28" s="33">
        <v>0</v>
      </c>
      <c r="AC28" s="33">
        <v>0</v>
      </c>
      <c r="AD28" s="33">
        <f t="shared" si="29"/>
        <v>-46</v>
      </c>
    </row>
    <row r="29" spans="1:32" s="35" customFormat="1" ht="18.75">
      <c r="A29" s="9">
        <v>44826</v>
      </c>
      <c r="B29" s="10" t="s">
        <v>26</v>
      </c>
      <c r="C29" s="11">
        <v>8914.41</v>
      </c>
      <c r="D29" s="11">
        <f>2790.22+412.23+6</f>
        <v>3208.45</v>
      </c>
      <c r="E29" s="11">
        <v>27.5</v>
      </c>
      <c r="F29" s="11">
        <v>98</v>
      </c>
      <c r="G29" s="11">
        <v>40.67</v>
      </c>
      <c r="H29" s="11">
        <v>0</v>
      </c>
      <c r="I29" s="11">
        <f t="shared" si="27"/>
        <v>12379.03</v>
      </c>
      <c r="J29" s="11">
        <f>2347.91</f>
        <v>2347.91</v>
      </c>
      <c r="K29" s="11">
        <v>0.9</v>
      </c>
      <c r="L29" s="11">
        <f>SUM(M29:Q29)</f>
        <v>10014.549999999999</v>
      </c>
      <c r="M29" s="11">
        <f>2727.08+5143.59+806.68</f>
        <v>8677.35</v>
      </c>
      <c r="N29" s="11">
        <v>140.05000000000001</v>
      </c>
      <c r="O29" s="11">
        <v>127.21</v>
      </c>
      <c r="P29" s="11">
        <v>609.1</v>
      </c>
      <c r="Q29" s="11">
        <v>460.84</v>
      </c>
      <c r="R29" s="11">
        <f>418.23</f>
        <v>418.23</v>
      </c>
      <c r="S29" s="33">
        <v>90</v>
      </c>
      <c r="T29" s="33">
        <v>48</v>
      </c>
      <c r="U29" s="11">
        <v>1796</v>
      </c>
      <c r="V29" s="11">
        <v>450</v>
      </c>
      <c r="W29" s="31">
        <f t="shared" si="28"/>
        <v>4.3200000000001637</v>
      </c>
      <c r="X29" s="32">
        <f t="shared" si="30"/>
        <v>0</v>
      </c>
      <c r="Y29" s="32">
        <v>25</v>
      </c>
      <c r="Z29" s="32">
        <v>15.67</v>
      </c>
      <c r="AA29" s="33">
        <f t="shared" si="31"/>
        <v>0</v>
      </c>
      <c r="AB29" s="33">
        <v>0</v>
      </c>
      <c r="AC29" s="33">
        <v>970</v>
      </c>
      <c r="AD29" s="33">
        <f t="shared" si="29"/>
        <v>970</v>
      </c>
    </row>
    <row r="30" spans="1:32" s="35" customFormat="1" ht="18.75">
      <c r="A30" s="9">
        <v>44827</v>
      </c>
      <c r="B30" s="10" t="s">
        <v>20</v>
      </c>
      <c r="C30" s="11">
        <v>11423.03</v>
      </c>
      <c r="D30" s="11">
        <f>4948.41+355.96</f>
        <v>5304.37</v>
      </c>
      <c r="E30" s="11">
        <v>66</v>
      </c>
      <c r="F30" s="11">
        <v>96</v>
      </c>
      <c r="G30" s="11">
        <v>120</v>
      </c>
      <c r="H30" s="11">
        <v>10</v>
      </c>
      <c r="I30" s="11">
        <f t="shared" si="27"/>
        <v>17019.900000000001</v>
      </c>
      <c r="J30" s="11">
        <v>3718.57</v>
      </c>
      <c r="K30" s="11">
        <v>0.9</v>
      </c>
      <c r="L30" s="11">
        <f t="shared" si="8"/>
        <v>13250.43</v>
      </c>
      <c r="M30" s="11">
        <f>3929.99+61+7585.27+65.56+730.95</f>
        <v>12372.77</v>
      </c>
      <c r="N30" s="11">
        <v>0</v>
      </c>
      <c r="O30" s="11">
        <v>0</v>
      </c>
      <c r="P30" s="11">
        <v>713.57</v>
      </c>
      <c r="Q30" s="11">
        <v>164.09</v>
      </c>
      <c r="R30" s="11">
        <v>355.96</v>
      </c>
      <c r="S30" s="33">
        <v>0.5</v>
      </c>
      <c r="T30" s="33">
        <v>77.5</v>
      </c>
      <c r="U30" s="11">
        <v>3283</v>
      </c>
      <c r="V30" s="11">
        <v>450</v>
      </c>
      <c r="W30" s="31">
        <f t="shared" si="28"/>
        <v>-1.6100000000001273</v>
      </c>
      <c r="X30" s="32">
        <f t="shared" si="30"/>
        <v>0</v>
      </c>
      <c r="Y30" s="32">
        <f t="shared" si="22"/>
        <v>70</v>
      </c>
      <c r="Z30" s="32">
        <v>50</v>
      </c>
      <c r="AA30" s="33">
        <f t="shared" si="31"/>
        <v>10</v>
      </c>
      <c r="AB30" s="33">
        <v>0</v>
      </c>
      <c r="AC30" s="33">
        <v>870</v>
      </c>
      <c r="AD30" s="33">
        <f t="shared" si="29"/>
        <v>860</v>
      </c>
    </row>
    <row r="31" spans="1:32" s="35" customFormat="1" ht="18.75">
      <c r="A31" s="9">
        <v>44828</v>
      </c>
      <c r="B31" s="10" t="s">
        <v>21</v>
      </c>
      <c r="C31" s="11">
        <v>8073.01</v>
      </c>
      <c r="D31" s="11">
        <v>4466.74</v>
      </c>
      <c r="E31" s="11">
        <v>39</v>
      </c>
      <c r="F31" s="11">
        <v>61</v>
      </c>
      <c r="G31" s="11">
        <v>60</v>
      </c>
      <c r="H31" s="11">
        <v>0</v>
      </c>
      <c r="I31" s="11">
        <f t="shared" si="27"/>
        <v>12699.75</v>
      </c>
      <c r="J31" s="11">
        <f>2740.47-12</f>
        <v>2728.47</v>
      </c>
      <c r="K31" s="11">
        <v>2.6</v>
      </c>
      <c r="L31" s="11">
        <f t="shared" si="8"/>
        <v>9958.68</v>
      </c>
      <c r="M31" s="11">
        <f>2727.28+6173.72+490.17</f>
        <v>9391.17</v>
      </c>
      <c r="N31" s="11">
        <v>36.81</v>
      </c>
      <c r="O31" s="11">
        <f>118.55+124.49</f>
        <v>243.04</v>
      </c>
      <c r="P31" s="11">
        <v>161.30000000000001</v>
      </c>
      <c r="Q31" s="11">
        <v>126.36</v>
      </c>
      <c r="R31" s="11">
        <v>0</v>
      </c>
      <c r="S31" s="33">
        <v>0</v>
      </c>
      <c r="T31" s="33">
        <v>5</v>
      </c>
      <c r="U31" s="11">
        <v>2725.35</v>
      </c>
      <c r="V31" s="11">
        <v>450</v>
      </c>
      <c r="W31" s="31">
        <f t="shared" si="28"/>
        <v>1.8800000000001091</v>
      </c>
      <c r="X31" s="32">
        <f t="shared" si="30"/>
        <v>0</v>
      </c>
      <c r="Y31" s="32">
        <f t="shared" si="22"/>
        <v>50</v>
      </c>
      <c r="Z31" s="32">
        <v>10</v>
      </c>
      <c r="AA31" s="33">
        <f t="shared" si="31"/>
        <v>0</v>
      </c>
      <c r="AB31" s="33">
        <v>0</v>
      </c>
      <c r="AC31" s="33">
        <v>600</v>
      </c>
      <c r="AD31" s="33">
        <f t="shared" si="29"/>
        <v>600</v>
      </c>
    </row>
    <row r="32" spans="1:32" s="35" customFormat="1" ht="18.75">
      <c r="A32" s="9">
        <v>44829</v>
      </c>
      <c r="B32" s="10" t="s">
        <v>22</v>
      </c>
      <c r="C32" s="11">
        <v>6960.32</v>
      </c>
      <c r="D32" s="11">
        <v>3389.44</v>
      </c>
      <c r="E32" s="11">
        <v>0</v>
      </c>
      <c r="F32" s="11">
        <v>64</v>
      </c>
      <c r="G32" s="11">
        <v>215</v>
      </c>
      <c r="H32" s="11">
        <v>0</v>
      </c>
      <c r="I32" s="11">
        <f t="shared" si="27"/>
        <v>10638.76</v>
      </c>
      <c r="J32" s="11">
        <v>2502.91</v>
      </c>
      <c r="K32" s="11">
        <v>1.9</v>
      </c>
      <c r="L32" s="11">
        <f t="shared" si="8"/>
        <v>8033.95</v>
      </c>
      <c r="M32" s="11">
        <f>2464.07+4703.15+608.84</f>
        <v>7776.0599999999995</v>
      </c>
      <c r="N32" s="11">
        <v>5</v>
      </c>
      <c r="O32" s="11">
        <v>0</v>
      </c>
      <c r="P32" s="11">
        <v>252.89</v>
      </c>
      <c r="Q32" s="11">
        <v>0</v>
      </c>
      <c r="R32" s="11">
        <v>0</v>
      </c>
      <c r="S32" s="33">
        <v>10</v>
      </c>
      <c r="T32" s="33">
        <v>95</v>
      </c>
      <c r="U32" s="11">
        <v>2399.25</v>
      </c>
      <c r="V32" s="11">
        <v>450</v>
      </c>
      <c r="W32" s="31">
        <f t="shared" si="28"/>
        <v>1.3400000000001455</v>
      </c>
      <c r="X32" s="32">
        <f t="shared" si="30"/>
        <v>0</v>
      </c>
      <c r="Y32" s="32">
        <f t="shared" si="22"/>
        <v>115</v>
      </c>
      <c r="Z32" s="32">
        <v>100</v>
      </c>
      <c r="AA32" s="33">
        <f t="shared" si="31"/>
        <v>0</v>
      </c>
      <c r="AB32" s="33">
        <v>0</v>
      </c>
      <c r="AC32" s="33">
        <v>520</v>
      </c>
      <c r="AD32" s="33">
        <f t="shared" si="29"/>
        <v>520</v>
      </c>
    </row>
    <row r="33" spans="1:30" ht="37.5" customHeight="1">
      <c r="A33" s="65" t="s">
        <v>27</v>
      </c>
      <c r="B33" s="66"/>
      <c r="C33" s="27">
        <f>SUM(C26:C32)</f>
        <v>58806.770000000004</v>
      </c>
      <c r="D33" s="27">
        <f t="shared" ref="D33:AD33" si="32">SUM(D26:D32)</f>
        <v>26664.249999999996</v>
      </c>
      <c r="E33" s="27">
        <f t="shared" si="32"/>
        <v>204</v>
      </c>
      <c r="F33" s="27">
        <f t="shared" si="32"/>
        <v>634</v>
      </c>
      <c r="G33" s="27">
        <f t="shared" si="32"/>
        <v>555.67000000000007</v>
      </c>
      <c r="H33" s="27">
        <f t="shared" si="32"/>
        <v>349.84</v>
      </c>
      <c r="I33" s="27">
        <f t="shared" si="32"/>
        <v>87345.2</v>
      </c>
      <c r="J33" s="27">
        <f t="shared" si="32"/>
        <v>18784.259999999998</v>
      </c>
      <c r="K33" s="27">
        <f t="shared" ref="K33" si="33">SUM(K26:K32)</f>
        <v>7.1</v>
      </c>
      <c r="L33" s="27">
        <f t="shared" si="32"/>
        <v>68066.33</v>
      </c>
      <c r="M33" s="27">
        <f t="shared" si="32"/>
        <v>62875.41</v>
      </c>
      <c r="N33" s="27">
        <f t="shared" si="32"/>
        <v>193</v>
      </c>
      <c r="O33" s="27">
        <f t="shared" si="32"/>
        <v>571.68999999999994</v>
      </c>
      <c r="P33" s="27">
        <f t="shared" si="32"/>
        <v>2858.8500000000004</v>
      </c>
      <c r="Q33" s="27">
        <f t="shared" si="32"/>
        <v>1567.3799999999997</v>
      </c>
      <c r="R33" s="27">
        <f t="shared" si="32"/>
        <v>1373.8</v>
      </c>
      <c r="S33" s="27">
        <f t="shared" si="32"/>
        <v>130.67000000000002</v>
      </c>
      <c r="T33" s="27">
        <f t="shared" si="32"/>
        <v>389.5</v>
      </c>
      <c r="U33" s="27">
        <f t="shared" si="32"/>
        <v>16857.690000000002</v>
      </c>
      <c r="V33" s="27">
        <f t="shared" si="32"/>
        <v>3150</v>
      </c>
      <c r="W33" s="27">
        <f t="shared" si="32"/>
        <v>-32.600000000000364</v>
      </c>
      <c r="X33" s="27">
        <f t="shared" si="32"/>
        <v>-191.83999999999469</v>
      </c>
      <c r="Y33" s="27">
        <f t="shared" si="32"/>
        <v>295</v>
      </c>
      <c r="Z33" s="27">
        <f t="shared" si="32"/>
        <v>260.67</v>
      </c>
      <c r="AA33" s="27">
        <f t="shared" si="32"/>
        <v>314.83999999999997</v>
      </c>
      <c r="AB33" s="27">
        <f t="shared" si="32"/>
        <v>35</v>
      </c>
      <c r="AC33" s="27">
        <f t="shared" si="32"/>
        <v>3780</v>
      </c>
      <c r="AD33" s="27">
        <f t="shared" si="32"/>
        <v>3430.16</v>
      </c>
    </row>
    <row r="34" spans="1:30" ht="20.25" customHeight="1">
      <c r="A34" s="9">
        <v>44830</v>
      </c>
      <c r="B34" s="10" t="s">
        <v>23</v>
      </c>
      <c r="C34" s="11">
        <v>8791.94</v>
      </c>
      <c r="D34" s="11">
        <f>2842.03+272.53</f>
        <v>3114.5600000000004</v>
      </c>
      <c r="E34" s="11">
        <v>1</v>
      </c>
      <c r="F34" s="11">
        <v>68</v>
      </c>
      <c r="G34" s="11">
        <v>40</v>
      </c>
      <c r="H34" s="11">
        <v>275.83999999999997</v>
      </c>
      <c r="I34" s="11">
        <f t="shared" ref="I34:I38" si="34">SUM(C34:H34,S34)</f>
        <v>12291.34</v>
      </c>
      <c r="J34" s="11">
        <v>2424.75</v>
      </c>
      <c r="K34" s="11">
        <v>0.9</v>
      </c>
      <c r="L34" s="11">
        <f t="shared" si="8"/>
        <v>9885.69</v>
      </c>
      <c r="M34" s="11">
        <f>2079.38+5847.04+603.81</f>
        <v>8530.23</v>
      </c>
      <c r="N34" s="11">
        <v>0</v>
      </c>
      <c r="O34" s="11">
        <v>397.78</v>
      </c>
      <c r="P34" s="11">
        <v>479.83</v>
      </c>
      <c r="Q34" s="11">
        <f>124.13+353.72</f>
        <v>477.85</v>
      </c>
      <c r="R34" s="11">
        <v>272.52999999999997</v>
      </c>
      <c r="S34" s="33">
        <v>0</v>
      </c>
      <c r="T34" s="33">
        <v>20</v>
      </c>
      <c r="U34" s="11">
        <v>2114.25</v>
      </c>
      <c r="V34" s="11">
        <v>450</v>
      </c>
      <c r="W34" s="31">
        <f t="shared" ref="W34" si="35">SUM(R34,S34,T34,U34)-J34</f>
        <v>-17.970000000000255</v>
      </c>
      <c r="X34" s="32">
        <f t="shared" ref="X34" si="36">SUM(J34+L34+AB34)-(I34)</f>
        <v>19.100000000000364</v>
      </c>
      <c r="Y34" s="32">
        <f t="shared" si="22"/>
        <v>40</v>
      </c>
      <c r="Z34" s="32">
        <v>0</v>
      </c>
      <c r="AA34" s="33">
        <f t="shared" ref="AA34" si="37">SUM(H34-AB34)</f>
        <v>275.83999999999997</v>
      </c>
      <c r="AB34" s="33">
        <v>0</v>
      </c>
      <c r="AC34" s="33">
        <v>710</v>
      </c>
      <c r="AD34" s="33">
        <f>SUM(AC34-H34)</f>
        <v>434.16</v>
      </c>
    </row>
    <row r="35" spans="1:30" ht="20.25" customHeight="1">
      <c r="A35" s="9">
        <v>44831</v>
      </c>
      <c r="B35" s="10" t="s">
        <v>24</v>
      </c>
      <c r="C35" s="11">
        <v>8562.1200000000008</v>
      </c>
      <c r="D35" s="11">
        <v>3197.18</v>
      </c>
      <c r="E35" s="11">
        <v>56.5</v>
      </c>
      <c r="F35" s="11">
        <v>42</v>
      </c>
      <c r="G35" s="11">
        <v>70</v>
      </c>
      <c r="H35" s="11">
        <v>84</v>
      </c>
      <c r="I35" s="11">
        <f t="shared" si="34"/>
        <v>12051.800000000001</v>
      </c>
      <c r="J35" s="11">
        <v>2259.29</v>
      </c>
      <c r="K35" s="11">
        <v>0.9</v>
      </c>
      <c r="L35" s="11">
        <f t="shared" si="8"/>
        <v>9711.61</v>
      </c>
      <c r="M35" s="11">
        <f>2172.97+6013.92+434.87</f>
        <v>8621.76</v>
      </c>
      <c r="N35" s="11">
        <v>49.85</v>
      </c>
      <c r="O35" s="11">
        <v>201.09</v>
      </c>
      <c r="P35" s="11">
        <v>482.72</v>
      </c>
      <c r="Q35" s="11">
        <v>356.19</v>
      </c>
      <c r="R35" s="11">
        <v>394.48</v>
      </c>
      <c r="S35" s="33">
        <v>40</v>
      </c>
      <c r="T35" s="33">
        <v>49.7</v>
      </c>
      <c r="U35" s="11">
        <v>1779</v>
      </c>
      <c r="V35" s="11">
        <v>450</v>
      </c>
      <c r="W35" s="31">
        <f t="shared" ref="W35:W38" si="38">SUM(R35,S35,T35,U35)-J35</f>
        <v>3.8899999999998727</v>
      </c>
      <c r="X35" s="32">
        <f t="shared" ref="X35:X38" si="39">SUM(J35+L35+AB35)-(I35)</f>
        <v>-70.899999999999636</v>
      </c>
      <c r="Y35" s="32">
        <f t="shared" si="22"/>
        <v>0</v>
      </c>
      <c r="Z35" s="32">
        <v>70</v>
      </c>
      <c r="AA35" s="33">
        <f t="shared" ref="AA35:AA38" si="40">SUM(H35-AB35)</f>
        <v>74</v>
      </c>
      <c r="AB35" s="33">
        <v>10</v>
      </c>
      <c r="AC35" s="33">
        <v>260</v>
      </c>
      <c r="AD35" s="33">
        <f t="shared" ref="AD35:AD38" si="41">SUM(AC35-H35)</f>
        <v>176</v>
      </c>
    </row>
    <row r="36" spans="1:30" ht="20.25" customHeight="1">
      <c r="A36" s="9">
        <v>44832</v>
      </c>
      <c r="B36" s="10" t="s">
        <v>25</v>
      </c>
      <c r="C36" s="11">
        <v>8281.36</v>
      </c>
      <c r="D36" s="11">
        <v>3134.72</v>
      </c>
      <c r="E36" s="11">
        <v>2</v>
      </c>
      <c r="F36" s="11">
        <v>74</v>
      </c>
      <c r="G36" s="11">
        <v>40</v>
      </c>
      <c r="H36" s="11">
        <v>26.04</v>
      </c>
      <c r="I36" s="11">
        <f t="shared" si="34"/>
        <v>11558.12</v>
      </c>
      <c r="J36" s="11">
        <v>2267.73</v>
      </c>
      <c r="K36" s="11">
        <v>0.9</v>
      </c>
      <c r="L36" s="11">
        <f t="shared" si="8"/>
        <v>9269.49</v>
      </c>
      <c r="M36" s="11">
        <f>2789.3+5543.23+522.42</f>
        <v>8854.9499999999989</v>
      </c>
      <c r="N36" s="11">
        <v>0</v>
      </c>
      <c r="O36" s="11">
        <v>126.68</v>
      </c>
      <c r="P36" s="11">
        <v>252.33</v>
      </c>
      <c r="Q36" s="11">
        <v>35.53</v>
      </c>
      <c r="R36" s="11">
        <v>0</v>
      </c>
      <c r="S36" s="33">
        <v>0</v>
      </c>
      <c r="T36" s="33">
        <v>52</v>
      </c>
      <c r="U36" s="11">
        <v>2207.9</v>
      </c>
      <c r="V36" s="11">
        <v>450</v>
      </c>
      <c r="W36" s="31">
        <f t="shared" si="38"/>
        <v>-7.8299999999999272</v>
      </c>
      <c r="X36" s="32">
        <f t="shared" si="39"/>
        <v>-20.900000000001455</v>
      </c>
      <c r="Y36" s="32">
        <f t="shared" si="22"/>
        <v>20</v>
      </c>
      <c r="Z36" s="32">
        <v>20</v>
      </c>
      <c r="AA36" s="33">
        <f t="shared" si="40"/>
        <v>26.04</v>
      </c>
      <c r="AB36" s="33">
        <v>0</v>
      </c>
      <c r="AC36" s="33">
        <v>0</v>
      </c>
      <c r="AD36" s="33">
        <f t="shared" si="41"/>
        <v>-26.04</v>
      </c>
    </row>
    <row r="37" spans="1:30" ht="20.25" customHeight="1">
      <c r="A37" s="9">
        <v>44833</v>
      </c>
      <c r="B37" s="10" t="s">
        <v>26</v>
      </c>
      <c r="C37" s="11">
        <v>8757.77</v>
      </c>
      <c r="D37" s="11">
        <v>3475.42</v>
      </c>
      <c r="E37" s="11">
        <v>2.5</v>
      </c>
      <c r="F37" s="11">
        <v>132</v>
      </c>
      <c r="G37" s="11">
        <v>25</v>
      </c>
      <c r="H37" s="11">
        <v>80</v>
      </c>
      <c r="I37" s="11">
        <f t="shared" si="34"/>
        <v>12472.69</v>
      </c>
      <c r="J37" s="11">
        <v>2708.91</v>
      </c>
      <c r="K37" s="11">
        <v>0.9</v>
      </c>
      <c r="L37" s="11">
        <f t="shared" si="8"/>
        <v>9752.880000000001</v>
      </c>
      <c r="M37" s="11">
        <f>2537.31+5748.37+577.27</f>
        <v>8862.9500000000007</v>
      </c>
      <c r="N37" s="11">
        <v>131.51</v>
      </c>
      <c r="O37" s="11">
        <v>0</v>
      </c>
      <c r="P37" s="11">
        <v>456.39</v>
      </c>
      <c r="Q37" s="11">
        <v>302.02999999999997</v>
      </c>
      <c r="R37" s="11">
        <v>422.75</v>
      </c>
      <c r="S37" s="33">
        <v>0</v>
      </c>
      <c r="T37" s="33">
        <v>89</v>
      </c>
      <c r="U37" s="11">
        <v>2202.8000000000002</v>
      </c>
      <c r="V37" s="11">
        <v>450</v>
      </c>
      <c r="W37" s="31">
        <f t="shared" si="38"/>
        <v>5.6400000000003274</v>
      </c>
      <c r="X37" s="32">
        <f t="shared" si="39"/>
        <v>-0.8999999999996362</v>
      </c>
      <c r="Y37" s="32">
        <f t="shared" si="22"/>
        <v>25</v>
      </c>
      <c r="Z37" s="32">
        <v>0</v>
      </c>
      <c r="AA37" s="33">
        <f t="shared" si="40"/>
        <v>70</v>
      </c>
      <c r="AB37" s="33">
        <v>10</v>
      </c>
      <c r="AC37" s="33">
        <v>800</v>
      </c>
      <c r="AD37" s="33">
        <f t="shared" si="41"/>
        <v>720</v>
      </c>
    </row>
    <row r="38" spans="1:30" ht="20.25" customHeight="1">
      <c r="A38" s="9">
        <v>44834</v>
      </c>
      <c r="B38" s="10" t="s">
        <v>20</v>
      </c>
      <c r="C38" s="11">
        <v>10208.24</v>
      </c>
      <c r="D38" s="11">
        <v>5021.87</v>
      </c>
      <c r="E38" s="11">
        <v>21.5</v>
      </c>
      <c r="F38" s="11">
        <v>103</v>
      </c>
      <c r="G38" s="11">
        <v>326.62</v>
      </c>
      <c r="H38" s="11">
        <v>30</v>
      </c>
      <c r="I38" s="11">
        <f t="shared" si="34"/>
        <v>15711.230000000001</v>
      </c>
      <c r="J38" s="11">
        <v>2841.38</v>
      </c>
      <c r="K38" s="11">
        <v>0.9</v>
      </c>
      <c r="L38" s="11">
        <f t="shared" si="8"/>
        <v>12702.040000000003</v>
      </c>
      <c r="M38" s="11">
        <f>3529.11+7453.23+22.29+655.86</f>
        <v>11660.490000000002</v>
      </c>
      <c r="N38" s="11">
        <v>20</v>
      </c>
      <c r="O38" s="11">
        <v>273.99</v>
      </c>
      <c r="P38" s="11">
        <v>637.46</v>
      </c>
      <c r="Q38" s="11">
        <v>110.1</v>
      </c>
      <c r="R38" s="11">
        <v>0</v>
      </c>
      <c r="S38" s="33">
        <v>0</v>
      </c>
      <c r="T38" s="33">
        <v>38</v>
      </c>
      <c r="U38" s="11">
        <v>2798.9</v>
      </c>
      <c r="V38" s="11">
        <v>450</v>
      </c>
      <c r="W38" s="31">
        <f t="shared" si="38"/>
        <v>-4.4800000000000182</v>
      </c>
      <c r="X38" s="32">
        <f t="shared" si="39"/>
        <v>-157.80999999999949</v>
      </c>
      <c r="Y38" s="32">
        <f t="shared" si="22"/>
        <v>170.01</v>
      </c>
      <c r="Z38" s="32">
        <v>156.61000000000001</v>
      </c>
      <c r="AA38" s="33">
        <f t="shared" si="40"/>
        <v>20</v>
      </c>
      <c r="AB38" s="33">
        <v>10</v>
      </c>
      <c r="AC38" s="33">
        <v>1160</v>
      </c>
      <c r="AD38" s="33">
        <f t="shared" si="41"/>
        <v>1130</v>
      </c>
    </row>
    <row r="39" spans="1:30" ht="37.5" customHeight="1">
      <c r="A39" s="65" t="s">
        <v>27</v>
      </c>
      <c r="B39" s="66"/>
      <c r="C39" s="27">
        <f t="shared" ref="C39:AD39" si="42">SUM(C34:C38)</f>
        <v>44601.43</v>
      </c>
      <c r="D39" s="27">
        <f t="shared" si="42"/>
        <v>17943.75</v>
      </c>
      <c r="E39" s="27">
        <f t="shared" si="42"/>
        <v>83.5</v>
      </c>
      <c r="F39" s="27">
        <f t="shared" si="42"/>
        <v>419</v>
      </c>
      <c r="G39" s="27">
        <f t="shared" ref="G39" si="43">SUM(G34:G38)</f>
        <v>501.62</v>
      </c>
      <c r="H39" s="27">
        <f t="shared" si="42"/>
        <v>495.88</v>
      </c>
      <c r="I39" s="27">
        <f t="shared" si="42"/>
        <v>64085.180000000008</v>
      </c>
      <c r="J39" s="27">
        <f t="shared" si="42"/>
        <v>12502.060000000001</v>
      </c>
      <c r="K39" s="27">
        <f t="shared" ref="K39" si="44">SUM(K34:K38)</f>
        <v>4.5</v>
      </c>
      <c r="L39" s="27">
        <f t="shared" si="42"/>
        <v>51321.71</v>
      </c>
      <c r="M39" s="27">
        <f t="shared" si="42"/>
        <v>46530.380000000005</v>
      </c>
      <c r="N39" s="27">
        <f t="shared" si="42"/>
        <v>201.35999999999999</v>
      </c>
      <c r="O39" s="27">
        <f t="shared" si="42"/>
        <v>999.54</v>
      </c>
      <c r="P39" s="27">
        <f t="shared" si="42"/>
        <v>2308.73</v>
      </c>
      <c r="Q39" s="27">
        <f t="shared" ref="Q39" si="45">SUM(Q34:Q38)</f>
        <v>1281.6999999999998</v>
      </c>
      <c r="R39" s="27">
        <f t="shared" si="42"/>
        <v>1089.76</v>
      </c>
      <c r="S39" s="27">
        <f t="shared" si="42"/>
        <v>40</v>
      </c>
      <c r="T39" s="27">
        <f t="shared" si="42"/>
        <v>248.7</v>
      </c>
      <c r="U39" s="27">
        <f t="shared" si="42"/>
        <v>11102.85</v>
      </c>
      <c r="V39" s="27">
        <f t="shared" si="42"/>
        <v>2250</v>
      </c>
      <c r="W39" s="27">
        <f t="shared" si="42"/>
        <v>-20.75</v>
      </c>
      <c r="X39" s="27">
        <f t="shared" si="42"/>
        <v>-231.40999999999985</v>
      </c>
      <c r="Y39" s="27">
        <f t="shared" si="42"/>
        <v>255.01</v>
      </c>
      <c r="Z39" s="27">
        <f t="shared" si="42"/>
        <v>246.61</v>
      </c>
      <c r="AA39" s="27">
        <f t="shared" si="42"/>
        <v>465.88</v>
      </c>
      <c r="AB39" s="27">
        <f t="shared" si="42"/>
        <v>30</v>
      </c>
      <c r="AC39" s="27">
        <f t="shared" si="42"/>
        <v>2930</v>
      </c>
      <c r="AD39" s="27">
        <f t="shared" si="42"/>
        <v>2434.12</v>
      </c>
    </row>
    <row r="40" spans="1:30" ht="51.75" customHeight="1">
      <c r="A40" s="67" t="s">
        <v>17</v>
      </c>
      <c r="B40" s="68"/>
      <c r="C40" s="30">
        <f t="shared" ref="C40:AD40" si="46">SUM(C33,C25,C17,C9,C39)</f>
        <v>279338.49</v>
      </c>
      <c r="D40" s="30">
        <f t="shared" si="46"/>
        <v>123213.98</v>
      </c>
      <c r="E40" s="30">
        <f t="shared" si="46"/>
        <v>757.5</v>
      </c>
      <c r="F40" s="30">
        <f t="shared" si="46"/>
        <v>3244</v>
      </c>
      <c r="G40" s="30">
        <f t="shared" si="46"/>
        <v>2369.4699999999998</v>
      </c>
      <c r="H40" s="30">
        <f t="shared" si="46"/>
        <v>2362.0500000000002</v>
      </c>
      <c r="I40" s="30">
        <f t="shared" si="46"/>
        <v>411943.26999999996</v>
      </c>
      <c r="J40" s="30">
        <f t="shared" si="46"/>
        <v>85821.03</v>
      </c>
      <c r="K40" s="30">
        <f t="shared" ref="K40" si="47">SUM(K33,K25,K17,K9,K39)</f>
        <v>31.7</v>
      </c>
      <c r="L40" s="30">
        <f t="shared" si="46"/>
        <v>323962.29000000004</v>
      </c>
      <c r="M40" s="30">
        <f t="shared" si="46"/>
        <v>298296.79000000004</v>
      </c>
      <c r="N40" s="30">
        <f t="shared" si="46"/>
        <v>1060.94</v>
      </c>
      <c r="O40" s="30">
        <f t="shared" si="46"/>
        <v>4369.3</v>
      </c>
      <c r="P40" s="30">
        <f t="shared" si="46"/>
        <v>13350.21</v>
      </c>
      <c r="Q40" s="30">
        <f t="shared" si="46"/>
        <v>7777.5599999999995</v>
      </c>
      <c r="R40" s="30">
        <f t="shared" si="46"/>
        <v>5674.47</v>
      </c>
      <c r="S40" s="30">
        <f t="shared" si="46"/>
        <v>657.78</v>
      </c>
      <c r="T40" s="30">
        <f t="shared" si="46"/>
        <v>1630.1000000000001</v>
      </c>
      <c r="U40" s="30">
        <f t="shared" si="46"/>
        <v>77749.490000000005</v>
      </c>
      <c r="V40" s="30">
        <f t="shared" si="46"/>
        <v>14850</v>
      </c>
      <c r="W40" s="30">
        <f t="shared" si="46"/>
        <v>-6610.7600000000011</v>
      </c>
      <c r="X40" s="30">
        <f t="shared" si="46"/>
        <v>-422.66999999998734</v>
      </c>
      <c r="Y40" s="30">
        <f t="shared" si="46"/>
        <v>1667.1899999999998</v>
      </c>
      <c r="Z40" s="30">
        <f t="shared" si="46"/>
        <v>702.28</v>
      </c>
      <c r="AA40" s="30">
        <f t="shared" si="46"/>
        <v>1107.6399999999999</v>
      </c>
      <c r="AB40" s="30">
        <f t="shared" si="46"/>
        <v>1254.4099999999999</v>
      </c>
      <c r="AC40" s="30">
        <f t="shared" si="46"/>
        <v>17270</v>
      </c>
      <c r="AD40" s="30">
        <f t="shared" si="46"/>
        <v>14907.949999999997</v>
      </c>
    </row>
    <row r="42" spans="1:30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</row>
    <row r="43" spans="1:30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</row>
    <row r="44" spans="1:30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</row>
    <row r="45" spans="1:30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</row>
    <row r="46" spans="1:30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</row>
    <row r="48" spans="1:30" hidden="1"/>
    <row r="49" spans="1:30" ht="18.75" hidden="1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33"/>
      <c r="T49" s="33"/>
      <c r="U49" s="11"/>
      <c r="V49" s="11"/>
      <c r="W49" s="31"/>
      <c r="X49" s="32"/>
      <c r="Y49" s="32"/>
      <c r="Z49" s="32"/>
      <c r="AA49" s="33"/>
      <c r="AB49" s="33"/>
      <c r="AC49" s="33"/>
      <c r="AD49" s="33"/>
    </row>
    <row r="50" spans="1:30" ht="18.75" hidden="1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33"/>
      <c r="T50" s="33"/>
      <c r="U50" s="11"/>
      <c r="V50" s="11"/>
      <c r="W50" s="31"/>
      <c r="X50" s="32"/>
      <c r="Y50" s="32"/>
      <c r="Z50" s="32"/>
      <c r="AA50" s="33"/>
      <c r="AB50" s="33"/>
      <c r="AC50" s="33"/>
      <c r="AD50" s="33"/>
    </row>
    <row r="51" spans="1:30" s="28" customFormat="1" ht="18.75" hidden="1">
      <c r="A51"/>
      <c r="B5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33"/>
      <c r="T51" s="33"/>
      <c r="U51" s="11"/>
      <c r="V51" s="11"/>
      <c r="W51" s="31"/>
      <c r="X51" s="32"/>
      <c r="Y51" s="32"/>
      <c r="Z51" s="32"/>
      <c r="AA51" s="33"/>
      <c r="AB51" s="33"/>
      <c r="AC51" s="33"/>
      <c r="AD51" s="33"/>
    </row>
    <row r="52" spans="1:30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</row>
    <row r="53" spans="1:30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</row>
    <row r="54" spans="1:30" s="28" customFormat="1" hidden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</row>
  </sheetData>
  <mergeCells count="6">
    <mergeCell ref="A40:B40"/>
    <mergeCell ref="A9:B9"/>
    <mergeCell ref="A17:B17"/>
    <mergeCell ref="A25:B25"/>
    <mergeCell ref="A33:B33"/>
    <mergeCell ref="A39:B39"/>
  </mergeCells>
  <conditionalFormatting sqref="W49:Z51 W2:Z8 W10:Z16 W18:Y24 W34:Z38 W26:Z32">
    <cfRule type="cellIs" dxfId="207" priority="7" operator="lessThan">
      <formula>0</formula>
    </cfRule>
    <cfRule type="cellIs" dxfId="206" priority="8" operator="greaterThan">
      <formula>0</formula>
    </cfRule>
  </conditionalFormatting>
  <conditionalFormatting sqref="W49:AA51 W2:AA8 W10:AA16 AA18:AA24 W18:Y24 W34:AA38 W26:AA32">
    <cfRule type="cellIs" dxfId="205" priority="4" operator="equal">
      <formula>0</formula>
    </cfRule>
    <cfRule type="cellIs" dxfId="204" priority="5" operator="lessThan">
      <formula>0</formula>
    </cfRule>
    <cfRule type="cellIs" dxfId="203" priority="6" operator="greaterThan">
      <formula>0</formula>
    </cfRule>
  </conditionalFormatting>
  <conditionalFormatting sqref="AD10:AD16 AD18:AD24 AD26:AD32 AD2:AD8 AD34:AD38">
    <cfRule type="cellIs" dxfId="202" priority="1" operator="equal">
      <formula>0</formula>
    </cfRule>
    <cfRule type="cellIs" dxfId="201" priority="2" operator="lessThan">
      <formula>0</formula>
    </cfRule>
    <cfRule type="cellIs" dxfId="20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G57"/>
  <sheetViews>
    <sheetView topLeftCell="A13" zoomScale="60" zoomScaleNormal="60" workbookViewId="0">
      <selection activeCell="Q43" sqref="Q43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6.42578125" customWidth="1"/>
    <col min="17" max="18" width="15.5703125" customWidth="1"/>
    <col min="19" max="19" width="13.85546875" customWidth="1"/>
    <col min="20" max="20" width="13.5703125" customWidth="1"/>
    <col min="21" max="21" width="14.28515625" customWidth="1"/>
    <col min="22" max="22" width="13" customWidth="1"/>
    <col min="23" max="23" width="14.85546875" customWidth="1"/>
    <col min="24" max="24" width="15.85546875" customWidth="1"/>
    <col min="25" max="27" width="16.5703125" customWidth="1"/>
    <col min="28" max="28" width="14" customWidth="1"/>
    <col min="29" max="29" width="13" customWidth="1"/>
    <col min="30" max="30" width="14.85546875" customWidth="1"/>
    <col min="31" max="31" width="15.5703125" customWidth="1"/>
  </cols>
  <sheetData>
    <row r="1" spans="1:31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96</v>
      </c>
      <c r="P1" s="8" t="s">
        <v>8</v>
      </c>
      <c r="Q1" s="8" t="s">
        <v>28</v>
      </c>
      <c r="R1" s="8" t="s">
        <v>92</v>
      </c>
      <c r="S1" s="8" t="s">
        <v>9</v>
      </c>
      <c r="T1" s="8" t="s">
        <v>10</v>
      </c>
      <c r="U1" s="8" t="s">
        <v>11</v>
      </c>
      <c r="V1" s="8" t="s">
        <v>12</v>
      </c>
      <c r="W1" s="8" t="s">
        <v>13</v>
      </c>
      <c r="X1" s="8" t="s">
        <v>14</v>
      </c>
      <c r="Y1" s="8" t="s">
        <v>34</v>
      </c>
      <c r="Z1" s="23" t="s">
        <v>94</v>
      </c>
      <c r="AA1" s="23" t="s">
        <v>95</v>
      </c>
      <c r="AB1" s="23" t="s">
        <v>39</v>
      </c>
      <c r="AC1" s="23" t="s">
        <v>40</v>
      </c>
      <c r="AD1" s="23" t="s">
        <v>78</v>
      </c>
      <c r="AE1" s="23" t="s">
        <v>79</v>
      </c>
    </row>
    <row r="2" spans="1:31" ht="20.25" customHeight="1">
      <c r="A2" s="9">
        <v>44830</v>
      </c>
      <c r="B2" s="10" t="s">
        <v>23</v>
      </c>
      <c r="C2" s="11">
        <v>8791.94</v>
      </c>
      <c r="D2" s="11">
        <f>2842.03+272.53</f>
        <v>3114.5600000000004</v>
      </c>
      <c r="E2" s="11">
        <v>1</v>
      </c>
      <c r="F2" s="11">
        <v>68</v>
      </c>
      <c r="G2" s="11">
        <v>40</v>
      </c>
      <c r="H2" s="11">
        <v>275.83999999999997</v>
      </c>
      <c r="I2" s="11">
        <f t="shared" ref="I2:I6" si="0">SUM(C2:H2,T2)</f>
        <v>12291.34</v>
      </c>
      <c r="J2" s="11">
        <f>2424.75-20</f>
        <v>2404.75</v>
      </c>
      <c r="K2" s="11">
        <v>0.9</v>
      </c>
      <c r="L2" s="11">
        <f t="shared" ref="L2:L6" si="1">SUM(M2:R2)</f>
        <v>9885.69</v>
      </c>
      <c r="M2" s="11">
        <f>2079.38+5847.04+603.81</f>
        <v>8530.23</v>
      </c>
      <c r="N2" s="11">
        <v>0</v>
      </c>
      <c r="O2" s="11">
        <v>0</v>
      </c>
      <c r="P2" s="11">
        <v>397.78</v>
      </c>
      <c r="Q2" s="11">
        <v>479.83</v>
      </c>
      <c r="R2" s="11">
        <f>124.13+353.72</f>
        <v>477.85</v>
      </c>
      <c r="S2" s="11">
        <f>272.53</f>
        <v>272.52999999999997</v>
      </c>
      <c r="T2" s="33">
        <v>0</v>
      </c>
      <c r="U2" s="33">
        <v>20</v>
      </c>
      <c r="V2" s="11">
        <v>2114.25</v>
      </c>
      <c r="W2" s="11">
        <v>450</v>
      </c>
      <c r="X2" s="31">
        <f t="shared" ref="X2" si="2">SUM(S2,T2,U2,V2)-J2</f>
        <v>2.0299999999997453</v>
      </c>
      <c r="Y2" s="32">
        <f>SUM(J2+K2+L2+AC2+AA2)-(I2)</f>
        <v>0</v>
      </c>
      <c r="Z2" s="32">
        <f t="shared" ref="Z2:Z8" si="3">SUM(G2-AA2)</f>
        <v>40</v>
      </c>
      <c r="AA2" s="32">
        <v>0</v>
      </c>
      <c r="AB2" s="33">
        <f t="shared" ref="AB2:AB8" si="4">SUM(H2-AC2)</f>
        <v>275.83999999999997</v>
      </c>
      <c r="AC2" s="33">
        <v>0</v>
      </c>
      <c r="AD2" s="33">
        <v>710</v>
      </c>
      <c r="AE2" s="33">
        <f>SUM(AD2-H2)</f>
        <v>434.16</v>
      </c>
    </row>
    <row r="3" spans="1:31" ht="20.25" customHeight="1">
      <c r="A3" s="9">
        <v>44831</v>
      </c>
      <c r="B3" s="10" t="s">
        <v>24</v>
      </c>
      <c r="C3" s="11">
        <v>8562.1200000000008</v>
      </c>
      <c r="D3" s="11">
        <f>2802.7+394.48</f>
        <v>3197.18</v>
      </c>
      <c r="E3" s="11">
        <v>56.5</v>
      </c>
      <c r="F3" s="11">
        <v>42</v>
      </c>
      <c r="G3" s="11">
        <v>70</v>
      </c>
      <c r="H3" s="11">
        <v>84</v>
      </c>
      <c r="I3" s="11">
        <f t="shared" si="0"/>
        <v>12051.800000000001</v>
      </c>
      <c r="J3" s="11">
        <v>2259.29</v>
      </c>
      <c r="K3" s="11">
        <v>0.9</v>
      </c>
      <c r="L3" s="11">
        <f t="shared" si="1"/>
        <v>9711.61</v>
      </c>
      <c r="M3" s="11">
        <f>2172.97+6013.92+434.87</f>
        <v>8621.76</v>
      </c>
      <c r="N3" s="11">
        <v>49.85</v>
      </c>
      <c r="O3" s="11">
        <v>0</v>
      </c>
      <c r="P3" s="11">
        <v>201.09</v>
      </c>
      <c r="Q3" s="11">
        <v>482.72</v>
      </c>
      <c r="R3" s="11">
        <v>356.19</v>
      </c>
      <c r="S3" s="11">
        <v>394.48</v>
      </c>
      <c r="T3" s="33">
        <v>40</v>
      </c>
      <c r="U3" s="33">
        <v>49.7</v>
      </c>
      <c r="V3" s="11">
        <v>1779</v>
      </c>
      <c r="W3" s="11">
        <v>450</v>
      </c>
      <c r="X3" s="31">
        <f t="shared" ref="X3:X5" si="5">SUM(S3,T3,U3,V3)-J3</f>
        <v>3.8899999999998727</v>
      </c>
      <c r="Y3" s="32">
        <f t="shared" ref="Y3:Y5" si="6">SUM(J3+K3+L3+AC3+AA3)-(I3)</f>
        <v>0</v>
      </c>
      <c r="Z3" s="32">
        <f t="shared" si="3"/>
        <v>0</v>
      </c>
      <c r="AA3" s="32">
        <v>70</v>
      </c>
      <c r="AB3" s="33">
        <f t="shared" si="4"/>
        <v>74</v>
      </c>
      <c r="AC3" s="33">
        <v>10</v>
      </c>
      <c r="AD3" s="33">
        <v>260</v>
      </c>
      <c r="AE3" s="33">
        <f t="shared" ref="AE3:AE8" si="7">SUM(AD3-H3)</f>
        <v>176</v>
      </c>
    </row>
    <row r="4" spans="1:31" ht="20.25" customHeight="1">
      <c r="A4" s="9">
        <v>44832</v>
      </c>
      <c r="B4" s="10" t="s">
        <v>25</v>
      </c>
      <c r="C4" s="11">
        <v>8281.36</v>
      </c>
      <c r="D4" s="11">
        <v>3134.72</v>
      </c>
      <c r="E4" s="11">
        <v>2</v>
      </c>
      <c r="F4" s="11">
        <v>74</v>
      </c>
      <c r="G4" s="11">
        <v>40</v>
      </c>
      <c r="H4" s="11">
        <v>26.04</v>
      </c>
      <c r="I4" s="11">
        <f t="shared" si="0"/>
        <v>11558.12</v>
      </c>
      <c r="J4" s="11">
        <v>2267.73</v>
      </c>
      <c r="K4" s="11">
        <v>0.9</v>
      </c>
      <c r="L4" s="11">
        <f t="shared" si="1"/>
        <v>9269.49</v>
      </c>
      <c r="M4" s="11">
        <f>2789.3+5543.23+522.42</f>
        <v>8854.9499999999989</v>
      </c>
      <c r="N4" s="11">
        <v>0</v>
      </c>
      <c r="O4" s="11">
        <v>0</v>
      </c>
      <c r="P4" s="11">
        <v>126.68</v>
      </c>
      <c r="Q4" s="11">
        <v>252.33</v>
      </c>
      <c r="R4" s="11">
        <v>35.53</v>
      </c>
      <c r="S4" s="11">
        <v>0</v>
      </c>
      <c r="T4" s="33">
        <v>0</v>
      </c>
      <c r="U4" s="33">
        <v>52</v>
      </c>
      <c r="V4" s="11">
        <v>2207.9</v>
      </c>
      <c r="W4" s="11">
        <v>450</v>
      </c>
      <c r="X4" s="31">
        <f t="shared" si="5"/>
        <v>-7.8299999999999272</v>
      </c>
      <c r="Y4" s="32">
        <f t="shared" si="6"/>
        <v>0</v>
      </c>
      <c r="Z4" s="32">
        <f t="shared" si="3"/>
        <v>20</v>
      </c>
      <c r="AA4" s="32">
        <v>20</v>
      </c>
      <c r="AB4" s="33">
        <f t="shared" si="4"/>
        <v>26.04</v>
      </c>
      <c r="AC4" s="33">
        <v>0</v>
      </c>
      <c r="AD4" s="33">
        <v>0</v>
      </c>
      <c r="AE4" s="33">
        <f t="shared" si="7"/>
        <v>-26.04</v>
      </c>
    </row>
    <row r="5" spans="1:31" ht="20.25" customHeight="1">
      <c r="A5" s="9">
        <v>44833</v>
      </c>
      <c r="B5" s="10" t="s">
        <v>26</v>
      </c>
      <c r="C5" s="11">
        <v>8757.77</v>
      </c>
      <c r="D5" s="11">
        <v>3475.42</v>
      </c>
      <c r="E5" s="11">
        <v>2.5</v>
      </c>
      <c r="F5" s="11">
        <v>132</v>
      </c>
      <c r="G5" s="11">
        <v>25</v>
      </c>
      <c r="H5" s="11">
        <v>80</v>
      </c>
      <c r="I5" s="11">
        <f t="shared" si="0"/>
        <v>12472.69</v>
      </c>
      <c r="J5" s="11">
        <v>2708.91</v>
      </c>
      <c r="K5" s="11">
        <v>0.9</v>
      </c>
      <c r="L5" s="11">
        <f t="shared" si="1"/>
        <v>9752.880000000001</v>
      </c>
      <c r="M5" s="11">
        <f>2537.31+5748.37+577.27</f>
        <v>8862.9500000000007</v>
      </c>
      <c r="N5" s="11">
        <v>131.51</v>
      </c>
      <c r="O5" s="11">
        <v>0</v>
      </c>
      <c r="P5" s="11">
        <v>0</v>
      </c>
      <c r="Q5" s="11">
        <v>456.39</v>
      </c>
      <c r="R5" s="11">
        <v>302.02999999999997</v>
      </c>
      <c r="S5" s="11">
        <v>422.75</v>
      </c>
      <c r="T5" s="33">
        <v>0</v>
      </c>
      <c r="U5" s="33">
        <v>89</v>
      </c>
      <c r="V5" s="11">
        <v>2202.8000000000002</v>
      </c>
      <c r="W5" s="11">
        <v>450</v>
      </c>
      <c r="X5" s="31">
        <f t="shared" si="5"/>
        <v>5.6400000000003274</v>
      </c>
      <c r="Y5" s="32">
        <f t="shared" si="6"/>
        <v>0</v>
      </c>
      <c r="Z5" s="32">
        <f t="shared" si="3"/>
        <v>25</v>
      </c>
      <c r="AA5" s="32">
        <v>0</v>
      </c>
      <c r="AB5" s="33">
        <f t="shared" si="4"/>
        <v>70</v>
      </c>
      <c r="AC5" s="33">
        <v>10</v>
      </c>
      <c r="AD5" s="33">
        <v>800</v>
      </c>
      <c r="AE5" s="33">
        <f t="shared" si="7"/>
        <v>720</v>
      </c>
    </row>
    <row r="6" spans="1:31" ht="20.25" customHeight="1">
      <c r="A6" s="9">
        <v>44834</v>
      </c>
      <c r="B6" s="10" t="s">
        <v>20</v>
      </c>
      <c r="C6" s="11">
        <v>10208.24</v>
      </c>
      <c r="D6" s="11">
        <v>5021.87</v>
      </c>
      <c r="E6" s="11">
        <v>21.5</v>
      </c>
      <c r="F6" s="11">
        <v>103</v>
      </c>
      <c r="G6" s="11">
        <v>30</v>
      </c>
      <c r="H6" s="11">
        <v>326.62</v>
      </c>
      <c r="I6" s="11">
        <f t="shared" si="0"/>
        <v>15711.230000000001</v>
      </c>
      <c r="J6" s="11">
        <v>2841.38</v>
      </c>
      <c r="K6" s="11">
        <v>0.9</v>
      </c>
      <c r="L6" s="11">
        <f t="shared" si="1"/>
        <v>12702.040000000003</v>
      </c>
      <c r="M6" s="11">
        <f>3529.11+7453.23+22.29+655.86</f>
        <v>11660.490000000002</v>
      </c>
      <c r="N6" s="11">
        <v>20</v>
      </c>
      <c r="O6" s="11">
        <v>0</v>
      </c>
      <c r="P6" s="11">
        <v>273.99</v>
      </c>
      <c r="Q6" s="11">
        <v>637.46</v>
      </c>
      <c r="R6" s="11">
        <v>110.1</v>
      </c>
      <c r="S6" s="11">
        <v>0</v>
      </c>
      <c r="T6" s="33">
        <v>0</v>
      </c>
      <c r="U6" s="33">
        <v>38</v>
      </c>
      <c r="V6" s="11">
        <v>2798.9</v>
      </c>
      <c r="W6" s="11">
        <v>450</v>
      </c>
      <c r="X6" s="31">
        <f t="shared" ref="X6:X8" si="8">SUM(S6,T6,U6,V6)-J6</f>
        <v>-4.4800000000000182</v>
      </c>
      <c r="Y6" s="32">
        <f t="shared" ref="Y6:Y8" si="9">SUM(J6+K6+L6+AC6+AA6)-(I6)</f>
        <v>0</v>
      </c>
      <c r="Z6" s="32">
        <f t="shared" si="3"/>
        <v>20</v>
      </c>
      <c r="AA6" s="32">
        <v>10</v>
      </c>
      <c r="AB6" s="33">
        <f t="shared" si="4"/>
        <v>169.71</v>
      </c>
      <c r="AC6" s="33">
        <v>156.91</v>
      </c>
      <c r="AD6" s="33">
        <v>1160</v>
      </c>
      <c r="AE6" s="33">
        <f t="shared" si="7"/>
        <v>833.38</v>
      </c>
    </row>
    <row r="7" spans="1:31" ht="20.25" customHeight="1">
      <c r="A7" s="9">
        <v>44835</v>
      </c>
      <c r="B7" s="10" t="s">
        <v>21</v>
      </c>
      <c r="C7" s="11">
        <f>8110.08+19.98</f>
        <v>8130.0599999999995</v>
      </c>
      <c r="D7" s="11">
        <f>4375.7</f>
        <v>4375.7</v>
      </c>
      <c r="E7" s="11">
        <v>14</v>
      </c>
      <c r="F7" s="11">
        <v>107</v>
      </c>
      <c r="G7" s="11">
        <v>0</v>
      </c>
      <c r="H7" s="11">
        <v>140.86000000000001</v>
      </c>
      <c r="I7" s="11">
        <f>SUM(C7:H7,T7)</f>
        <v>12768.619999999999</v>
      </c>
      <c r="J7" s="11">
        <v>2730.82</v>
      </c>
      <c r="K7" s="11">
        <v>0</v>
      </c>
      <c r="L7" s="11">
        <f>SUM(M7:R7)</f>
        <v>9997.82</v>
      </c>
      <c r="M7" s="11">
        <f>3472.02+5696.58+640.83</f>
        <v>9809.43</v>
      </c>
      <c r="N7" s="11">
        <v>53.56</v>
      </c>
      <c r="O7" s="11">
        <v>0</v>
      </c>
      <c r="P7" s="11">
        <v>0</v>
      </c>
      <c r="Q7" s="11">
        <v>134.83000000000001</v>
      </c>
      <c r="R7" s="11">
        <v>0</v>
      </c>
      <c r="S7" s="11">
        <v>0</v>
      </c>
      <c r="T7" s="33">
        <v>1</v>
      </c>
      <c r="U7" s="33">
        <v>33</v>
      </c>
      <c r="V7" s="11">
        <v>2675.6</v>
      </c>
      <c r="W7" s="11">
        <v>450</v>
      </c>
      <c r="X7" s="31">
        <f t="shared" si="8"/>
        <v>-21.220000000000255</v>
      </c>
      <c r="Y7" s="32">
        <f t="shared" si="9"/>
        <v>-19.979999999999563</v>
      </c>
      <c r="Z7" s="32">
        <f t="shared" si="3"/>
        <v>0</v>
      </c>
      <c r="AA7" s="32">
        <v>0</v>
      </c>
      <c r="AB7" s="33">
        <f t="shared" si="4"/>
        <v>120.86000000000001</v>
      </c>
      <c r="AC7" s="33">
        <v>20</v>
      </c>
      <c r="AD7" s="33">
        <v>0</v>
      </c>
      <c r="AE7" s="33">
        <f t="shared" si="7"/>
        <v>-140.86000000000001</v>
      </c>
    </row>
    <row r="8" spans="1:31" ht="18.75">
      <c r="A8" s="9">
        <v>44836</v>
      </c>
      <c r="B8" s="10" t="s">
        <v>22</v>
      </c>
      <c r="C8" s="11">
        <v>6801.8</v>
      </c>
      <c r="D8" s="11">
        <v>3625.93</v>
      </c>
      <c r="E8" s="11">
        <v>1.5</v>
      </c>
      <c r="F8" s="11">
        <v>61</v>
      </c>
      <c r="G8" s="11">
        <v>0</v>
      </c>
      <c r="H8" s="11">
        <v>30</v>
      </c>
      <c r="I8" s="11">
        <f>SUM(C8:H8,T8)</f>
        <v>10560.23</v>
      </c>
      <c r="J8" s="48">
        <v>2358.35</v>
      </c>
      <c r="K8" s="11">
        <v>0</v>
      </c>
      <c r="L8" s="11">
        <f>SUM(M8:R8)</f>
        <v>8171.8799999999992</v>
      </c>
      <c r="M8" s="11">
        <f>5162.52+2110.47+335.32</f>
        <v>7608.3099999999995</v>
      </c>
      <c r="N8" s="11">
        <v>95.87</v>
      </c>
      <c r="O8" s="11">
        <v>0</v>
      </c>
      <c r="P8" s="11">
        <v>226.33</v>
      </c>
      <c r="Q8" s="11">
        <v>155.46</v>
      </c>
      <c r="R8" s="11">
        <v>85.91</v>
      </c>
      <c r="S8" s="11">
        <v>177.5</v>
      </c>
      <c r="T8" s="33">
        <v>40</v>
      </c>
      <c r="U8" s="33">
        <v>22</v>
      </c>
      <c r="V8" s="11">
        <v>2142.5</v>
      </c>
      <c r="W8" s="11">
        <v>450</v>
      </c>
      <c r="X8" s="31">
        <f t="shared" si="8"/>
        <v>23.650000000000091</v>
      </c>
      <c r="Y8" s="32">
        <f t="shared" si="9"/>
        <v>0</v>
      </c>
      <c r="Z8" s="32">
        <f t="shared" si="3"/>
        <v>0</v>
      </c>
      <c r="AA8" s="32">
        <v>0</v>
      </c>
      <c r="AB8" s="33">
        <f t="shared" si="4"/>
        <v>0</v>
      </c>
      <c r="AC8" s="33">
        <v>30</v>
      </c>
      <c r="AD8" s="33">
        <v>1470</v>
      </c>
      <c r="AE8" s="33">
        <f t="shared" si="7"/>
        <v>1440</v>
      </c>
    </row>
    <row r="9" spans="1:31" ht="37.5" customHeight="1">
      <c r="A9" s="65" t="s">
        <v>27</v>
      </c>
      <c r="B9" s="66"/>
      <c r="C9" s="27">
        <f>SUM(C2:C8)</f>
        <v>59533.29</v>
      </c>
      <c r="D9" s="27">
        <f t="shared" ref="D9:AE9" si="10">SUM(D2:D8)</f>
        <v>25945.38</v>
      </c>
      <c r="E9" s="27">
        <f t="shared" si="10"/>
        <v>99</v>
      </c>
      <c r="F9" s="27">
        <f t="shared" si="10"/>
        <v>587</v>
      </c>
      <c r="G9" s="27">
        <f t="shared" si="10"/>
        <v>205</v>
      </c>
      <c r="H9" s="27">
        <f t="shared" si="10"/>
        <v>963.36</v>
      </c>
      <c r="I9" s="27">
        <f t="shared" si="10"/>
        <v>87414.03</v>
      </c>
      <c r="J9" s="27">
        <f t="shared" si="10"/>
        <v>17571.23</v>
      </c>
      <c r="K9" s="27">
        <f t="shared" si="10"/>
        <v>4.5</v>
      </c>
      <c r="L9" s="27">
        <f>SUM(L2:L8)</f>
        <v>69491.41</v>
      </c>
      <c r="M9" s="27">
        <f t="shared" si="10"/>
        <v>63948.12</v>
      </c>
      <c r="N9" s="27">
        <f t="shared" si="10"/>
        <v>350.78999999999996</v>
      </c>
      <c r="O9" s="27">
        <f t="shared" ref="O9" si="11">SUM(O2:O8)</f>
        <v>0</v>
      </c>
      <c r="P9" s="27">
        <f t="shared" si="10"/>
        <v>1225.8699999999999</v>
      </c>
      <c r="Q9" s="27">
        <f t="shared" si="10"/>
        <v>2599.02</v>
      </c>
      <c r="R9" s="27">
        <f t="shared" si="10"/>
        <v>1367.61</v>
      </c>
      <c r="S9" s="27">
        <f t="shared" si="10"/>
        <v>1267.26</v>
      </c>
      <c r="T9" s="27">
        <f t="shared" si="10"/>
        <v>81</v>
      </c>
      <c r="U9" s="27">
        <f t="shared" si="10"/>
        <v>303.7</v>
      </c>
      <c r="V9" s="27">
        <f t="shared" si="10"/>
        <v>15920.95</v>
      </c>
      <c r="W9" s="27">
        <f t="shared" si="10"/>
        <v>3150</v>
      </c>
      <c r="X9" s="27">
        <f t="shared" si="10"/>
        <v>1.6799999999998363</v>
      </c>
      <c r="Y9" s="27">
        <f t="shared" si="10"/>
        <v>-19.979999999999563</v>
      </c>
      <c r="Z9" s="27">
        <f t="shared" si="10"/>
        <v>105</v>
      </c>
      <c r="AA9" s="27">
        <f t="shared" si="10"/>
        <v>100</v>
      </c>
      <c r="AB9" s="27">
        <f t="shared" si="10"/>
        <v>736.45</v>
      </c>
      <c r="AC9" s="27">
        <f t="shared" si="10"/>
        <v>226.91</v>
      </c>
      <c r="AD9" s="27">
        <f t="shared" si="10"/>
        <v>4400</v>
      </c>
      <c r="AE9" s="27">
        <f t="shared" si="10"/>
        <v>3436.64</v>
      </c>
    </row>
    <row r="10" spans="1:31" ht="18.75">
      <c r="A10" s="9">
        <v>44837</v>
      </c>
      <c r="B10" s="10" t="s">
        <v>23</v>
      </c>
      <c r="C10" s="11">
        <v>7692.78</v>
      </c>
      <c r="D10" s="11">
        <f>2857.6+104.7</f>
        <v>2962.2999999999997</v>
      </c>
      <c r="E10" s="11">
        <v>12</v>
      </c>
      <c r="F10" s="11">
        <v>99</v>
      </c>
      <c r="G10" s="11">
        <v>38</v>
      </c>
      <c r="H10" s="11">
        <v>266.5</v>
      </c>
      <c r="I10" s="11">
        <f t="shared" ref="I10:I16" si="12">SUM(C10:H10,T10)</f>
        <v>11095.58</v>
      </c>
      <c r="J10" s="48">
        <v>2455.59</v>
      </c>
      <c r="K10" s="11">
        <v>0.9</v>
      </c>
      <c r="L10" s="11">
        <f t="shared" ref="L10" si="13">SUM(M10:R10)</f>
        <v>8369.59</v>
      </c>
      <c r="M10" s="11">
        <f>5540.07+2166.73+334.02</f>
        <v>8040.82</v>
      </c>
      <c r="N10" s="11">
        <v>15</v>
      </c>
      <c r="O10" s="11">
        <v>8.17</v>
      </c>
      <c r="P10" s="11">
        <f>48.06+43.33</f>
        <v>91.39</v>
      </c>
      <c r="Q10" s="11">
        <v>214.21</v>
      </c>
      <c r="R10" s="11">
        <v>0</v>
      </c>
      <c r="S10" s="11">
        <v>104.7</v>
      </c>
      <c r="T10" s="33">
        <v>25</v>
      </c>
      <c r="U10" s="33">
        <v>45</v>
      </c>
      <c r="V10" s="11">
        <v>2065</v>
      </c>
      <c r="W10" s="11">
        <v>450</v>
      </c>
      <c r="X10" s="31">
        <f t="shared" ref="X10" si="14">SUM(S10,T10,U10,V10)-J10</f>
        <v>-215.89000000000033</v>
      </c>
      <c r="Y10" s="32">
        <f t="shared" ref="Y10:Y42" si="15">SUM(J10+K10+L10+AC10+AA10)-(I10)</f>
        <v>0</v>
      </c>
      <c r="Z10" s="32">
        <f t="shared" ref="Z10" si="16">SUM(G10-AA10)</f>
        <v>15</v>
      </c>
      <c r="AA10" s="32">
        <v>23</v>
      </c>
      <c r="AB10" s="33">
        <f t="shared" ref="AB10" si="17">SUM(H10-AC10)</f>
        <v>20</v>
      </c>
      <c r="AC10" s="33">
        <v>246.5</v>
      </c>
      <c r="AD10" s="33">
        <v>970</v>
      </c>
      <c r="AE10" s="33">
        <f t="shared" ref="AE10" si="18">SUM(AD10-H10)</f>
        <v>703.5</v>
      </c>
    </row>
    <row r="11" spans="1:31" ht="18.75">
      <c r="A11" s="9">
        <v>44838</v>
      </c>
      <c r="B11" s="10" t="s">
        <v>24</v>
      </c>
      <c r="C11" s="11">
        <f>7081.72+132</f>
        <v>7213.72</v>
      </c>
      <c r="D11" s="11">
        <f>3003.91+268.77</f>
        <v>3272.68</v>
      </c>
      <c r="E11" s="11">
        <v>68.5</v>
      </c>
      <c r="F11" s="11">
        <v>76</v>
      </c>
      <c r="G11" s="11">
        <f>23+25</f>
        <v>48</v>
      </c>
      <c r="H11" s="11">
        <v>0</v>
      </c>
      <c r="I11" s="11">
        <f t="shared" si="12"/>
        <v>10678.9</v>
      </c>
      <c r="J11" s="11">
        <v>2051.7399999999998</v>
      </c>
      <c r="K11" s="11">
        <v>0</v>
      </c>
      <c r="L11" s="11">
        <f t="shared" ref="L11:L16" si="19">SUM(M11:R11)</f>
        <v>8472.159999999998</v>
      </c>
      <c r="M11" s="11">
        <f>1838.82+4958.11+661.79</f>
        <v>7458.7199999999993</v>
      </c>
      <c r="N11" s="11">
        <v>0</v>
      </c>
      <c r="O11" s="11">
        <v>0</v>
      </c>
      <c r="P11" s="11">
        <f>369.66</f>
        <v>369.66</v>
      </c>
      <c r="Q11" s="11">
        <v>427.38</v>
      </c>
      <c r="R11" s="11">
        <f>169.31+47.09</f>
        <v>216.4</v>
      </c>
      <c r="S11" s="11">
        <v>268.77</v>
      </c>
      <c r="T11" s="33">
        <v>0</v>
      </c>
      <c r="U11" s="33">
        <v>87.3</v>
      </c>
      <c r="V11" s="11">
        <v>1696</v>
      </c>
      <c r="W11" s="11">
        <v>450</v>
      </c>
      <c r="X11" s="31">
        <f t="shared" ref="X11:X16" si="20">SUM(S11,T11,U11,V11)-J11</f>
        <v>0.33000000000038199</v>
      </c>
      <c r="Y11" s="32">
        <f t="shared" si="15"/>
        <v>-132.00000000000182</v>
      </c>
      <c r="Z11" s="32">
        <f t="shared" ref="Z11:Z16" si="21">SUM(G11-AA11)</f>
        <v>25</v>
      </c>
      <c r="AA11" s="32">
        <v>23</v>
      </c>
      <c r="AB11" s="33">
        <f t="shared" ref="AB11:AB16" si="22">SUM(H11-AC11)</f>
        <v>0</v>
      </c>
      <c r="AC11" s="33">
        <v>0</v>
      </c>
      <c r="AD11" s="33">
        <v>0</v>
      </c>
      <c r="AE11" s="33">
        <f t="shared" ref="AE11:AE16" si="23">SUM(AD11-H11)</f>
        <v>0</v>
      </c>
    </row>
    <row r="12" spans="1:31" ht="18.75">
      <c r="A12" s="9">
        <v>44839</v>
      </c>
      <c r="B12" s="10" t="s">
        <v>25</v>
      </c>
      <c r="C12" s="11">
        <v>7806.43</v>
      </c>
      <c r="D12" s="11">
        <v>3093.84</v>
      </c>
      <c r="E12" s="11">
        <v>34</v>
      </c>
      <c r="F12" s="11">
        <v>32</v>
      </c>
      <c r="G12" s="11">
        <v>202.92</v>
      </c>
      <c r="H12" s="11">
        <v>0</v>
      </c>
      <c r="I12" s="11">
        <f t="shared" si="12"/>
        <v>11184.19</v>
      </c>
      <c r="J12" s="11">
        <v>2038.17</v>
      </c>
      <c r="K12" s="11">
        <v>0</v>
      </c>
      <c r="L12" s="11">
        <f t="shared" si="19"/>
        <v>9063.1000000000022</v>
      </c>
      <c r="M12" s="11">
        <f>2516.21+5048.47+926.01</f>
        <v>8490.69</v>
      </c>
      <c r="N12" s="11">
        <v>0</v>
      </c>
      <c r="O12" s="11">
        <v>0</v>
      </c>
      <c r="P12" s="11">
        <v>80.02</v>
      </c>
      <c r="Q12" s="11">
        <v>338.1</v>
      </c>
      <c r="R12" s="11">
        <v>154.29</v>
      </c>
      <c r="S12" s="11">
        <v>144.88999999999999</v>
      </c>
      <c r="T12" s="33">
        <v>15</v>
      </c>
      <c r="U12" s="33">
        <f>12.5+133</f>
        <v>145.5</v>
      </c>
      <c r="V12" s="11">
        <v>1733</v>
      </c>
      <c r="W12" s="11">
        <v>450</v>
      </c>
      <c r="X12" s="31">
        <f t="shared" si="20"/>
        <v>0.21999999999979991</v>
      </c>
      <c r="Y12" s="32">
        <f t="shared" si="15"/>
        <v>0</v>
      </c>
      <c r="Z12" s="32">
        <f t="shared" si="21"/>
        <v>119.99999999999999</v>
      </c>
      <c r="AA12" s="32">
        <f>83-0.08</f>
        <v>82.92</v>
      </c>
      <c r="AB12" s="33">
        <f t="shared" si="22"/>
        <v>0</v>
      </c>
      <c r="AC12" s="33">
        <v>0</v>
      </c>
      <c r="AD12" s="33">
        <v>970</v>
      </c>
      <c r="AE12" s="33">
        <f t="shared" si="23"/>
        <v>970</v>
      </c>
    </row>
    <row r="13" spans="1:31" ht="18.75">
      <c r="A13" s="9">
        <v>44840</v>
      </c>
      <c r="B13" s="10" t="s">
        <v>26</v>
      </c>
      <c r="C13" s="11">
        <v>8870.3799999999992</v>
      </c>
      <c r="D13" s="11">
        <v>3344.17</v>
      </c>
      <c r="E13" s="11">
        <v>40</v>
      </c>
      <c r="F13" s="11">
        <v>78</v>
      </c>
      <c r="G13" s="11">
        <v>20</v>
      </c>
      <c r="H13" s="11">
        <v>35</v>
      </c>
      <c r="I13" s="11">
        <f t="shared" si="12"/>
        <v>12397.55</v>
      </c>
      <c r="J13" s="11">
        <v>2343.2800000000002</v>
      </c>
      <c r="K13" s="11">
        <v>0</v>
      </c>
      <c r="L13" s="11">
        <f t="shared" si="19"/>
        <v>10019.27</v>
      </c>
      <c r="M13" s="11">
        <f>2437.82+5884.3+980.95</f>
        <v>9303.0700000000015</v>
      </c>
      <c r="N13" s="11">
        <v>20.05</v>
      </c>
      <c r="O13" s="11">
        <v>0</v>
      </c>
      <c r="P13" s="11">
        <v>51.4</v>
      </c>
      <c r="Q13" s="11">
        <v>458.17</v>
      </c>
      <c r="R13" s="11">
        <v>186.58</v>
      </c>
      <c r="S13" s="11">
        <v>524.11</v>
      </c>
      <c r="T13" s="33">
        <v>10</v>
      </c>
      <c r="U13" s="33">
        <v>37</v>
      </c>
      <c r="V13" s="11">
        <v>1773</v>
      </c>
      <c r="W13" s="11">
        <v>450</v>
      </c>
      <c r="X13" s="31">
        <f t="shared" si="20"/>
        <v>0.82999999999992724</v>
      </c>
      <c r="Y13" s="32">
        <f t="shared" si="15"/>
        <v>0</v>
      </c>
      <c r="Z13" s="32">
        <f t="shared" si="21"/>
        <v>10</v>
      </c>
      <c r="AA13" s="32">
        <v>10</v>
      </c>
      <c r="AB13" s="33">
        <f t="shared" si="22"/>
        <v>10</v>
      </c>
      <c r="AC13" s="33">
        <v>25</v>
      </c>
      <c r="AD13" s="33">
        <v>70</v>
      </c>
      <c r="AE13" s="33">
        <f t="shared" si="23"/>
        <v>35</v>
      </c>
    </row>
    <row r="14" spans="1:31" ht="18.75">
      <c r="A14" s="9">
        <v>44841</v>
      </c>
      <c r="B14" s="10" t="s">
        <v>20</v>
      </c>
      <c r="C14" s="11">
        <f>9761.88+50.01</f>
        <v>9811.89</v>
      </c>
      <c r="D14" s="11">
        <v>4186.46</v>
      </c>
      <c r="E14" s="11">
        <v>60.5</v>
      </c>
      <c r="F14" s="11">
        <v>114</v>
      </c>
      <c r="G14" s="11">
        <v>100</v>
      </c>
      <c r="H14" s="11">
        <v>288.7</v>
      </c>
      <c r="I14" s="11">
        <f t="shared" si="12"/>
        <v>14561.55</v>
      </c>
      <c r="J14" s="11">
        <f>2908.2-17</f>
        <v>2891.2</v>
      </c>
      <c r="K14" s="11">
        <v>0</v>
      </c>
      <c r="L14" s="11">
        <f t="shared" si="19"/>
        <v>11365.34</v>
      </c>
      <c r="M14" s="11">
        <f>7370.98+2456.27+536.56</f>
        <v>10363.81</v>
      </c>
      <c r="N14" s="11">
        <v>72.73</v>
      </c>
      <c r="O14" s="11">
        <v>0</v>
      </c>
      <c r="P14" s="11">
        <v>222.37</v>
      </c>
      <c r="Q14" s="11">
        <v>557.74</v>
      </c>
      <c r="R14" s="11">
        <v>148.69</v>
      </c>
      <c r="S14" s="11">
        <v>0</v>
      </c>
      <c r="T14" s="33">
        <v>0</v>
      </c>
      <c r="U14" s="33">
        <v>0</v>
      </c>
      <c r="V14" s="11">
        <v>2886</v>
      </c>
      <c r="W14" s="11">
        <v>450</v>
      </c>
      <c r="X14" s="31">
        <f t="shared" si="20"/>
        <v>-5.1999999999998181</v>
      </c>
      <c r="Y14" s="32">
        <f t="shared" si="15"/>
        <v>-50.009999999998399</v>
      </c>
      <c r="Z14" s="32">
        <f t="shared" si="21"/>
        <v>75</v>
      </c>
      <c r="AA14" s="32">
        <v>25</v>
      </c>
      <c r="AB14" s="33">
        <f t="shared" si="22"/>
        <v>58.699999999999989</v>
      </c>
      <c r="AC14" s="33">
        <v>230</v>
      </c>
      <c r="AD14" s="33">
        <v>0</v>
      </c>
      <c r="AE14" s="33">
        <f t="shared" si="23"/>
        <v>-288.7</v>
      </c>
    </row>
    <row r="15" spans="1:31" ht="18.75">
      <c r="A15" s="9">
        <v>44842</v>
      </c>
      <c r="B15" s="10" t="s">
        <v>21</v>
      </c>
      <c r="C15" s="11">
        <v>9168.27</v>
      </c>
      <c r="D15" s="11">
        <v>4738.83</v>
      </c>
      <c r="E15" s="11">
        <v>22</v>
      </c>
      <c r="F15" s="11">
        <v>68</v>
      </c>
      <c r="G15" s="11">
        <v>112.55</v>
      </c>
      <c r="H15" s="11">
        <v>0</v>
      </c>
      <c r="I15" s="11">
        <f t="shared" si="12"/>
        <v>14110.65</v>
      </c>
      <c r="J15" s="11">
        <v>2349.63</v>
      </c>
      <c r="K15" s="11">
        <v>1.3</v>
      </c>
      <c r="L15" s="11">
        <f t="shared" si="19"/>
        <v>11647.17</v>
      </c>
      <c r="M15" s="11">
        <f>3045.94+6782.66+996.04</f>
        <v>10824.64</v>
      </c>
      <c r="N15" s="11">
        <v>9.7899999999999991</v>
      </c>
      <c r="O15" s="11">
        <v>0</v>
      </c>
      <c r="P15" s="11">
        <v>235.42</v>
      </c>
      <c r="Q15" s="11">
        <v>411.57</v>
      </c>
      <c r="R15" s="11">
        <v>165.75</v>
      </c>
      <c r="S15" s="11">
        <v>0</v>
      </c>
      <c r="T15" s="33">
        <v>1</v>
      </c>
      <c r="U15" s="33">
        <v>39</v>
      </c>
      <c r="V15" s="11">
        <v>2302.6999999999998</v>
      </c>
      <c r="W15" s="11">
        <v>450</v>
      </c>
      <c r="X15" s="31">
        <f t="shared" si="20"/>
        <v>-6.930000000000291</v>
      </c>
      <c r="Y15" s="32">
        <f t="shared" si="15"/>
        <v>0</v>
      </c>
      <c r="Z15" s="32">
        <f t="shared" si="21"/>
        <v>0</v>
      </c>
      <c r="AA15" s="32">
        <v>112.55</v>
      </c>
      <c r="AB15" s="33">
        <f t="shared" si="22"/>
        <v>0</v>
      </c>
      <c r="AC15" s="33">
        <v>0</v>
      </c>
      <c r="AD15" s="33">
        <v>0</v>
      </c>
      <c r="AE15" s="33">
        <f t="shared" si="23"/>
        <v>0</v>
      </c>
    </row>
    <row r="16" spans="1:31" ht="18.75">
      <c r="A16" s="9">
        <v>44843</v>
      </c>
      <c r="B16" s="10" t="s">
        <v>22</v>
      </c>
      <c r="C16" s="11">
        <v>7256.72</v>
      </c>
      <c r="D16" s="11">
        <v>3442.24</v>
      </c>
      <c r="E16" s="11">
        <v>0</v>
      </c>
      <c r="F16" s="11">
        <v>77</v>
      </c>
      <c r="G16" s="11">
        <v>35</v>
      </c>
      <c r="H16" s="11">
        <v>96.77</v>
      </c>
      <c r="I16" s="11">
        <f t="shared" si="12"/>
        <v>10947.73</v>
      </c>
      <c r="J16" s="11">
        <v>2381.17</v>
      </c>
      <c r="K16" s="11">
        <v>1.9</v>
      </c>
      <c r="L16" s="11">
        <f t="shared" si="19"/>
        <v>8461.49</v>
      </c>
      <c r="M16" s="11">
        <f>2786.92+446.8+4801.87</f>
        <v>8035.59</v>
      </c>
      <c r="N16" s="11">
        <v>65.650000000000006</v>
      </c>
      <c r="O16" s="11">
        <v>0</v>
      </c>
      <c r="P16" s="11">
        <v>0</v>
      </c>
      <c r="Q16" s="11">
        <v>337.62</v>
      </c>
      <c r="R16" s="11">
        <v>22.63</v>
      </c>
      <c r="S16" s="11">
        <v>0</v>
      </c>
      <c r="T16" s="33">
        <v>40</v>
      </c>
      <c r="U16" s="33">
        <v>26</v>
      </c>
      <c r="V16" s="11">
        <v>2315.3000000000002</v>
      </c>
      <c r="W16" s="11">
        <v>450</v>
      </c>
      <c r="X16" s="31">
        <f t="shared" si="20"/>
        <v>0.13000000000010914</v>
      </c>
      <c r="Y16" s="32">
        <f t="shared" si="15"/>
        <v>0</v>
      </c>
      <c r="Z16" s="32">
        <f t="shared" si="21"/>
        <v>20</v>
      </c>
      <c r="AA16" s="32">
        <v>15</v>
      </c>
      <c r="AB16" s="33">
        <f t="shared" si="22"/>
        <v>8.5999999999999943</v>
      </c>
      <c r="AC16" s="33">
        <v>88.17</v>
      </c>
      <c r="AD16" s="33">
        <v>1880</v>
      </c>
      <c r="AE16" s="33">
        <f t="shared" si="23"/>
        <v>1783.23</v>
      </c>
    </row>
    <row r="17" spans="1:33" ht="37.5" customHeight="1">
      <c r="A17" s="65" t="s">
        <v>27</v>
      </c>
      <c r="B17" s="66"/>
      <c r="C17" s="27">
        <f>SUM(C10:C16)</f>
        <v>57820.19</v>
      </c>
      <c r="D17" s="27">
        <f t="shared" ref="D17:AE17" si="24">SUM(D10:D16)</f>
        <v>25040.519999999997</v>
      </c>
      <c r="E17" s="27">
        <f t="shared" si="24"/>
        <v>237</v>
      </c>
      <c r="F17" s="27">
        <f t="shared" si="24"/>
        <v>544</v>
      </c>
      <c r="G17" s="27">
        <f t="shared" si="24"/>
        <v>556.46999999999991</v>
      </c>
      <c r="H17" s="27">
        <f t="shared" si="24"/>
        <v>686.97</v>
      </c>
      <c r="I17" s="27">
        <f t="shared" si="24"/>
        <v>84976.15</v>
      </c>
      <c r="J17" s="27">
        <f t="shared" si="24"/>
        <v>16510.78</v>
      </c>
      <c r="K17" s="27">
        <f t="shared" si="24"/>
        <v>4.0999999999999996</v>
      </c>
      <c r="L17" s="27">
        <f t="shared" si="24"/>
        <v>67398.12000000001</v>
      </c>
      <c r="M17" s="27">
        <f t="shared" si="24"/>
        <v>62517.34</v>
      </c>
      <c r="N17" s="27">
        <f t="shared" si="24"/>
        <v>183.22</v>
      </c>
      <c r="O17" s="27">
        <f t="shared" ref="O17" si="25">SUM(O10:O16)</f>
        <v>8.17</v>
      </c>
      <c r="P17" s="27">
        <f t="shared" si="24"/>
        <v>1050.26</v>
      </c>
      <c r="Q17" s="27">
        <f t="shared" si="24"/>
        <v>2744.79</v>
      </c>
      <c r="R17" s="27">
        <f t="shared" si="24"/>
        <v>894.34</v>
      </c>
      <c r="S17" s="27">
        <f t="shared" si="24"/>
        <v>1042.4699999999998</v>
      </c>
      <c r="T17" s="27">
        <f t="shared" si="24"/>
        <v>91</v>
      </c>
      <c r="U17" s="27">
        <f t="shared" si="24"/>
        <v>379.8</v>
      </c>
      <c r="V17" s="27">
        <f t="shared" si="24"/>
        <v>14771</v>
      </c>
      <c r="W17" s="27">
        <f t="shared" si="24"/>
        <v>3150</v>
      </c>
      <c r="X17" s="27">
        <f t="shared" si="24"/>
        <v>-226.51000000000022</v>
      </c>
      <c r="Y17" s="27">
        <f t="shared" si="24"/>
        <v>-182.01000000000022</v>
      </c>
      <c r="Z17" s="27">
        <f t="shared" si="24"/>
        <v>265</v>
      </c>
      <c r="AA17" s="27">
        <f t="shared" si="24"/>
        <v>291.47000000000003</v>
      </c>
      <c r="AB17" s="27">
        <f t="shared" si="24"/>
        <v>97.299999999999983</v>
      </c>
      <c r="AC17" s="27">
        <f t="shared" si="24"/>
        <v>589.66999999999996</v>
      </c>
      <c r="AD17" s="27">
        <f t="shared" si="24"/>
        <v>3890</v>
      </c>
      <c r="AE17" s="27">
        <f t="shared" si="24"/>
        <v>3203.0299999999997</v>
      </c>
      <c r="AG17">
        <v>18507.36</v>
      </c>
    </row>
    <row r="18" spans="1:33" s="35" customFormat="1" ht="18.75">
      <c r="A18" s="9">
        <v>44844</v>
      </c>
      <c r="B18" s="10" t="s">
        <v>23</v>
      </c>
      <c r="C18" s="11">
        <f>118.23+8538.14</f>
        <v>8656.369999999999</v>
      </c>
      <c r="D18" s="11">
        <f>3152.57+227.46</f>
        <v>3380.03</v>
      </c>
      <c r="E18" s="11">
        <v>4</v>
      </c>
      <c r="F18" s="11">
        <v>75</v>
      </c>
      <c r="G18" s="11">
        <v>60</v>
      </c>
      <c r="H18" s="11">
        <v>171</v>
      </c>
      <c r="I18" s="11">
        <f t="shared" ref="I18:I24" si="26">SUM(C18:H18,T18)</f>
        <v>12361.4</v>
      </c>
      <c r="J18" s="11">
        <v>2636.08</v>
      </c>
      <c r="K18" s="11">
        <v>0</v>
      </c>
      <c r="L18" s="11">
        <f t="shared" ref="L18:L24" si="27">SUM(M18:R18)</f>
        <v>9406.09</v>
      </c>
      <c r="M18" s="11">
        <f>447.08+2616.79+5520.12</f>
        <v>8583.99</v>
      </c>
      <c r="N18" s="11">
        <v>0</v>
      </c>
      <c r="O18" s="11">
        <v>61.18</v>
      </c>
      <c r="P18" s="11">
        <v>54.84</v>
      </c>
      <c r="Q18" s="11">
        <v>408.91</v>
      </c>
      <c r="R18" s="11">
        <v>297.17</v>
      </c>
      <c r="S18" s="11">
        <v>227.46</v>
      </c>
      <c r="T18" s="33">
        <v>15</v>
      </c>
      <c r="U18" s="33">
        <v>16</v>
      </c>
      <c r="V18" s="11">
        <v>2380</v>
      </c>
      <c r="W18" s="11">
        <v>450</v>
      </c>
      <c r="X18" s="31">
        <f t="shared" ref="X18:X24" si="28">SUM(S18,T18,U18,V18)-J18</f>
        <v>2.3800000000001091</v>
      </c>
      <c r="Y18" s="32">
        <f t="shared" si="15"/>
        <v>-196.22999999999956</v>
      </c>
      <c r="Z18" s="32">
        <f>SUM(G18-AA18)</f>
        <v>0</v>
      </c>
      <c r="AA18" s="33">
        <v>60</v>
      </c>
      <c r="AB18" s="33">
        <f>SUM(H18-AC18)</f>
        <v>108</v>
      </c>
      <c r="AC18" s="33">
        <v>63</v>
      </c>
      <c r="AD18" s="33">
        <v>0</v>
      </c>
      <c r="AE18" s="33">
        <f t="shared" ref="AE18:AE24" si="29">SUM(AD18-H18)</f>
        <v>-171</v>
      </c>
      <c r="AG18" s="35">
        <v>370.12</v>
      </c>
    </row>
    <row r="19" spans="1:33" s="35" customFormat="1" ht="18.75">
      <c r="A19" s="9">
        <v>44845</v>
      </c>
      <c r="B19" s="10" t="s">
        <v>24</v>
      </c>
      <c r="C19" s="11">
        <v>6803.32</v>
      </c>
      <c r="D19" s="11">
        <v>3400.18</v>
      </c>
      <c r="E19" s="11">
        <v>34.5</v>
      </c>
      <c r="F19" s="11">
        <v>213</v>
      </c>
      <c r="G19" s="11">
        <v>30</v>
      </c>
      <c r="H19" s="11">
        <v>40</v>
      </c>
      <c r="I19" s="11">
        <f t="shared" si="26"/>
        <v>10521</v>
      </c>
      <c r="J19" s="11">
        <v>2251.48</v>
      </c>
      <c r="K19" s="11">
        <v>0</v>
      </c>
      <c r="L19" s="11">
        <f t="shared" si="27"/>
        <v>8209.52</v>
      </c>
      <c r="M19" s="11">
        <f>2305.06+4819.02+544.32</f>
        <v>7668.4</v>
      </c>
      <c r="N19" s="11">
        <v>0</v>
      </c>
      <c r="O19" s="11">
        <v>0</v>
      </c>
      <c r="P19" s="11">
        <v>49.39</v>
      </c>
      <c r="Q19" s="11">
        <v>333.74</v>
      </c>
      <c r="R19" s="11">
        <v>157.99</v>
      </c>
      <c r="S19" s="11">
        <v>278.75</v>
      </c>
      <c r="T19" s="33">
        <v>0</v>
      </c>
      <c r="U19" s="33">
        <v>67</v>
      </c>
      <c r="V19" s="11">
        <v>1905</v>
      </c>
      <c r="W19" s="11">
        <v>450</v>
      </c>
      <c r="X19" s="31">
        <f t="shared" si="28"/>
        <v>-0.73000000000001819</v>
      </c>
      <c r="Y19" s="32">
        <f t="shared" si="15"/>
        <v>0</v>
      </c>
      <c r="Z19" s="32">
        <f t="shared" ref="Z19:Z36" si="30">SUM(G19-AA19)</f>
        <v>10</v>
      </c>
      <c r="AA19" s="33">
        <v>20</v>
      </c>
      <c r="AB19" s="33">
        <f t="shared" ref="AB19:AB24" si="31">SUM(H19-AC19)</f>
        <v>0</v>
      </c>
      <c r="AC19" s="33">
        <v>40</v>
      </c>
      <c r="AD19" s="33">
        <v>970</v>
      </c>
      <c r="AE19" s="33">
        <f t="shared" si="29"/>
        <v>930</v>
      </c>
      <c r="AG19" s="35">
        <v>195</v>
      </c>
    </row>
    <row r="20" spans="1:33" s="35" customFormat="1" ht="18.75">
      <c r="A20" s="9">
        <v>44846</v>
      </c>
      <c r="B20" s="10" t="s">
        <v>25</v>
      </c>
      <c r="C20" s="11">
        <v>7891.84</v>
      </c>
      <c r="D20" s="11">
        <v>2915.31</v>
      </c>
      <c r="E20" s="11">
        <v>0</v>
      </c>
      <c r="F20" s="11">
        <v>44</v>
      </c>
      <c r="G20" s="11">
        <v>40</v>
      </c>
      <c r="H20" s="11">
        <v>20</v>
      </c>
      <c r="I20" s="11">
        <f t="shared" si="26"/>
        <v>10911.15</v>
      </c>
      <c r="J20" s="11">
        <v>2377.38</v>
      </c>
      <c r="K20" s="11">
        <v>0</v>
      </c>
      <c r="L20" s="11">
        <f t="shared" si="27"/>
        <v>8513.77</v>
      </c>
      <c r="M20" s="11">
        <f>2002.3+4800.38+621.04</f>
        <v>7423.72</v>
      </c>
      <c r="N20" s="11">
        <v>0</v>
      </c>
      <c r="O20" s="11">
        <v>0</v>
      </c>
      <c r="P20" s="11">
        <v>150.76</v>
      </c>
      <c r="Q20" s="11">
        <v>495.82</v>
      </c>
      <c r="R20" s="11">
        <f>311+132.47</f>
        <v>443.47</v>
      </c>
      <c r="S20" s="11">
        <v>50</v>
      </c>
      <c r="T20" s="33">
        <v>0</v>
      </c>
      <c r="U20" s="33">
        <v>20</v>
      </c>
      <c r="V20" s="11">
        <v>2230</v>
      </c>
      <c r="W20" s="11">
        <v>450</v>
      </c>
      <c r="X20" s="31">
        <f t="shared" si="28"/>
        <v>-77.380000000000109</v>
      </c>
      <c r="Y20" s="32">
        <f t="shared" si="15"/>
        <v>0</v>
      </c>
      <c r="Z20" s="32">
        <f t="shared" si="30"/>
        <v>40</v>
      </c>
      <c r="AA20" s="33">
        <v>0</v>
      </c>
      <c r="AB20" s="33">
        <f t="shared" si="31"/>
        <v>0</v>
      </c>
      <c r="AC20" s="33">
        <v>20</v>
      </c>
      <c r="AD20" s="33">
        <v>0</v>
      </c>
      <c r="AE20" s="33">
        <v>4</v>
      </c>
      <c r="AG20" s="35">
        <v>1510</v>
      </c>
    </row>
    <row r="21" spans="1:33" s="35" customFormat="1" ht="18.75">
      <c r="A21" s="9">
        <v>44847</v>
      </c>
      <c r="B21" s="10" t="s">
        <v>26</v>
      </c>
      <c r="C21" s="11">
        <v>7185.67</v>
      </c>
      <c r="D21" s="11">
        <v>3463.59</v>
      </c>
      <c r="E21" s="11">
        <v>16.5</v>
      </c>
      <c r="F21" s="11">
        <v>47</v>
      </c>
      <c r="G21" s="11">
        <v>170</v>
      </c>
      <c r="H21" s="11">
        <v>30</v>
      </c>
      <c r="I21" s="11">
        <f t="shared" si="26"/>
        <v>10912.76</v>
      </c>
      <c r="J21" s="11">
        <v>2414.14</v>
      </c>
      <c r="K21" s="11">
        <v>0</v>
      </c>
      <c r="L21" s="11">
        <f t="shared" si="27"/>
        <v>8338.61</v>
      </c>
      <c r="M21" s="11">
        <f>2433.73+4829.65+543.67</f>
        <v>7807.0499999999993</v>
      </c>
      <c r="N21" s="11">
        <v>56.22</v>
      </c>
      <c r="O21" s="11">
        <v>0</v>
      </c>
      <c r="P21" s="11">
        <v>124.27</v>
      </c>
      <c r="Q21" s="11">
        <v>144.75</v>
      </c>
      <c r="R21" s="11">
        <v>206.32</v>
      </c>
      <c r="S21" s="11">
        <v>0</v>
      </c>
      <c r="T21" s="33">
        <v>0</v>
      </c>
      <c r="U21" s="33">
        <v>11</v>
      </c>
      <c r="V21" s="11">
        <v>2415</v>
      </c>
      <c r="W21" s="11">
        <v>450</v>
      </c>
      <c r="X21" s="31">
        <f t="shared" si="28"/>
        <v>11.860000000000127</v>
      </c>
      <c r="Y21" s="32">
        <f t="shared" si="15"/>
        <v>-1.0000000000218279E-2</v>
      </c>
      <c r="Z21" s="32">
        <f t="shared" si="30"/>
        <v>10</v>
      </c>
      <c r="AA21" s="33">
        <v>160</v>
      </c>
      <c r="AB21" s="33">
        <f t="shared" si="31"/>
        <v>30</v>
      </c>
      <c r="AC21" s="33">
        <v>0</v>
      </c>
      <c r="AD21" s="33">
        <v>700</v>
      </c>
      <c r="AE21" s="33">
        <f t="shared" si="29"/>
        <v>670</v>
      </c>
    </row>
    <row r="22" spans="1:33" s="35" customFormat="1" ht="18.75">
      <c r="A22" s="9">
        <v>44848</v>
      </c>
      <c r="B22" s="10" t="s">
        <v>20</v>
      </c>
      <c r="C22" s="11">
        <v>9160.89</v>
      </c>
      <c r="D22" s="11">
        <v>4722.28</v>
      </c>
      <c r="E22" s="11">
        <v>37.5</v>
      </c>
      <c r="F22" s="11">
        <v>132</v>
      </c>
      <c r="G22" s="11">
        <v>95</v>
      </c>
      <c r="H22" s="11">
        <v>76</v>
      </c>
      <c r="I22" s="11">
        <f t="shared" si="26"/>
        <v>14224.669999999998</v>
      </c>
      <c r="J22" s="43">
        <v>2455.09</v>
      </c>
      <c r="K22" s="43">
        <v>0</v>
      </c>
      <c r="L22" s="11">
        <f t="shared" si="27"/>
        <v>11632.070000000002</v>
      </c>
      <c r="M22" s="11">
        <f>3095.5+6822.59+552.83</f>
        <v>10470.92</v>
      </c>
      <c r="N22" s="11">
        <v>50.02</v>
      </c>
      <c r="O22" s="11">
        <v>0</v>
      </c>
      <c r="P22" s="11">
        <v>0</v>
      </c>
      <c r="Q22" s="11">
        <v>840.45</v>
      </c>
      <c r="R22" s="11">
        <v>270.68</v>
      </c>
      <c r="S22" s="11">
        <v>0</v>
      </c>
      <c r="T22" s="33">
        <v>1</v>
      </c>
      <c r="U22" s="33">
        <v>70</v>
      </c>
      <c r="V22" s="11">
        <v>2385</v>
      </c>
      <c r="W22" s="11">
        <v>450</v>
      </c>
      <c r="X22" s="31">
        <f t="shared" si="28"/>
        <v>0.90999999999985448</v>
      </c>
      <c r="Y22" s="32">
        <f t="shared" si="15"/>
        <v>-31.50999999999658</v>
      </c>
      <c r="Z22" s="32">
        <f t="shared" si="30"/>
        <v>65</v>
      </c>
      <c r="AA22" s="33">
        <v>30</v>
      </c>
      <c r="AB22" s="33">
        <f t="shared" si="31"/>
        <v>0</v>
      </c>
      <c r="AC22" s="33">
        <v>76</v>
      </c>
      <c r="AD22" s="33">
        <v>0</v>
      </c>
      <c r="AE22" s="33">
        <f t="shared" si="29"/>
        <v>-76</v>
      </c>
    </row>
    <row r="23" spans="1:33" s="35" customFormat="1" ht="18.75">
      <c r="A23" s="9">
        <v>44849</v>
      </c>
      <c r="B23" s="10" t="s">
        <v>21</v>
      </c>
      <c r="C23" s="11">
        <v>8109.78</v>
      </c>
      <c r="D23" s="11">
        <v>4158.3900000000003</v>
      </c>
      <c r="E23" s="11">
        <v>14</v>
      </c>
      <c r="F23" s="11">
        <v>91</v>
      </c>
      <c r="G23" s="11">
        <v>30</v>
      </c>
      <c r="H23" s="11">
        <v>0</v>
      </c>
      <c r="I23" s="11">
        <f t="shared" si="26"/>
        <v>12433.17</v>
      </c>
      <c r="J23" s="11">
        <v>2529.0500000000002</v>
      </c>
      <c r="K23" s="11">
        <v>2.6</v>
      </c>
      <c r="L23" s="11">
        <f t="shared" si="27"/>
        <v>9749.11</v>
      </c>
      <c r="M23" s="11">
        <f>2678.12+672.23+5978.78</f>
        <v>9329.1299999999992</v>
      </c>
      <c r="N23" s="11">
        <v>41.69</v>
      </c>
      <c r="O23" s="11">
        <v>0</v>
      </c>
      <c r="P23" s="11">
        <v>58.77</v>
      </c>
      <c r="Q23" s="11">
        <v>319.52</v>
      </c>
      <c r="R23" s="11">
        <v>0</v>
      </c>
      <c r="S23" s="11">
        <v>0</v>
      </c>
      <c r="T23" s="33">
        <v>30</v>
      </c>
      <c r="U23" s="33">
        <v>24</v>
      </c>
      <c r="V23" s="11">
        <v>2478</v>
      </c>
      <c r="W23" s="11">
        <v>450</v>
      </c>
      <c r="X23" s="31">
        <f t="shared" si="28"/>
        <v>2.9499999999998181</v>
      </c>
      <c r="Y23" s="32">
        <f t="shared" si="15"/>
        <v>-127.40999999999985</v>
      </c>
      <c r="Z23" s="32">
        <f t="shared" si="30"/>
        <v>5</v>
      </c>
      <c r="AA23" s="33">
        <v>25</v>
      </c>
      <c r="AB23" s="33">
        <f t="shared" si="31"/>
        <v>0</v>
      </c>
      <c r="AC23" s="33">
        <v>0</v>
      </c>
      <c r="AD23" s="33">
        <v>1830</v>
      </c>
      <c r="AE23" s="33">
        <f t="shared" si="29"/>
        <v>1830</v>
      </c>
      <c r="AF23" s="35" t="s">
        <v>97</v>
      </c>
    </row>
    <row r="24" spans="1:33" s="35" customFormat="1" ht="18.75">
      <c r="A24" s="9">
        <v>44850</v>
      </c>
      <c r="B24" s="10" t="s">
        <v>22</v>
      </c>
      <c r="C24" s="11">
        <v>6235.97</v>
      </c>
      <c r="D24" s="11">
        <v>3641.49</v>
      </c>
      <c r="E24" s="11">
        <v>0</v>
      </c>
      <c r="F24" s="11">
        <v>50</v>
      </c>
      <c r="G24" s="11">
        <v>50</v>
      </c>
      <c r="H24" s="11">
        <v>20</v>
      </c>
      <c r="I24" s="11">
        <f t="shared" si="26"/>
        <v>10072.459999999999</v>
      </c>
      <c r="J24" s="11">
        <f>2068.84-15.99</f>
        <v>2052.8500000000004</v>
      </c>
      <c r="K24" s="11">
        <v>1.9</v>
      </c>
      <c r="L24" s="11">
        <f t="shared" si="27"/>
        <v>7997.71</v>
      </c>
      <c r="M24" s="11">
        <f>2448.9+394.93+4688.96</f>
        <v>7532.79</v>
      </c>
      <c r="N24" s="11">
        <v>0</v>
      </c>
      <c r="O24" s="11">
        <v>0</v>
      </c>
      <c r="P24" s="11">
        <v>0</v>
      </c>
      <c r="Q24" s="11">
        <v>290.86</v>
      </c>
      <c r="R24" s="11">
        <v>174.06</v>
      </c>
      <c r="S24" s="11">
        <v>249.9</v>
      </c>
      <c r="T24" s="33">
        <v>75</v>
      </c>
      <c r="U24" s="33">
        <v>72</v>
      </c>
      <c r="V24" s="11">
        <v>1655.95</v>
      </c>
      <c r="W24" s="11">
        <v>450</v>
      </c>
      <c r="X24" s="31">
        <f t="shared" si="28"/>
        <v>0</v>
      </c>
      <c r="Y24" s="32">
        <f t="shared" si="15"/>
        <v>0</v>
      </c>
      <c r="Z24" s="32">
        <f t="shared" si="30"/>
        <v>50</v>
      </c>
      <c r="AA24" s="33">
        <v>0</v>
      </c>
      <c r="AB24" s="33">
        <f t="shared" si="31"/>
        <v>0</v>
      </c>
      <c r="AC24" s="33">
        <v>20</v>
      </c>
      <c r="AD24" s="33">
        <v>0</v>
      </c>
      <c r="AE24" s="33">
        <f t="shared" si="29"/>
        <v>-20</v>
      </c>
    </row>
    <row r="25" spans="1:33" ht="37.5" customHeight="1">
      <c r="A25" s="65" t="s">
        <v>27</v>
      </c>
      <c r="B25" s="66"/>
      <c r="C25" s="27">
        <f>SUM(C18:C24)</f>
        <v>54043.839999999997</v>
      </c>
      <c r="D25" s="27">
        <f t="shared" ref="D25:AE25" si="32">SUM(D18:D24)</f>
        <v>25681.269999999997</v>
      </c>
      <c r="E25" s="27">
        <f t="shared" si="32"/>
        <v>106.5</v>
      </c>
      <c r="F25" s="27">
        <f t="shared" si="32"/>
        <v>652</v>
      </c>
      <c r="G25" s="27">
        <f t="shared" si="32"/>
        <v>475</v>
      </c>
      <c r="H25" s="27">
        <f t="shared" si="32"/>
        <v>357</v>
      </c>
      <c r="I25" s="27">
        <f t="shared" si="32"/>
        <v>81436.610000000015</v>
      </c>
      <c r="J25" s="27">
        <f t="shared" si="32"/>
        <v>16716.07</v>
      </c>
      <c r="K25" s="27">
        <f t="shared" si="32"/>
        <v>4.5</v>
      </c>
      <c r="L25" s="27">
        <f t="shared" si="32"/>
        <v>63846.880000000005</v>
      </c>
      <c r="M25" s="27">
        <f t="shared" si="32"/>
        <v>58816</v>
      </c>
      <c r="N25" s="27">
        <f t="shared" si="32"/>
        <v>147.93</v>
      </c>
      <c r="O25" s="27">
        <f t="shared" ref="O25" si="33">SUM(O18:O24)</f>
        <v>61.18</v>
      </c>
      <c r="P25" s="27">
        <f t="shared" si="32"/>
        <v>438.03</v>
      </c>
      <c r="Q25" s="27">
        <f t="shared" si="32"/>
        <v>2834.05</v>
      </c>
      <c r="R25" s="27">
        <f t="shared" si="32"/>
        <v>1549.69</v>
      </c>
      <c r="S25" s="27">
        <f t="shared" si="32"/>
        <v>806.11</v>
      </c>
      <c r="T25" s="27">
        <f t="shared" si="32"/>
        <v>121</v>
      </c>
      <c r="U25" s="27">
        <f t="shared" si="32"/>
        <v>280</v>
      </c>
      <c r="V25" s="27">
        <f t="shared" si="32"/>
        <v>15448.95</v>
      </c>
      <c r="W25" s="27">
        <f t="shared" si="32"/>
        <v>3150</v>
      </c>
      <c r="X25" s="27">
        <f t="shared" si="32"/>
        <v>-60.010000000000218</v>
      </c>
      <c r="Y25" s="27">
        <f t="shared" si="32"/>
        <v>-355.15999999999622</v>
      </c>
      <c r="Z25" s="27">
        <f t="shared" si="32"/>
        <v>180</v>
      </c>
      <c r="AA25" s="27">
        <f t="shared" si="32"/>
        <v>295</v>
      </c>
      <c r="AB25" s="27">
        <f t="shared" si="32"/>
        <v>138</v>
      </c>
      <c r="AC25" s="27">
        <f t="shared" si="32"/>
        <v>219</v>
      </c>
      <c r="AD25" s="27">
        <f t="shared" si="32"/>
        <v>3500</v>
      </c>
      <c r="AE25" s="27">
        <f t="shared" si="32"/>
        <v>3167</v>
      </c>
    </row>
    <row r="26" spans="1:33" s="35" customFormat="1" ht="18.75">
      <c r="A26" s="9">
        <v>44851</v>
      </c>
      <c r="B26" s="10" t="s">
        <v>23</v>
      </c>
      <c r="C26" s="11">
        <v>8222.81</v>
      </c>
      <c r="D26" s="11">
        <v>2891.82</v>
      </c>
      <c r="E26" s="11">
        <v>2.5</v>
      </c>
      <c r="F26" s="11">
        <v>37</v>
      </c>
      <c r="G26" s="11">
        <v>90</v>
      </c>
      <c r="H26" s="11">
        <v>-36</v>
      </c>
      <c r="I26" s="11">
        <f t="shared" ref="I26:I32" si="34">SUM(C26:H26,T26)</f>
        <v>11208.13</v>
      </c>
      <c r="J26" s="11">
        <v>2291.2800000000002</v>
      </c>
      <c r="K26" s="11">
        <v>0</v>
      </c>
      <c r="L26" s="11">
        <f t="shared" ref="L26:L32" si="35">SUM(M26:R26)</f>
        <v>8872.8500000000022</v>
      </c>
      <c r="M26" s="11">
        <f>2415.78+637.23+5143.1</f>
        <v>8196.11</v>
      </c>
      <c r="N26" s="11">
        <v>2.15</v>
      </c>
      <c r="O26" s="11">
        <v>0</v>
      </c>
      <c r="P26" s="11">
        <v>167.7</v>
      </c>
      <c r="Q26" s="11">
        <v>334.04</v>
      </c>
      <c r="R26" s="11">
        <v>172.85</v>
      </c>
      <c r="S26" s="11">
        <v>100.6</v>
      </c>
      <c r="T26" s="33">
        <v>0</v>
      </c>
      <c r="U26" s="33">
        <v>20</v>
      </c>
      <c r="V26" s="11">
        <v>2127</v>
      </c>
      <c r="W26" s="11">
        <v>450</v>
      </c>
      <c r="X26" s="31">
        <f t="shared" ref="X26:X32" si="36">SUM(S26,T26,U26,V26)-J26</f>
        <v>-43.680000000000291</v>
      </c>
      <c r="Y26" s="32">
        <f t="shared" si="15"/>
        <v>10.000000000003638</v>
      </c>
      <c r="Z26" s="32">
        <f t="shared" si="30"/>
        <v>0</v>
      </c>
      <c r="AA26" s="32">
        <v>90</v>
      </c>
      <c r="AB26" s="33">
        <v>10</v>
      </c>
      <c r="AC26" s="33">
        <v>-36</v>
      </c>
      <c r="AD26" s="33">
        <v>0</v>
      </c>
      <c r="AE26" s="33"/>
    </row>
    <row r="27" spans="1:33" s="35" customFormat="1" ht="18.75">
      <c r="A27" s="9">
        <v>44852</v>
      </c>
      <c r="B27" s="10" t="s">
        <v>24</v>
      </c>
      <c r="C27" s="11">
        <v>7969.78</v>
      </c>
      <c r="D27" s="11">
        <v>3088.42</v>
      </c>
      <c r="E27" s="11">
        <v>12.5</v>
      </c>
      <c r="F27" s="11">
        <v>64</v>
      </c>
      <c r="G27" s="11">
        <v>40</v>
      </c>
      <c r="H27" s="11">
        <v>15</v>
      </c>
      <c r="I27" s="11">
        <f t="shared" si="34"/>
        <v>11189.7</v>
      </c>
      <c r="J27" s="11">
        <v>2587.9299999999998</v>
      </c>
      <c r="K27" s="11">
        <v>0</v>
      </c>
      <c r="L27" s="11">
        <f t="shared" si="35"/>
        <v>8523.86</v>
      </c>
      <c r="M27" s="11">
        <f>2061.82+836.02+4660.49</f>
        <v>7558.33</v>
      </c>
      <c r="N27" s="11">
        <v>3.19</v>
      </c>
      <c r="O27" s="11">
        <v>0</v>
      </c>
      <c r="P27" s="11">
        <v>66.97</v>
      </c>
      <c r="Q27" s="11">
        <v>673.76</v>
      </c>
      <c r="R27" s="11">
        <v>221.61</v>
      </c>
      <c r="S27" s="11">
        <v>0</v>
      </c>
      <c r="T27" s="33">
        <v>0</v>
      </c>
      <c r="U27" s="33">
        <v>16</v>
      </c>
      <c r="V27" s="11">
        <v>2555</v>
      </c>
      <c r="W27" s="11">
        <v>450</v>
      </c>
      <c r="X27" s="31">
        <f t="shared" si="36"/>
        <v>-16.929999999999836</v>
      </c>
      <c r="Y27" s="32">
        <f t="shared" si="15"/>
        <v>-62.909999999999854</v>
      </c>
      <c r="Z27" s="32">
        <f t="shared" si="30"/>
        <v>40</v>
      </c>
      <c r="AA27" s="32">
        <v>0</v>
      </c>
      <c r="AB27" s="33">
        <f t="shared" ref="AB27:AB32" si="37">SUM(H27-AC27)</f>
        <v>0</v>
      </c>
      <c r="AC27" s="33">
        <v>15</v>
      </c>
      <c r="AD27" s="33">
        <v>970</v>
      </c>
      <c r="AE27" s="33">
        <f t="shared" ref="AE27:AE32" si="38">SUM(AD27-H27)</f>
        <v>955</v>
      </c>
      <c r="AF27" s="35" t="s">
        <v>98</v>
      </c>
    </row>
    <row r="28" spans="1:33" s="35" customFormat="1" ht="18.75">
      <c r="A28" s="9">
        <v>44853</v>
      </c>
      <c r="B28" s="10" t="s">
        <v>25</v>
      </c>
      <c r="C28" s="11">
        <f>8696.04+50</f>
        <v>8746.0400000000009</v>
      </c>
      <c r="D28" s="11">
        <v>3108.91</v>
      </c>
      <c r="E28" s="11">
        <v>2</v>
      </c>
      <c r="F28" s="11">
        <v>42</v>
      </c>
      <c r="G28" s="11">
        <v>15</v>
      </c>
      <c r="H28" s="11">
        <v>0</v>
      </c>
      <c r="I28" s="11">
        <f t="shared" si="34"/>
        <v>11988.95</v>
      </c>
      <c r="J28" s="11">
        <v>2362.4299999999998</v>
      </c>
      <c r="K28" s="11">
        <v>0</v>
      </c>
      <c r="L28" s="11">
        <f t="shared" si="35"/>
        <v>9561.5199999999986</v>
      </c>
      <c r="M28" s="11">
        <f>1552.26+768.93+5750.73</f>
        <v>8071.92</v>
      </c>
      <c r="N28" s="11">
        <v>129.11000000000001</v>
      </c>
      <c r="O28" s="11">
        <v>0</v>
      </c>
      <c r="P28" s="11">
        <v>436.96</v>
      </c>
      <c r="Q28" s="11">
        <v>835.54</v>
      </c>
      <c r="R28" s="11">
        <v>87.99</v>
      </c>
      <c r="S28" s="11">
        <v>0</v>
      </c>
      <c r="T28" s="33">
        <v>75</v>
      </c>
      <c r="U28" s="33">
        <v>75</v>
      </c>
      <c r="V28" s="11">
        <v>2212</v>
      </c>
      <c r="W28" s="11">
        <v>450</v>
      </c>
      <c r="X28" s="31">
        <f t="shared" si="36"/>
        <v>-0.42999999999983629</v>
      </c>
      <c r="Y28" s="32">
        <f t="shared" si="15"/>
        <v>-50.000000000001819</v>
      </c>
      <c r="Z28" s="32">
        <f t="shared" si="30"/>
        <v>0</v>
      </c>
      <c r="AA28" s="32">
        <v>15</v>
      </c>
      <c r="AB28" s="33">
        <f t="shared" si="37"/>
        <v>0</v>
      </c>
      <c r="AC28" s="33">
        <v>0</v>
      </c>
      <c r="AD28" s="33">
        <v>0</v>
      </c>
      <c r="AE28" s="33">
        <f t="shared" si="38"/>
        <v>0</v>
      </c>
      <c r="AF28" s="35" t="s">
        <v>99</v>
      </c>
    </row>
    <row r="29" spans="1:33" s="35" customFormat="1" ht="18.75">
      <c r="A29" s="9">
        <v>44854</v>
      </c>
      <c r="B29" s="10" t="s">
        <v>26</v>
      </c>
      <c r="C29" s="11">
        <v>7855.39</v>
      </c>
      <c r="D29" s="11">
        <v>3497.86</v>
      </c>
      <c r="E29" s="11">
        <v>4</v>
      </c>
      <c r="F29" s="11">
        <v>38</v>
      </c>
      <c r="G29" s="11">
        <v>55</v>
      </c>
      <c r="H29" s="11">
        <v>0</v>
      </c>
      <c r="I29" s="11">
        <f t="shared" si="34"/>
        <v>11450.25</v>
      </c>
      <c r="J29" s="11">
        <v>2582.73</v>
      </c>
      <c r="K29" s="11">
        <v>0</v>
      </c>
      <c r="L29" s="11">
        <f t="shared" si="35"/>
        <v>8847.52</v>
      </c>
      <c r="M29" s="11">
        <f>4143.84+1139.35+2738.84</f>
        <v>8022.0300000000007</v>
      </c>
      <c r="N29" s="11">
        <v>0</v>
      </c>
      <c r="O29" s="11">
        <v>0</v>
      </c>
      <c r="P29" s="11">
        <v>58.71</v>
      </c>
      <c r="Q29" s="11">
        <v>534.72</v>
      </c>
      <c r="R29" s="11">
        <v>232.06</v>
      </c>
      <c r="S29" s="11">
        <v>1163.73</v>
      </c>
      <c r="T29" s="33">
        <v>0</v>
      </c>
      <c r="U29" s="33">
        <v>34</v>
      </c>
      <c r="V29" s="11">
        <v>1388</v>
      </c>
      <c r="W29" s="11">
        <v>450</v>
      </c>
      <c r="X29" s="31">
        <f t="shared" si="36"/>
        <v>3</v>
      </c>
      <c r="Y29" s="32">
        <f t="shared" si="15"/>
        <v>0</v>
      </c>
      <c r="Z29" s="32">
        <f t="shared" si="30"/>
        <v>35</v>
      </c>
      <c r="AA29" s="32">
        <v>20</v>
      </c>
      <c r="AB29" s="33">
        <f t="shared" si="37"/>
        <v>0</v>
      </c>
      <c r="AC29" s="33">
        <v>0</v>
      </c>
      <c r="AD29" s="33">
        <v>440</v>
      </c>
      <c r="AE29" s="33">
        <f t="shared" si="38"/>
        <v>440</v>
      </c>
    </row>
    <row r="30" spans="1:33" s="35" customFormat="1" ht="18.75">
      <c r="A30" s="9">
        <v>44855</v>
      </c>
      <c r="B30" s="10" t="s">
        <v>20</v>
      </c>
      <c r="C30" s="11">
        <v>8443.9</v>
      </c>
      <c r="D30" s="11">
        <v>4476.1499999999996</v>
      </c>
      <c r="E30" s="11">
        <v>22.5</v>
      </c>
      <c r="F30" s="11">
        <v>101</v>
      </c>
      <c r="G30" s="11">
        <v>35</v>
      </c>
      <c r="H30" s="11">
        <v>28.8</v>
      </c>
      <c r="I30" s="11">
        <f t="shared" si="34"/>
        <v>13112.349999999999</v>
      </c>
      <c r="J30" s="11">
        <v>2824.11</v>
      </c>
      <c r="K30" s="11">
        <v>0</v>
      </c>
      <c r="L30" s="11">
        <f t="shared" si="35"/>
        <v>10248.24</v>
      </c>
      <c r="M30" s="11">
        <f>3117.87+6000.35+647.21</f>
        <v>9765.43</v>
      </c>
      <c r="N30" s="11">
        <v>70.8</v>
      </c>
      <c r="O30" s="11">
        <v>68.02</v>
      </c>
      <c r="P30" s="11">
        <v>139.72</v>
      </c>
      <c r="Q30" s="11">
        <v>144.25</v>
      </c>
      <c r="R30" s="11">
        <v>60.02</v>
      </c>
      <c r="S30" s="11">
        <v>236.79</v>
      </c>
      <c r="T30" s="33">
        <v>5</v>
      </c>
      <c r="U30" s="33">
        <v>10</v>
      </c>
      <c r="V30" s="11">
        <v>2574.1</v>
      </c>
      <c r="W30" s="11">
        <v>450</v>
      </c>
      <c r="X30" s="31">
        <f t="shared" si="36"/>
        <v>1.7799999999997453</v>
      </c>
      <c r="Y30" s="32">
        <f t="shared" si="15"/>
        <v>0</v>
      </c>
      <c r="Z30" s="32">
        <f t="shared" si="30"/>
        <v>15</v>
      </c>
      <c r="AA30" s="32">
        <v>20</v>
      </c>
      <c r="AB30" s="33">
        <f t="shared" si="37"/>
        <v>8.8000000000000007</v>
      </c>
      <c r="AC30" s="33">
        <v>20</v>
      </c>
      <c r="AD30" s="33">
        <v>0</v>
      </c>
      <c r="AE30" s="33">
        <f t="shared" si="38"/>
        <v>-28.8</v>
      </c>
    </row>
    <row r="31" spans="1:33" s="35" customFormat="1" ht="18.75">
      <c r="A31" s="9">
        <v>44856</v>
      </c>
      <c r="B31" s="10" t="s">
        <v>21</v>
      </c>
      <c r="C31" s="11">
        <v>8152.82</v>
      </c>
      <c r="D31" s="11">
        <v>3856.58</v>
      </c>
      <c r="E31" s="11">
        <v>23</v>
      </c>
      <c r="F31" s="11">
        <v>86</v>
      </c>
      <c r="G31" s="11">
        <v>0</v>
      </c>
      <c r="H31" s="11">
        <v>100</v>
      </c>
      <c r="I31" s="11">
        <f t="shared" si="34"/>
        <v>12268.4</v>
      </c>
      <c r="J31" s="11">
        <v>2702.74</v>
      </c>
      <c r="K31" s="11">
        <v>1.3</v>
      </c>
      <c r="L31" s="11">
        <f t="shared" si="35"/>
        <v>9464.3599999999988</v>
      </c>
      <c r="M31" s="11">
        <f>765+5409.37+2596.52</f>
        <v>8770.89</v>
      </c>
      <c r="N31" s="11">
        <v>0</v>
      </c>
      <c r="O31" s="11">
        <v>0</v>
      </c>
      <c r="P31" s="11">
        <v>204.8</v>
      </c>
      <c r="Q31" s="11">
        <v>248.31</v>
      </c>
      <c r="R31" s="11">
        <v>240.36</v>
      </c>
      <c r="S31" s="11">
        <v>40</v>
      </c>
      <c r="T31" s="33">
        <v>50</v>
      </c>
      <c r="U31" s="33">
        <v>75</v>
      </c>
      <c r="V31" s="11">
        <v>2535</v>
      </c>
      <c r="W31" s="11">
        <v>450</v>
      </c>
      <c r="X31" s="31">
        <f t="shared" si="36"/>
        <v>-2.7399999999997817</v>
      </c>
      <c r="Y31" s="32">
        <f t="shared" si="15"/>
        <v>0</v>
      </c>
      <c r="Z31" s="32">
        <f t="shared" si="30"/>
        <v>0</v>
      </c>
      <c r="AA31" s="32">
        <v>0</v>
      </c>
      <c r="AB31" s="33">
        <f t="shared" si="37"/>
        <v>0</v>
      </c>
      <c r="AC31" s="33">
        <v>100</v>
      </c>
      <c r="AD31" s="33">
        <v>0</v>
      </c>
      <c r="AE31" s="33">
        <f t="shared" si="38"/>
        <v>-100</v>
      </c>
    </row>
    <row r="32" spans="1:33" s="35" customFormat="1" ht="18.75">
      <c r="A32" s="9">
        <v>44857</v>
      </c>
      <c r="B32" s="10" t="s">
        <v>22</v>
      </c>
      <c r="C32" s="11">
        <v>6641.32</v>
      </c>
      <c r="D32" s="11">
        <v>3298.82</v>
      </c>
      <c r="E32" s="11">
        <v>1.5</v>
      </c>
      <c r="F32" s="11">
        <v>93</v>
      </c>
      <c r="G32" s="11">
        <v>32</v>
      </c>
      <c r="H32" s="11">
        <v>5</v>
      </c>
      <c r="I32" s="11">
        <f t="shared" si="34"/>
        <v>10076.64</v>
      </c>
      <c r="J32" s="11">
        <v>2180.58</v>
      </c>
      <c r="K32" s="11">
        <v>1.9</v>
      </c>
      <c r="L32" s="11">
        <f t="shared" si="35"/>
        <v>7882.16</v>
      </c>
      <c r="M32" s="11">
        <f>1851.63+4775.71+667.55</f>
        <v>7294.89</v>
      </c>
      <c r="N32" s="11">
        <v>103.28</v>
      </c>
      <c r="O32" s="11">
        <v>0</v>
      </c>
      <c r="P32" s="11">
        <v>64.3</v>
      </c>
      <c r="Q32" s="11">
        <v>308.87</v>
      </c>
      <c r="R32" s="11">
        <v>110.82</v>
      </c>
      <c r="S32" s="11">
        <v>0</v>
      </c>
      <c r="T32" s="33">
        <v>5</v>
      </c>
      <c r="U32" s="33">
        <v>34.5</v>
      </c>
      <c r="V32" s="11">
        <v>2145</v>
      </c>
      <c r="W32" s="11">
        <v>450</v>
      </c>
      <c r="X32" s="31">
        <f t="shared" si="36"/>
        <v>3.9200000000000728</v>
      </c>
      <c r="Y32" s="32">
        <f t="shared" si="15"/>
        <v>0</v>
      </c>
      <c r="Z32" s="32">
        <f t="shared" si="30"/>
        <v>20</v>
      </c>
      <c r="AA32" s="32">
        <v>12</v>
      </c>
      <c r="AB32" s="33">
        <f t="shared" si="37"/>
        <v>5</v>
      </c>
      <c r="AC32" s="33">
        <v>0</v>
      </c>
      <c r="AD32" s="33">
        <v>0</v>
      </c>
      <c r="AE32" s="33">
        <f t="shared" si="38"/>
        <v>-5</v>
      </c>
    </row>
    <row r="33" spans="1:32" ht="37.5" customHeight="1">
      <c r="A33" s="65" t="s">
        <v>27</v>
      </c>
      <c r="B33" s="66"/>
      <c r="C33" s="27">
        <f>SUM(C26:C32)</f>
        <v>56032.060000000005</v>
      </c>
      <c r="D33" s="27">
        <f t="shared" ref="D33:AE33" si="39">SUM(D26:D32)</f>
        <v>24218.559999999998</v>
      </c>
      <c r="E33" s="27">
        <f t="shared" si="39"/>
        <v>68</v>
      </c>
      <c r="F33" s="27">
        <f t="shared" si="39"/>
        <v>461</v>
      </c>
      <c r="G33" s="27">
        <f t="shared" si="39"/>
        <v>267</v>
      </c>
      <c r="H33" s="27">
        <f t="shared" si="39"/>
        <v>112.8</v>
      </c>
      <c r="I33" s="27">
        <f t="shared" si="39"/>
        <v>81294.42</v>
      </c>
      <c r="J33" s="27">
        <f t="shared" si="39"/>
        <v>17531.8</v>
      </c>
      <c r="K33" s="27">
        <f t="shared" si="39"/>
        <v>3.2</v>
      </c>
      <c r="L33" s="27">
        <f t="shared" si="39"/>
        <v>63400.509999999995</v>
      </c>
      <c r="M33" s="27">
        <f t="shared" si="39"/>
        <v>57679.6</v>
      </c>
      <c r="N33" s="27">
        <f t="shared" si="39"/>
        <v>308.52999999999997</v>
      </c>
      <c r="O33" s="27">
        <f t="shared" ref="O33" si="40">SUM(O26:O32)</f>
        <v>68.02</v>
      </c>
      <c r="P33" s="27">
        <f t="shared" si="39"/>
        <v>1139.1600000000001</v>
      </c>
      <c r="Q33" s="27">
        <f t="shared" si="39"/>
        <v>3079.49</v>
      </c>
      <c r="R33" s="27">
        <f t="shared" si="39"/>
        <v>1125.71</v>
      </c>
      <c r="S33" s="27">
        <f t="shared" si="39"/>
        <v>1541.12</v>
      </c>
      <c r="T33" s="27">
        <f t="shared" si="39"/>
        <v>135</v>
      </c>
      <c r="U33" s="27">
        <f t="shared" si="39"/>
        <v>264.5</v>
      </c>
      <c r="V33" s="27">
        <f t="shared" si="39"/>
        <v>15536.1</v>
      </c>
      <c r="W33" s="27">
        <f t="shared" si="39"/>
        <v>3150</v>
      </c>
      <c r="X33" s="27">
        <f t="shared" si="39"/>
        <v>-55.079999999999927</v>
      </c>
      <c r="Y33" s="27">
        <f t="shared" si="39"/>
        <v>-102.90999999999804</v>
      </c>
      <c r="Z33" s="27">
        <f t="shared" si="39"/>
        <v>110</v>
      </c>
      <c r="AA33" s="27">
        <f t="shared" si="39"/>
        <v>157</v>
      </c>
      <c r="AB33" s="27">
        <f t="shared" si="39"/>
        <v>23.8</v>
      </c>
      <c r="AC33" s="27">
        <f t="shared" si="39"/>
        <v>99</v>
      </c>
      <c r="AD33" s="27">
        <f t="shared" si="39"/>
        <v>1410</v>
      </c>
      <c r="AE33" s="27">
        <f t="shared" si="39"/>
        <v>1261.2</v>
      </c>
    </row>
    <row r="34" spans="1:32" ht="20.25" customHeight="1">
      <c r="A34" s="9">
        <v>44858</v>
      </c>
      <c r="B34" s="10" t="s">
        <v>23</v>
      </c>
      <c r="C34" s="11">
        <v>10171.65</v>
      </c>
      <c r="D34" s="11">
        <v>2982.27</v>
      </c>
      <c r="E34" s="11">
        <v>8</v>
      </c>
      <c r="F34" s="11">
        <v>56</v>
      </c>
      <c r="G34" s="11">
        <v>0</v>
      </c>
      <c r="H34" s="11">
        <v>60</v>
      </c>
      <c r="I34" s="11">
        <f t="shared" ref="I34:I37" si="41">SUM(C34:H34,T34)</f>
        <v>13307.92</v>
      </c>
      <c r="J34" s="11">
        <v>2835.54</v>
      </c>
      <c r="K34" s="11">
        <v>0</v>
      </c>
      <c r="L34" s="11">
        <f>SUM(M34:R34)</f>
        <v>10412.380000000003</v>
      </c>
      <c r="M34" s="11">
        <f>3163.34+5224.56+673.51</f>
        <v>9061.4100000000017</v>
      </c>
      <c r="N34" s="11">
        <v>34.58</v>
      </c>
      <c r="O34" s="11">
        <v>0</v>
      </c>
      <c r="P34" s="11">
        <v>151.62</v>
      </c>
      <c r="Q34" s="11">
        <v>708.9</v>
      </c>
      <c r="R34" s="11">
        <f>322.87+133</f>
        <v>455.87</v>
      </c>
      <c r="S34" s="11">
        <f>64.5+325.57</f>
        <v>390.07</v>
      </c>
      <c r="T34" s="33">
        <v>30</v>
      </c>
      <c r="U34" s="33">
        <v>25.8</v>
      </c>
      <c r="V34" s="11">
        <v>2395</v>
      </c>
      <c r="W34" s="11">
        <v>450</v>
      </c>
      <c r="X34" s="31">
        <f t="shared" ref="X34:X36" si="42">SUM(S34,T34,U34,V34)-J34</f>
        <v>5.3299999999999272</v>
      </c>
      <c r="Y34" s="32">
        <f t="shared" si="15"/>
        <v>0</v>
      </c>
      <c r="Z34" s="32">
        <f t="shared" si="30"/>
        <v>0</v>
      </c>
      <c r="AA34" s="32">
        <v>0</v>
      </c>
      <c r="AB34" s="33">
        <f t="shared" ref="AB34:AB36" si="43">SUM(H34-AC34)</f>
        <v>0</v>
      </c>
      <c r="AC34" s="33">
        <v>60</v>
      </c>
      <c r="AD34" s="33">
        <v>900</v>
      </c>
      <c r="AE34" s="33">
        <f>SUM(AD34-H34)</f>
        <v>840</v>
      </c>
    </row>
    <row r="35" spans="1:32" ht="20.25" customHeight="1">
      <c r="A35" s="9">
        <v>44859</v>
      </c>
      <c r="B35" s="10" t="s">
        <v>24</v>
      </c>
      <c r="C35" s="11">
        <v>10882.58</v>
      </c>
      <c r="D35" s="11">
        <v>3065.78</v>
      </c>
      <c r="E35" s="11">
        <v>25</v>
      </c>
      <c r="F35" s="11">
        <v>25</v>
      </c>
      <c r="G35" s="11">
        <v>70</v>
      </c>
      <c r="H35" s="11">
        <v>40</v>
      </c>
      <c r="I35" s="11">
        <f t="shared" si="41"/>
        <v>14108.36</v>
      </c>
      <c r="J35" s="11">
        <v>2480.5300000000002</v>
      </c>
      <c r="K35" s="11">
        <v>0</v>
      </c>
      <c r="L35" s="11">
        <f>SUM(M35:R35)</f>
        <v>11464.39</v>
      </c>
      <c r="M35" s="11">
        <f>959.21+6606.93+3062.75</f>
        <v>10628.89</v>
      </c>
      <c r="N35" s="11">
        <v>40.01</v>
      </c>
      <c r="O35" s="11">
        <v>0</v>
      </c>
      <c r="P35" s="11">
        <v>339.8</v>
      </c>
      <c r="Q35" s="11">
        <v>222.5</v>
      </c>
      <c r="R35" s="11">
        <v>233.19</v>
      </c>
      <c r="S35" s="11">
        <v>247.42</v>
      </c>
      <c r="T35" s="33">
        <v>0</v>
      </c>
      <c r="U35" s="33">
        <v>4.5999999999999996</v>
      </c>
      <c r="V35" s="11">
        <v>2220</v>
      </c>
      <c r="W35" s="11">
        <v>450</v>
      </c>
      <c r="X35" s="31">
        <f t="shared" si="42"/>
        <v>-8.5100000000002183</v>
      </c>
      <c r="Y35" s="32">
        <f t="shared" si="15"/>
        <v>-83.440000000000509</v>
      </c>
      <c r="Z35" s="32">
        <f t="shared" si="30"/>
        <v>30</v>
      </c>
      <c r="AA35" s="32">
        <v>40</v>
      </c>
      <c r="AB35" s="33">
        <f t="shared" si="43"/>
        <v>0</v>
      </c>
      <c r="AC35" s="33">
        <v>40</v>
      </c>
      <c r="AD35" s="33">
        <v>0</v>
      </c>
      <c r="AE35" s="33">
        <f t="shared" ref="AE35:AE37" si="44">SUM(AD35-H35)</f>
        <v>-40</v>
      </c>
      <c r="AF35" t="s">
        <v>100</v>
      </c>
    </row>
    <row r="36" spans="1:32" ht="20.25" customHeight="1">
      <c r="A36" s="9">
        <v>44860</v>
      </c>
      <c r="B36" s="10" t="s">
        <v>25</v>
      </c>
      <c r="C36" s="11">
        <v>10143.129999999999</v>
      </c>
      <c r="D36" s="11">
        <v>3504.76</v>
      </c>
      <c r="E36" s="11">
        <v>8</v>
      </c>
      <c r="F36" s="11">
        <v>26</v>
      </c>
      <c r="G36" s="11">
        <v>15.5</v>
      </c>
      <c r="H36" s="11">
        <v>137</v>
      </c>
      <c r="I36" s="11">
        <f t="shared" si="41"/>
        <v>13834.39</v>
      </c>
      <c r="J36" s="11">
        <v>2674.53</v>
      </c>
      <c r="K36" s="11">
        <v>0</v>
      </c>
      <c r="L36" s="11">
        <f>SUM(M36:R36)</f>
        <v>11114.359999999999</v>
      </c>
      <c r="M36" s="11">
        <f>6133.05+817.27+2950.55</f>
        <v>9900.869999999999</v>
      </c>
      <c r="N36" s="11">
        <v>25.59</v>
      </c>
      <c r="O36" s="11">
        <v>0</v>
      </c>
      <c r="P36" s="11">
        <v>40.01</v>
      </c>
      <c r="Q36" s="11">
        <v>733.15</v>
      </c>
      <c r="R36" s="11">
        <v>414.74</v>
      </c>
      <c r="S36" s="11">
        <v>0</v>
      </c>
      <c r="T36" s="33">
        <v>0</v>
      </c>
      <c r="U36" s="33">
        <v>44</v>
      </c>
      <c r="V36" s="11">
        <v>2630</v>
      </c>
      <c r="W36" s="11">
        <v>450</v>
      </c>
      <c r="X36" s="31">
        <f t="shared" si="42"/>
        <v>-0.53000000000020009</v>
      </c>
      <c r="Y36" s="32">
        <f t="shared" si="15"/>
        <v>-2.5</v>
      </c>
      <c r="Z36" s="32">
        <f t="shared" si="30"/>
        <v>2.5</v>
      </c>
      <c r="AA36" s="32">
        <v>13</v>
      </c>
      <c r="AB36" s="33">
        <f t="shared" si="43"/>
        <v>107</v>
      </c>
      <c r="AC36" s="33">
        <v>30</v>
      </c>
      <c r="AD36" s="33">
        <v>860</v>
      </c>
      <c r="AE36" s="33">
        <f t="shared" si="44"/>
        <v>723</v>
      </c>
    </row>
    <row r="37" spans="1:32" ht="20.25" customHeight="1">
      <c r="A37" s="9">
        <v>44861</v>
      </c>
      <c r="B37" s="10" t="s">
        <v>26</v>
      </c>
      <c r="C37" s="11">
        <v>8637.0300000000007</v>
      </c>
      <c r="D37" s="11">
        <v>3640.96</v>
      </c>
      <c r="E37" s="11">
        <v>5</v>
      </c>
      <c r="F37" s="11">
        <v>44</v>
      </c>
      <c r="G37" s="11">
        <v>10</v>
      </c>
      <c r="H37" s="11">
        <v>45</v>
      </c>
      <c r="I37" s="11">
        <f t="shared" si="41"/>
        <v>12451.990000000002</v>
      </c>
      <c r="J37" s="11">
        <v>2090.7199999999998</v>
      </c>
      <c r="K37" s="11">
        <v>0</v>
      </c>
      <c r="L37" s="11">
        <f>SUM(M37:R37)</f>
        <v>10351.27</v>
      </c>
      <c r="M37" s="11">
        <f>2535.83+6172.93+767.6</f>
        <v>9476.36</v>
      </c>
      <c r="N37" s="11">
        <v>47.38</v>
      </c>
      <c r="O37" s="11">
        <v>158.26</v>
      </c>
      <c r="P37" s="11">
        <v>59.27</v>
      </c>
      <c r="Q37" s="11">
        <v>266.82</v>
      </c>
      <c r="R37" s="11">
        <v>343.18</v>
      </c>
      <c r="S37" s="11">
        <v>0</v>
      </c>
      <c r="T37" s="33">
        <v>70</v>
      </c>
      <c r="U37" s="33">
        <v>15</v>
      </c>
      <c r="V37" s="11">
        <v>2005</v>
      </c>
      <c r="W37" s="11">
        <v>450</v>
      </c>
      <c r="X37" s="31">
        <f t="shared" ref="X37:X40" si="45">SUM(S37,T37,U37,V37)-J37</f>
        <v>-0.71999999999979991</v>
      </c>
      <c r="Y37" s="32">
        <f t="shared" si="15"/>
        <v>0</v>
      </c>
      <c r="Z37" s="32">
        <f t="shared" ref="Z37:Z40" si="46">SUM(G37-AA37)</f>
        <v>0</v>
      </c>
      <c r="AA37" s="32">
        <v>10</v>
      </c>
      <c r="AB37" s="33">
        <f t="shared" ref="AB37:AB40" si="47">SUM(H37-AC37)</f>
        <v>45</v>
      </c>
      <c r="AC37" s="33">
        <v>0</v>
      </c>
      <c r="AD37" s="33">
        <v>210</v>
      </c>
      <c r="AE37" s="33">
        <f t="shared" si="44"/>
        <v>165</v>
      </c>
    </row>
    <row r="38" spans="1:32" ht="20.25" customHeight="1">
      <c r="A38" s="9">
        <v>44862</v>
      </c>
      <c r="B38" s="10" t="s">
        <v>20</v>
      </c>
      <c r="C38" s="11">
        <f>10556.18+91.17</f>
        <v>10647.35</v>
      </c>
      <c r="D38" s="11">
        <v>4846.67</v>
      </c>
      <c r="E38" s="11">
        <v>33</v>
      </c>
      <c r="F38" s="11">
        <v>101</v>
      </c>
      <c r="G38" s="11">
        <v>125</v>
      </c>
      <c r="H38" s="11">
        <v>63.86</v>
      </c>
      <c r="I38" s="11">
        <f t="shared" ref="I38:I40" si="48">SUM(C38:H38,T38)</f>
        <v>15846.880000000001</v>
      </c>
      <c r="J38" s="11">
        <v>2504.27</v>
      </c>
      <c r="K38" s="11">
        <v>0</v>
      </c>
      <c r="L38" s="11">
        <f t="shared" ref="L38:L40" si="49">SUM(M38:R38)</f>
        <v>13166.239999999998</v>
      </c>
      <c r="M38" s="11">
        <f>6869.34+952.78+4693.12</f>
        <v>12515.24</v>
      </c>
      <c r="N38" s="11">
        <v>96.88</v>
      </c>
      <c r="O38" s="11">
        <v>0</v>
      </c>
      <c r="P38" s="11">
        <v>123.07</v>
      </c>
      <c r="Q38" s="11">
        <v>243.49</v>
      </c>
      <c r="R38" s="11">
        <v>187.56</v>
      </c>
      <c r="S38" s="11">
        <v>0</v>
      </c>
      <c r="T38" s="33">
        <v>30</v>
      </c>
      <c r="U38" s="33">
        <v>85</v>
      </c>
      <c r="V38" s="11">
        <v>2388</v>
      </c>
      <c r="W38" s="11">
        <v>450</v>
      </c>
      <c r="X38" s="31">
        <f t="shared" si="45"/>
        <v>-1.2699999999999818</v>
      </c>
      <c r="Y38" s="32">
        <f t="shared" si="15"/>
        <v>-91.170000000001892</v>
      </c>
      <c r="Z38" s="32">
        <f t="shared" si="46"/>
        <v>95</v>
      </c>
      <c r="AA38" s="32">
        <v>30</v>
      </c>
      <c r="AB38" s="33">
        <f t="shared" si="47"/>
        <v>8.6599999999999966</v>
      </c>
      <c r="AC38" s="33">
        <v>55.2</v>
      </c>
      <c r="AD38" s="33">
        <v>1470</v>
      </c>
      <c r="AE38" s="33">
        <f t="shared" ref="AE38:AE40" si="50">SUM(AD38-H38)</f>
        <v>1406.14</v>
      </c>
    </row>
    <row r="39" spans="1:32" ht="20.25" customHeight="1">
      <c r="A39" s="9">
        <v>44863</v>
      </c>
      <c r="B39" s="10" t="s">
        <v>21</v>
      </c>
      <c r="C39" s="11">
        <v>9694.7099999999991</v>
      </c>
      <c r="D39" s="11">
        <v>5022.95</v>
      </c>
      <c r="E39" s="11">
        <v>12</v>
      </c>
      <c r="F39" s="11">
        <v>167</v>
      </c>
      <c r="G39" s="11">
        <v>55</v>
      </c>
      <c r="H39" s="11">
        <v>70.28</v>
      </c>
      <c r="I39" s="11">
        <f t="shared" si="48"/>
        <v>15081.94</v>
      </c>
      <c r="J39" s="11">
        <v>3041.34</v>
      </c>
      <c r="K39" s="11">
        <v>0</v>
      </c>
      <c r="L39" s="11">
        <f t="shared" si="49"/>
        <v>11965.599999999999</v>
      </c>
      <c r="M39" s="11">
        <f>7198.45+3516.6+758.9</f>
        <v>11473.949999999999</v>
      </c>
      <c r="N39" s="11">
        <v>45.01</v>
      </c>
      <c r="O39" s="11">
        <v>0</v>
      </c>
      <c r="P39" s="11">
        <v>0</v>
      </c>
      <c r="Q39" s="11">
        <v>137.97999999999999</v>
      </c>
      <c r="R39" s="11">
        <v>308.66000000000003</v>
      </c>
      <c r="S39" s="11">
        <v>244.81</v>
      </c>
      <c r="T39" s="33">
        <v>60</v>
      </c>
      <c r="U39" s="33">
        <v>114</v>
      </c>
      <c r="V39" s="11">
        <v>2625</v>
      </c>
      <c r="W39" s="11">
        <v>450</v>
      </c>
      <c r="X39" s="31">
        <f t="shared" si="45"/>
        <v>2.4699999999997999</v>
      </c>
      <c r="Y39" s="32">
        <f t="shared" si="15"/>
        <v>0</v>
      </c>
      <c r="Z39" s="32">
        <f t="shared" si="46"/>
        <v>0</v>
      </c>
      <c r="AA39" s="32">
        <v>55</v>
      </c>
      <c r="AB39" s="33">
        <f t="shared" si="47"/>
        <v>50.28</v>
      </c>
      <c r="AC39" s="33">
        <v>20</v>
      </c>
      <c r="AD39" s="33">
        <v>0</v>
      </c>
      <c r="AE39" s="33">
        <f t="shared" si="50"/>
        <v>-70.28</v>
      </c>
    </row>
    <row r="40" spans="1:32" ht="20.25" customHeight="1">
      <c r="A40" s="9">
        <v>44864</v>
      </c>
      <c r="B40" s="10" t="s">
        <v>22</v>
      </c>
      <c r="C40" s="11">
        <v>8742.4699999999993</v>
      </c>
      <c r="D40" s="11">
        <v>3366.97</v>
      </c>
      <c r="E40" s="11">
        <v>0</v>
      </c>
      <c r="F40" s="11">
        <v>79</v>
      </c>
      <c r="G40" s="11">
        <v>20</v>
      </c>
      <c r="H40" s="11">
        <v>249</v>
      </c>
      <c r="I40" s="11">
        <f t="shared" si="48"/>
        <v>12457.439999999999</v>
      </c>
      <c r="J40" s="11">
        <v>2144.17</v>
      </c>
      <c r="K40" s="11">
        <v>0</v>
      </c>
      <c r="L40" s="11">
        <f t="shared" si="49"/>
        <v>10084.27</v>
      </c>
      <c r="M40" s="11">
        <f>6636.33+490.25+2448.17</f>
        <v>9574.75</v>
      </c>
      <c r="N40" s="11">
        <v>129</v>
      </c>
      <c r="O40" s="11">
        <v>0</v>
      </c>
      <c r="P40" s="11">
        <v>177.02</v>
      </c>
      <c r="Q40" s="11">
        <v>203.5</v>
      </c>
      <c r="R40" s="11">
        <v>0</v>
      </c>
      <c r="S40" s="11">
        <v>0</v>
      </c>
      <c r="T40" s="33">
        <v>0</v>
      </c>
      <c r="U40" s="33">
        <v>32</v>
      </c>
      <c r="V40" s="11">
        <v>2114</v>
      </c>
      <c r="W40" s="11">
        <v>450</v>
      </c>
      <c r="X40" s="31">
        <f t="shared" si="45"/>
        <v>1.8299999999999272</v>
      </c>
      <c r="Y40" s="32">
        <f t="shared" si="15"/>
        <v>0</v>
      </c>
      <c r="Z40" s="32">
        <f t="shared" si="46"/>
        <v>0</v>
      </c>
      <c r="AA40" s="32">
        <v>20</v>
      </c>
      <c r="AB40" s="33">
        <f t="shared" si="47"/>
        <v>40</v>
      </c>
      <c r="AC40" s="33">
        <v>209</v>
      </c>
      <c r="AD40" s="33">
        <v>410</v>
      </c>
      <c r="AE40" s="33">
        <f t="shared" si="50"/>
        <v>161</v>
      </c>
    </row>
    <row r="41" spans="1:32" ht="37.5" customHeight="1">
      <c r="A41" s="65" t="s">
        <v>27</v>
      </c>
      <c r="B41" s="66"/>
      <c r="C41" s="27">
        <f t="shared" ref="C41:AE41" si="51">SUM(C34:C40)</f>
        <v>68918.92</v>
      </c>
      <c r="D41" s="27">
        <f t="shared" si="51"/>
        <v>26430.360000000004</v>
      </c>
      <c r="E41" s="27">
        <f t="shared" si="51"/>
        <v>91</v>
      </c>
      <c r="F41" s="27">
        <f t="shared" si="51"/>
        <v>498</v>
      </c>
      <c r="G41" s="27">
        <f t="shared" ref="G41" si="52">SUM(G34:G40)</f>
        <v>295.5</v>
      </c>
      <c r="H41" s="27">
        <f t="shared" si="51"/>
        <v>665.14</v>
      </c>
      <c r="I41" s="27">
        <f t="shared" si="51"/>
        <v>97088.920000000013</v>
      </c>
      <c r="J41" s="27">
        <f t="shared" si="51"/>
        <v>17771.099999999999</v>
      </c>
      <c r="K41" s="27">
        <f t="shared" ref="K41" si="53">SUM(K34:K40)</f>
        <v>0</v>
      </c>
      <c r="L41" s="27">
        <f t="shared" si="51"/>
        <v>78558.510000000009</v>
      </c>
      <c r="M41" s="27">
        <f t="shared" si="51"/>
        <v>72631.47</v>
      </c>
      <c r="N41" s="27">
        <f t="shared" si="51"/>
        <v>418.45</v>
      </c>
      <c r="O41" s="27">
        <f t="shared" ref="O41" si="54">SUM(O34:O40)</f>
        <v>158.26</v>
      </c>
      <c r="P41" s="27">
        <f t="shared" si="51"/>
        <v>890.79</v>
      </c>
      <c r="Q41" s="27">
        <f t="shared" si="51"/>
        <v>2516.3399999999997</v>
      </c>
      <c r="R41" s="27">
        <f t="shared" ref="R41" si="55">SUM(R34:R40)</f>
        <v>1943.2</v>
      </c>
      <c r="S41" s="27">
        <f t="shared" si="51"/>
        <v>882.3</v>
      </c>
      <c r="T41" s="27">
        <f t="shared" si="51"/>
        <v>190</v>
      </c>
      <c r="U41" s="27">
        <f t="shared" si="51"/>
        <v>320.39999999999998</v>
      </c>
      <c r="V41" s="27">
        <f t="shared" si="51"/>
        <v>16377</v>
      </c>
      <c r="W41" s="27">
        <f t="shared" si="51"/>
        <v>3150</v>
      </c>
      <c r="X41" s="27">
        <f t="shared" si="51"/>
        <v>-1.4000000000005457</v>
      </c>
      <c r="Y41" s="27">
        <f t="shared" si="51"/>
        <v>-177.1100000000024</v>
      </c>
      <c r="Z41" s="27">
        <f t="shared" si="51"/>
        <v>127.5</v>
      </c>
      <c r="AA41" s="27">
        <f t="shared" si="51"/>
        <v>168</v>
      </c>
      <c r="AB41" s="27">
        <f t="shared" si="51"/>
        <v>250.94</v>
      </c>
      <c r="AC41" s="27">
        <f t="shared" si="51"/>
        <v>414.2</v>
      </c>
      <c r="AD41" s="27">
        <f t="shared" si="51"/>
        <v>3850</v>
      </c>
      <c r="AE41" s="27">
        <f t="shared" si="51"/>
        <v>3184.86</v>
      </c>
    </row>
    <row r="42" spans="1:32" ht="20.25" customHeight="1">
      <c r="A42" s="9">
        <v>44865</v>
      </c>
      <c r="B42" s="10" t="s">
        <v>23</v>
      </c>
      <c r="C42" s="11">
        <v>11042.33</v>
      </c>
      <c r="D42" s="11">
        <v>3274.31</v>
      </c>
      <c r="E42" s="11">
        <v>1.5</v>
      </c>
      <c r="F42" s="11">
        <v>70</v>
      </c>
      <c r="G42" s="11">
        <v>49</v>
      </c>
      <c r="H42" s="11">
        <v>63.57</v>
      </c>
      <c r="I42" s="11">
        <f t="shared" ref="I42" si="56">SUM(C42:H42,T42)</f>
        <v>14500.71</v>
      </c>
      <c r="J42" s="11">
        <f>2485.98</f>
        <v>2485.98</v>
      </c>
      <c r="K42" s="11">
        <v>0</v>
      </c>
      <c r="L42" s="11">
        <f t="shared" ref="L42" si="57">SUM(M42:R42)</f>
        <v>12007.000000000002</v>
      </c>
      <c r="M42" s="11">
        <f>3265.82+6875.94+533.62+123.53</f>
        <v>10798.910000000002</v>
      </c>
      <c r="N42" s="11">
        <v>0</v>
      </c>
      <c r="O42" s="11">
        <v>0</v>
      </c>
      <c r="P42" s="11">
        <v>250.19</v>
      </c>
      <c r="Q42" s="11">
        <v>608.55999999999995</v>
      </c>
      <c r="R42" s="11">
        <v>349.34</v>
      </c>
      <c r="S42" s="11">
        <v>84.2</v>
      </c>
      <c r="T42" s="33">
        <v>0</v>
      </c>
      <c r="U42" s="33">
        <v>60</v>
      </c>
      <c r="V42" s="11">
        <v>2320</v>
      </c>
      <c r="W42" s="11">
        <v>450</v>
      </c>
      <c r="X42" s="31">
        <f t="shared" ref="X42" si="58">SUM(S42,T42,U42,V42)-J42</f>
        <v>-21.7800000000002</v>
      </c>
      <c r="Y42" s="32">
        <f t="shared" si="15"/>
        <v>22.270000000002256</v>
      </c>
      <c r="Z42" s="32">
        <f t="shared" ref="Z42" si="59">SUM(G42-AA42)</f>
        <v>29</v>
      </c>
      <c r="AA42" s="32">
        <v>20</v>
      </c>
      <c r="AB42" s="33">
        <f t="shared" ref="AB42" si="60">SUM(H42-AC42)</f>
        <v>53.57</v>
      </c>
      <c r="AC42" s="33">
        <v>10</v>
      </c>
      <c r="AD42" s="33">
        <v>0</v>
      </c>
      <c r="AE42" s="33">
        <f>SUM(AD42-H42)</f>
        <v>-63.57</v>
      </c>
    </row>
    <row r="43" spans="1:32" ht="51.75" customHeight="1">
      <c r="A43" s="67" t="s">
        <v>17</v>
      </c>
      <c r="B43" s="68"/>
      <c r="C43" s="30">
        <f>SUM(C33,C25,C17,C9,C41,C42)</f>
        <v>307390.63</v>
      </c>
      <c r="D43" s="30">
        <f t="shared" ref="D43:AE43" si="61">SUM(D33,D25,D17,D9,D41,D42)</f>
        <v>130590.39999999999</v>
      </c>
      <c r="E43" s="30">
        <f t="shared" si="61"/>
        <v>603</v>
      </c>
      <c r="F43" s="30">
        <f t="shared" si="61"/>
        <v>2812</v>
      </c>
      <c r="G43" s="30">
        <f t="shared" si="61"/>
        <v>1847.9699999999998</v>
      </c>
      <c r="H43" s="30">
        <f t="shared" si="61"/>
        <v>2848.84</v>
      </c>
      <c r="I43" s="30">
        <f t="shared" si="61"/>
        <v>446710.84</v>
      </c>
      <c r="J43" s="30">
        <f t="shared" si="61"/>
        <v>88586.959999999977</v>
      </c>
      <c r="K43" s="30">
        <f t="shared" si="61"/>
        <v>16.3</v>
      </c>
      <c r="L43" s="30">
        <f t="shared" si="61"/>
        <v>354702.43000000005</v>
      </c>
      <c r="M43" s="30">
        <f t="shared" si="61"/>
        <v>326391.44</v>
      </c>
      <c r="N43" s="30">
        <f t="shared" si="61"/>
        <v>1408.9199999999998</v>
      </c>
      <c r="O43" s="30">
        <f t="shared" ref="O43" si="62">SUM(O33,O25,O17,O9,O41,O42)</f>
        <v>295.63</v>
      </c>
      <c r="P43" s="30">
        <f t="shared" si="61"/>
        <v>4994.2999999999993</v>
      </c>
      <c r="Q43" s="30">
        <f t="shared" si="61"/>
        <v>14382.25</v>
      </c>
      <c r="R43" s="30">
        <f t="shared" si="61"/>
        <v>7229.89</v>
      </c>
      <c r="S43" s="30">
        <f t="shared" si="61"/>
        <v>5623.46</v>
      </c>
      <c r="T43" s="30">
        <f t="shared" si="61"/>
        <v>618</v>
      </c>
      <c r="U43" s="30">
        <f t="shared" si="61"/>
        <v>1608.4</v>
      </c>
      <c r="V43" s="30">
        <f t="shared" si="61"/>
        <v>80374</v>
      </c>
      <c r="W43" s="30">
        <f t="shared" si="61"/>
        <v>16200</v>
      </c>
      <c r="X43" s="30">
        <f t="shared" si="61"/>
        <v>-363.10000000000127</v>
      </c>
      <c r="Y43" s="30">
        <f t="shared" si="61"/>
        <v>-814.89999999999418</v>
      </c>
      <c r="Z43" s="30">
        <f t="shared" si="61"/>
        <v>816.5</v>
      </c>
      <c r="AA43" s="30">
        <f t="shared" si="61"/>
        <v>1031.47</v>
      </c>
      <c r="AB43" s="30">
        <f t="shared" si="61"/>
        <v>1300.06</v>
      </c>
      <c r="AC43" s="30">
        <f t="shared" si="61"/>
        <v>1558.78</v>
      </c>
      <c r="AD43" s="30">
        <f t="shared" si="61"/>
        <v>17050</v>
      </c>
      <c r="AE43" s="30">
        <f t="shared" si="61"/>
        <v>14189.16</v>
      </c>
    </row>
    <row r="45" spans="1:32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6" spans="1:32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</row>
    <row r="47" spans="1:32"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</row>
    <row r="48" spans="1:32"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</row>
    <row r="49" spans="1:31"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  <c r="X49" s="41"/>
      <c r="Y49" s="41"/>
      <c r="Z49" s="41"/>
      <c r="AA49" s="41"/>
      <c r="AB49" s="41"/>
      <c r="AC49" s="41"/>
      <c r="AD49" s="41"/>
      <c r="AE49" s="41"/>
    </row>
    <row r="51" spans="1:31" hidden="1"/>
    <row r="52" spans="1:31" ht="18.75" hidden="1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33"/>
      <c r="U52" s="33"/>
      <c r="V52" s="11"/>
      <c r="W52" s="11"/>
      <c r="X52" s="31"/>
      <c r="Y52" s="32"/>
      <c r="Z52" s="32"/>
      <c r="AA52" s="32"/>
      <c r="AB52" s="33"/>
      <c r="AC52" s="33"/>
      <c r="AD52" s="33"/>
      <c r="AE52" s="33"/>
    </row>
    <row r="53" spans="1:31" ht="18.75" hidden="1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33"/>
      <c r="U53" s="33"/>
      <c r="V53" s="11"/>
      <c r="W53" s="11"/>
      <c r="X53" s="31"/>
      <c r="Y53" s="32"/>
      <c r="Z53" s="32"/>
      <c r="AA53" s="32"/>
      <c r="AB53" s="33"/>
      <c r="AC53" s="33"/>
      <c r="AD53" s="33"/>
      <c r="AE53" s="33"/>
    </row>
    <row r="54" spans="1:31" s="28" customFormat="1" ht="18.75" hidden="1">
      <c r="A54"/>
      <c r="B54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33"/>
      <c r="U54" s="33"/>
      <c r="V54" s="11"/>
      <c r="W54" s="11"/>
      <c r="X54" s="31"/>
      <c r="Y54" s="32"/>
      <c r="Z54" s="32"/>
      <c r="AA54" s="32"/>
      <c r="AB54" s="33"/>
      <c r="AC54" s="33"/>
      <c r="AD54" s="33"/>
      <c r="AE54" s="33"/>
    </row>
    <row r="55" spans="1:31" s="28" customFormat="1" hidden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  <row r="56" spans="1:31" s="28" customFormat="1" hidden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</row>
    <row r="57" spans="1:31" s="28" customFormat="1" hidden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</row>
  </sheetData>
  <sheetProtection password="CCFB" sheet="1" objects="1" scenarios="1"/>
  <mergeCells count="6">
    <mergeCell ref="A43:B43"/>
    <mergeCell ref="A9:B9"/>
    <mergeCell ref="A17:B17"/>
    <mergeCell ref="A25:B25"/>
    <mergeCell ref="A33:B33"/>
    <mergeCell ref="A41:B41"/>
  </mergeCells>
  <conditionalFormatting sqref="X52:AA54 Z10:AA16 X2:AA8 X10:AA10 X11:Y16 X18:Z24 X34:AA40 X42:AA42 X26:AA32">
    <cfRule type="cellIs" dxfId="199" priority="15" operator="lessThan">
      <formula>0</formula>
    </cfRule>
    <cfRule type="cellIs" dxfId="198" priority="16" operator="greaterThan">
      <formula>0</formula>
    </cfRule>
  </conditionalFormatting>
  <conditionalFormatting sqref="X52:AB54 Z10:AB16 AB18:AB24 X2:AB8 X10:AB10 X11:Y16 X18:Z24 X34:AB40 X42:AB42 X26:AB32">
    <cfRule type="cellIs" dxfId="197" priority="12" operator="equal">
      <formula>0</formula>
    </cfRule>
    <cfRule type="cellIs" dxfId="196" priority="13" operator="lessThan">
      <formula>0</formula>
    </cfRule>
    <cfRule type="cellIs" dxfId="195" priority="14" operator="greaterThan">
      <formula>0</formula>
    </cfRule>
  </conditionalFormatting>
  <conditionalFormatting sqref="AE18:AE24 AE26:AE32 AE2:AE8 AE34:AE40 AE42 AE10:AE16">
    <cfRule type="cellIs" dxfId="194" priority="9" operator="equal">
      <formula>0</formula>
    </cfRule>
    <cfRule type="cellIs" dxfId="193" priority="10" operator="lessThan">
      <formula>0</formula>
    </cfRule>
    <cfRule type="cellIs" dxfId="192" priority="1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H52"/>
  <sheetViews>
    <sheetView topLeftCell="A10" zoomScale="60" zoomScaleNormal="60" workbookViewId="0">
      <selection activeCell="C26" sqref="C26:C28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6.42578125" customWidth="1"/>
    <col min="17" max="18" width="15.5703125" customWidth="1"/>
    <col min="19" max="19" width="13.85546875" customWidth="1"/>
    <col min="20" max="20" width="13.5703125" customWidth="1"/>
    <col min="21" max="21" width="14.28515625" customWidth="1"/>
    <col min="22" max="22" width="13" customWidth="1"/>
    <col min="23" max="23" width="14.85546875" customWidth="1"/>
    <col min="24" max="24" width="15.85546875" customWidth="1"/>
    <col min="25" max="27" width="16.5703125" customWidth="1"/>
    <col min="28" max="28" width="14" customWidth="1"/>
    <col min="29" max="29" width="13" customWidth="1"/>
    <col min="30" max="30" width="14.85546875" customWidth="1"/>
    <col min="31" max="31" width="15.5703125" customWidth="1"/>
  </cols>
  <sheetData>
    <row r="1" spans="1:31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96</v>
      </c>
      <c r="P1" s="8" t="s">
        <v>8</v>
      </c>
      <c r="Q1" s="8" t="s">
        <v>28</v>
      </c>
      <c r="R1" s="8" t="s">
        <v>92</v>
      </c>
      <c r="S1" s="8" t="s">
        <v>9</v>
      </c>
      <c r="T1" s="8" t="s">
        <v>10</v>
      </c>
      <c r="U1" s="8" t="s">
        <v>11</v>
      </c>
      <c r="V1" s="8" t="s">
        <v>12</v>
      </c>
      <c r="W1" s="8" t="s">
        <v>13</v>
      </c>
      <c r="X1" s="8" t="s">
        <v>14</v>
      </c>
      <c r="Y1" s="8" t="s">
        <v>34</v>
      </c>
      <c r="Z1" s="23" t="s">
        <v>94</v>
      </c>
      <c r="AA1" s="23" t="s">
        <v>95</v>
      </c>
      <c r="AB1" s="23" t="s">
        <v>39</v>
      </c>
      <c r="AC1" s="23" t="s">
        <v>40</v>
      </c>
      <c r="AD1" s="23" t="s">
        <v>78</v>
      </c>
      <c r="AE1" s="23" t="s">
        <v>79</v>
      </c>
    </row>
    <row r="2" spans="1:31" ht="20.25" customHeight="1">
      <c r="A2" s="9">
        <v>44865</v>
      </c>
      <c r="B2" s="10" t="s">
        <v>23</v>
      </c>
      <c r="C2" s="11">
        <v>11042.33</v>
      </c>
      <c r="D2" s="11">
        <v>3274.31</v>
      </c>
      <c r="E2" s="11">
        <v>1.5</v>
      </c>
      <c r="F2" s="11">
        <v>70</v>
      </c>
      <c r="G2" s="11">
        <v>49</v>
      </c>
      <c r="H2" s="11">
        <v>63.57</v>
      </c>
      <c r="I2" s="11">
        <f t="shared" ref="I2" si="0">SUM(C2:H2,T2)</f>
        <v>14500.71</v>
      </c>
      <c r="J2" s="11">
        <f>2485.98-22.27</f>
        <v>2463.71</v>
      </c>
      <c r="K2" s="11">
        <v>0</v>
      </c>
      <c r="L2" s="11">
        <f t="shared" ref="L2" si="1">SUM(M2:R2)</f>
        <v>12007.000000000002</v>
      </c>
      <c r="M2" s="11">
        <f>3265.82+6875.94+533.62+123.53</f>
        <v>10798.910000000002</v>
      </c>
      <c r="N2" s="11">
        <v>0</v>
      </c>
      <c r="O2" s="11">
        <v>0</v>
      </c>
      <c r="P2" s="11">
        <v>250.19</v>
      </c>
      <c r="Q2" s="11">
        <v>608.55999999999995</v>
      </c>
      <c r="R2" s="11">
        <v>349.34</v>
      </c>
      <c r="S2" s="11">
        <v>84.2</v>
      </c>
      <c r="T2" s="33">
        <v>0</v>
      </c>
      <c r="U2" s="33">
        <v>60</v>
      </c>
      <c r="V2" s="11">
        <v>2320</v>
      </c>
      <c r="W2" s="11">
        <v>450</v>
      </c>
      <c r="X2" s="31">
        <f t="shared" ref="X2" si="2">SUM(S2,T2,U2,V2)-J2</f>
        <v>0.48999999999978172</v>
      </c>
      <c r="Y2" s="32">
        <f t="shared" ref="Y2" si="3">SUM(J2+K2+L2+AC2+AA2)-(I2)</f>
        <v>0</v>
      </c>
      <c r="Z2" s="32">
        <f t="shared" ref="Z2" si="4">SUM(G2-AA2)</f>
        <v>29</v>
      </c>
      <c r="AA2" s="32">
        <v>20</v>
      </c>
      <c r="AB2" s="33">
        <f t="shared" ref="AB2" si="5">SUM(H2-AC2)</f>
        <v>53.57</v>
      </c>
      <c r="AC2" s="33">
        <v>10</v>
      </c>
      <c r="AD2" s="33">
        <v>0</v>
      </c>
      <c r="AE2" s="33">
        <f>SUM(AD2-H2)</f>
        <v>-63.57</v>
      </c>
    </row>
    <row r="3" spans="1:31" ht="20.25" customHeight="1">
      <c r="A3" s="9">
        <v>44866</v>
      </c>
      <c r="B3" s="10" t="s">
        <v>24</v>
      </c>
      <c r="C3" s="11">
        <v>9094.2000000000007</v>
      </c>
      <c r="D3" s="11">
        <v>3141.2</v>
      </c>
      <c r="E3" s="11">
        <v>52</v>
      </c>
      <c r="F3" s="11">
        <v>130</v>
      </c>
      <c r="G3" s="11">
        <v>50</v>
      </c>
      <c r="H3" s="11">
        <v>16.04</v>
      </c>
      <c r="I3" s="11">
        <f t="shared" ref="I3:I6" si="6">SUM(C3:H3,T3)</f>
        <v>12523.440000000002</v>
      </c>
      <c r="J3" s="11">
        <v>1794.9</v>
      </c>
      <c r="K3" s="11">
        <v>0</v>
      </c>
      <c r="L3" s="11">
        <f t="shared" ref="L3:L6" si="7">SUM(M3:R3)</f>
        <v>10662.500000000002</v>
      </c>
      <c r="M3" s="11">
        <f>2779.44+5942.85+885.57</f>
        <v>9607.86</v>
      </c>
      <c r="N3" s="11">
        <v>105.29</v>
      </c>
      <c r="O3" s="11">
        <v>0</v>
      </c>
      <c r="P3" s="11">
        <v>0</v>
      </c>
      <c r="Q3" s="11">
        <v>577.30999999999995</v>
      </c>
      <c r="R3" s="11">
        <v>372.04</v>
      </c>
      <c r="S3" s="11">
        <v>517.94000000000005</v>
      </c>
      <c r="T3" s="33">
        <v>40</v>
      </c>
      <c r="U3" s="33">
        <v>43.5</v>
      </c>
      <c r="V3" s="11">
        <v>1186</v>
      </c>
      <c r="W3" s="11">
        <v>450</v>
      </c>
      <c r="X3" s="31">
        <f t="shared" ref="X3:X8" si="8">SUM(S3,T3,U3,V3)-J3</f>
        <v>-7.4600000000000364</v>
      </c>
      <c r="Y3" s="32">
        <f t="shared" ref="Y3:Y5" si="9">SUM(J3+K3+L3+AC3+AA3)-(I3)</f>
        <v>0</v>
      </c>
      <c r="Z3" s="32">
        <f t="shared" ref="Z3:Z8" si="10">SUM(G3-AA3)</f>
        <v>0</v>
      </c>
      <c r="AA3" s="32">
        <v>50</v>
      </c>
      <c r="AB3" s="33">
        <f t="shared" ref="AB3:AB8" si="11">SUM(H3-AC3)</f>
        <v>0</v>
      </c>
      <c r="AC3" s="33">
        <v>16.04</v>
      </c>
      <c r="AD3" s="33">
        <v>580</v>
      </c>
      <c r="AE3" s="33">
        <f t="shared" ref="AE3:AE8" si="12">SUM(AD3-H3)</f>
        <v>563.96</v>
      </c>
    </row>
    <row r="4" spans="1:31" ht="20.25" customHeight="1">
      <c r="A4" s="9">
        <v>44867</v>
      </c>
      <c r="B4" s="10" t="s">
        <v>25</v>
      </c>
      <c r="C4" s="11">
        <v>9386.0300000000007</v>
      </c>
      <c r="D4" s="11">
        <v>3350.07</v>
      </c>
      <c r="E4" s="11">
        <v>4.5</v>
      </c>
      <c r="F4" s="11">
        <v>24</v>
      </c>
      <c r="G4" s="11">
        <v>153</v>
      </c>
      <c r="H4" s="11">
        <v>0</v>
      </c>
      <c r="I4" s="11">
        <f t="shared" si="6"/>
        <v>12920.1</v>
      </c>
      <c r="J4" s="11">
        <v>2173.9699999999998</v>
      </c>
      <c r="K4" s="11">
        <v>0</v>
      </c>
      <c r="L4" s="11">
        <f t="shared" si="7"/>
        <v>10706.13</v>
      </c>
      <c r="M4" s="11">
        <f>2836.3+6248.44+455.42</f>
        <v>9540.16</v>
      </c>
      <c r="N4" s="11">
        <v>24.49</v>
      </c>
      <c r="O4" s="11">
        <v>79.3</v>
      </c>
      <c r="P4" s="11">
        <v>37.04</v>
      </c>
      <c r="Q4" s="11">
        <v>573.97</v>
      </c>
      <c r="R4" s="11">
        <v>451.17</v>
      </c>
      <c r="S4" s="11">
        <v>0</v>
      </c>
      <c r="T4" s="33">
        <v>2.5</v>
      </c>
      <c r="U4" s="33">
        <v>37</v>
      </c>
      <c r="V4" s="11">
        <v>2141</v>
      </c>
      <c r="W4" s="11">
        <v>450</v>
      </c>
      <c r="X4" s="31">
        <f t="shared" si="8"/>
        <v>6.5300000000002001</v>
      </c>
      <c r="Y4" s="32">
        <f t="shared" si="9"/>
        <v>0</v>
      </c>
      <c r="Z4" s="32">
        <f t="shared" si="10"/>
        <v>113</v>
      </c>
      <c r="AA4" s="32">
        <v>40</v>
      </c>
      <c r="AB4" s="33">
        <f t="shared" si="11"/>
        <v>0</v>
      </c>
      <c r="AC4" s="33">
        <v>0</v>
      </c>
      <c r="AD4" s="33">
        <v>0</v>
      </c>
      <c r="AE4" s="33">
        <f t="shared" si="12"/>
        <v>0</v>
      </c>
    </row>
    <row r="5" spans="1:31" ht="20.25" customHeight="1">
      <c r="A5" s="9">
        <v>44868</v>
      </c>
      <c r="B5" s="10" t="s">
        <v>26</v>
      </c>
      <c r="C5" s="11">
        <v>10220.530000000001</v>
      </c>
      <c r="D5" s="11">
        <v>3655.22</v>
      </c>
      <c r="E5" s="11">
        <v>5</v>
      </c>
      <c r="F5" s="11">
        <v>64</v>
      </c>
      <c r="G5" s="11">
        <v>0</v>
      </c>
      <c r="H5" s="11">
        <v>42.5</v>
      </c>
      <c r="I5" s="11">
        <f t="shared" si="6"/>
        <v>13987.25</v>
      </c>
      <c r="J5" s="11">
        <v>3103.72</v>
      </c>
      <c r="K5" s="11">
        <v>0</v>
      </c>
      <c r="L5" s="11">
        <f t="shared" si="7"/>
        <v>10861.030000000002</v>
      </c>
      <c r="M5" s="11">
        <f>2810.59+6116.06+665.45</f>
        <v>9592.1000000000022</v>
      </c>
      <c r="N5" s="11">
        <v>0</v>
      </c>
      <c r="O5" s="11">
        <v>0</v>
      </c>
      <c r="P5" s="11">
        <v>359.66</v>
      </c>
      <c r="Q5" s="11">
        <v>696.02</v>
      </c>
      <c r="R5" s="11">
        <v>213.25</v>
      </c>
      <c r="S5" s="11">
        <v>1036.8599999999999</v>
      </c>
      <c r="T5" s="33">
        <v>0</v>
      </c>
      <c r="U5" s="33">
        <v>25</v>
      </c>
      <c r="V5" s="11">
        <v>2030</v>
      </c>
      <c r="W5" s="11">
        <v>450</v>
      </c>
      <c r="X5" s="31">
        <f t="shared" si="8"/>
        <v>-11.860000000000127</v>
      </c>
      <c r="Y5" s="32">
        <f t="shared" si="9"/>
        <v>0</v>
      </c>
      <c r="Z5" s="32">
        <f t="shared" si="10"/>
        <v>0</v>
      </c>
      <c r="AA5" s="32">
        <v>0</v>
      </c>
      <c r="AB5" s="33">
        <f t="shared" si="11"/>
        <v>20</v>
      </c>
      <c r="AC5" s="33">
        <v>22.5</v>
      </c>
      <c r="AD5" s="33">
        <v>510</v>
      </c>
      <c r="AE5" s="33">
        <f t="shared" si="12"/>
        <v>467.5</v>
      </c>
    </row>
    <row r="6" spans="1:31" ht="20.25" customHeight="1">
      <c r="A6" s="9">
        <v>44869</v>
      </c>
      <c r="B6" s="10" t="s">
        <v>20</v>
      </c>
      <c r="C6" s="11">
        <v>12716.16</v>
      </c>
      <c r="D6" s="11">
        <v>4911.2299999999996</v>
      </c>
      <c r="E6" s="11">
        <v>92.5</v>
      </c>
      <c r="F6" s="11">
        <v>104</v>
      </c>
      <c r="G6" s="11">
        <v>60</v>
      </c>
      <c r="H6" s="11">
        <v>18.66</v>
      </c>
      <c r="I6" s="11">
        <f t="shared" si="6"/>
        <v>17942.55</v>
      </c>
      <c r="J6" s="11">
        <v>3079.76</v>
      </c>
      <c r="K6" s="11">
        <v>0</v>
      </c>
      <c r="L6" s="11">
        <f t="shared" si="7"/>
        <v>14812.79</v>
      </c>
      <c r="M6" s="11">
        <f>4720.84+7784.49+1200.61</f>
        <v>13705.94</v>
      </c>
      <c r="N6" s="11">
        <v>0</v>
      </c>
      <c r="O6" s="11">
        <v>0</v>
      </c>
      <c r="P6" s="11">
        <v>172.74</v>
      </c>
      <c r="Q6" s="11">
        <v>439.42</v>
      </c>
      <c r="R6" s="11">
        <v>494.69</v>
      </c>
      <c r="S6" s="11">
        <v>193.75</v>
      </c>
      <c r="T6" s="33">
        <v>40</v>
      </c>
      <c r="U6" s="33">
        <v>79.7</v>
      </c>
      <c r="V6" s="11">
        <v>2772</v>
      </c>
      <c r="W6" s="11">
        <v>450</v>
      </c>
      <c r="X6" s="31">
        <f t="shared" si="8"/>
        <v>5.6899999999995998</v>
      </c>
      <c r="Y6" s="32">
        <f t="shared" ref="Y6:Y8" si="13">SUM(J6+K6+L6+AC6+AA6)-(I6)</f>
        <v>0</v>
      </c>
      <c r="Z6" s="32">
        <f t="shared" si="10"/>
        <v>20</v>
      </c>
      <c r="AA6" s="32">
        <v>40</v>
      </c>
      <c r="AB6" s="33">
        <f t="shared" si="11"/>
        <v>8.66</v>
      </c>
      <c r="AC6" s="33">
        <v>10</v>
      </c>
      <c r="AD6" s="33">
        <v>0</v>
      </c>
      <c r="AE6" s="33">
        <f t="shared" si="12"/>
        <v>-18.66</v>
      </c>
    </row>
    <row r="7" spans="1:31" ht="20.25" customHeight="1">
      <c r="A7" s="9">
        <v>44870</v>
      </c>
      <c r="B7" s="10" t="s">
        <v>21</v>
      </c>
      <c r="C7" s="11">
        <f>9274.99+17.78</f>
        <v>9292.77</v>
      </c>
      <c r="D7" s="11">
        <v>4773.72</v>
      </c>
      <c r="E7" s="11">
        <v>26</v>
      </c>
      <c r="F7" s="11">
        <v>43</v>
      </c>
      <c r="G7" s="11">
        <v>68</v>
      </c>
      <c r="H7" s="11">
        <v>65</v>
      </c>
      <c r="I7" s="11">
        <f>SUM(C7:H7,T7)</f>
        <v>14319.490000000002</v>
      </c>
      <c r="J7" s="11">
        <v>2665.35</v>
      </c>
      <c r="K7" s="11">
        <v>0</v>
      </c>
      <c r="L7" s="11">
        <f>SUM(M7:R7)</f>
        <v>11596.359999999999</v>
      </c>
      <c r="M7" s="11">
        <f>3628.45+6334.89+1256.48</f>
        <v>11219.82</v>
      </c>
      <c r="N7" s="11">
        <v>39.89</v>
      </c>
      <c r="O7" s="11">
        <v>88.02</v>
      </c>
      <c r="P7" s="11">
        <v>148.63</v>
      </c>
      <c r="Q7" s="11">
        <v>100</v>
      </c>
      <c r="R7" s="11">
        <v>0</v>
      </c>
      <c r="S7" s="11">
        <v>0</v>
      </c>
      <c r="T7" s="33">
        <v>51</v>
      </c>
      <c r="U7" s="33">
        <v>7</v>
      </c>
      <c r="V7" s="11">
        <v>2617</v>
      </c>
      <c r="W7" s="11">
        <v>450</v>
      </c>
      <c r="X7" s="31">
        <f t="shared" si="8"/>
        <v>9.6500000000000909</v>
      </c>
      <c r="Y7" s="32">
        <f t="shared" si="13"/>
        <v>-17.780000000002474</v>
      </c>
      <c r="Z7" s="32">
        <f t="shared" si="10"/>
        <v>63</v>
      </c>
      <c r="AA7" s="32">
        <v>5</v>
      </c>
      <c r="AB7" s="33">
        <f t="shared" si="11"/>
        <v>30</v>
      </c>
      <c r="AC7" s="33">
        <v>35</v>
      </c>
      <c r="AD7" s="33">
        <v>0</v>
      </c>
      <c r="AE7" s="33">
        <f t="shared" si="12"/>
        <v>-65</v>
      </c>
    </row>
    <row r="8" spans="1:31" ht="18.75">
      <c r="A8" s="9">
        <v>44871</v>
      </c>
      <c r="B8" s="10" t="s">
        <v>22</v>
      </c>
      <c r="C8" s="11">
        <v>8887.2099999999991</v>
      </c>
      <c r="D8" s="11">
        <v>3190.39</v>
      </c>
      <c r="E8" s="11">
        <v>0</v>
      </c>
      <c r="F8" s="11">
        <v>111</v>
      </c>
      <c r="G8" s="11">
        <v>225</v>
      </c>
      <c r="H8" s="11">
        <v>0</v>
      </c>
      <c r="I8" s="11">
        <f>SUM(C8:H8,T8)</f>
        <v>12453.599999999999</v>
      </c>
      <c r="J8" s="48">
        <v>2855.76</v>
      </c>
      <c r="K8" s="11">
        <v>1.9</v>
      </c>
      <c r="L8" s="11">
        <f>SUM(M8:R8)</f>
        <v>9477.9799999999977</v>
      </c>
      <c r="M8" s="11">
        <f>412.83+5848.32+2616.06</f>
        <v>8877.2099999999991</v>
      </c>
      <c r="N8" s="11">
        <v>6.16</v>
      </c>
      <c r="O8" s="11">
        <v>0</v>
      </c>
      <c r="P8" s="11">
        <v>160.72</v>
      </c>
      <c r="Q8" s="11">
        <v>372.93</v>
      </c>
      <c r="R8" s="11">
        <v>60.96</v>
      </c>
      <c r="S8" s="11">
        <v>0</v>
      </c>
      <c r="T8" s="33">
        <v>40</v>
      </c>
      <c r="U8" s="33">
        <v>45</v>
      </c>
      <c r="V8" s="11">
        <v>2767</v>
      </c>
      <c r="W8" s="11">
        <v>450</v>
      </c>
      <c r="X8" s="31">
        <f t="shared" si="8"/>
        <v>-3.7600000000002183</v>
      </c>
      <c r="Y8" s="32">
        <f t="shared" si="13"/>
        <v>-62.960000000000946</v>
      </c>
      <c r="Z8" s="32">
        <f t="shared" si="10"/>
        <v>170</v>
      </c>
      <c r="AA8" s="32">
        <v>55</v>
      </c>
      <c r="AB8" s="33">
        <f t="shared" si="11"/>
        <v>0</v>
      </c>
      <c r="AC8" s="33">
        <v>0</v>
      </c>
      <c r="AD8" s="33">
        <v>1970</v>
      </c>
      <c r="AE8" s="33">
        <f t="shared" si="12"/>
        <v>1970</v>
      </c>
    </row>
    <row r="9" spans="1:31" ht="37.5" customHeight="1">
      <c r="A9" s="65" t="s">
        <v>27</v>
      </c>
      <c r="B9" s="66"/>
      <c r="C9" s="27">
        <f>SUM(C2:C8)</f>
        <v>70639.23000000001</v>
      </c>
      <c r="D9" s="27">
        <f t="shared" ref="D9:AE9" si="14">SUM(D2:D8)</f>
        <v>26296.14</v>
      </c>
      <c r="E9" s="27">
        <f t="shared" si="14"/>
        <v>181.5</v>
      </c>
      <c r="F9" s="27">
        <f t="shared" si="14"/>
        <v>546</v>
      </c>
      <c r="G9" s="27">
        <f t="shared" si="14"/>
        <v>605</v>
      </c>
      <c r="H9" s="27">
        <f t="shared" si="14"/>
        <v>205.77</v>
      </c>
      <c r="I9" s="27">
        <f t="shared" si="14"/>
        <v>98647.140000000014</v>
      </c>
      <c r="J9" s="27">
        <f t="shared" si="14"/>
        <v>18137.169999999998</v>
      </c>
      <c r="K9" s="27">
        <f t="shared" si="14"/>
        <v>1.9</v>
      </c>
      <c r="L9" s="27">
        <f>SUM(L2:L8)</f>
        <v>80123.789999999994</v>
      </c>
      <c r="M9" s="27">
        <f t="shared" si="14"/>
        <v>73342</v>
      </c>
      <c r="N9" s="27">
        <f t="shared" si="14"/>
        <v>175.83</v>
      </c>
      <c r="O9" s="27">
        <f t="shared" si="14"/>
        <v>167.32</v>
      </c>
      <c r="P9" s="27">
        <f t="shared" si="14"/>
        <v>1128.98</v>
      </c>
      <c r="Q9" s="27">
        <f t="shared" si="14"/>
        <v>3368.2099999999996</v>
      </c>
      <c r="R9" s="27">
        <f t="shared" si="14"/>
        <v>1941.45</v>
      </c>
      <c r="S9" s="27">
        <f t="shared" si="14"/>
        <v>1832.75</v>
      </c>
      <c r="T9" s="27">
        <f t="shared" si="14"/>
        <v>173.5</v>
      </c>
      <c r="U9" s="27">
        <f t="shared" si="14"/>
        <v>297.2</v>
      </c>
      <c r="V9" s="27">
        <f t="shared" si="14"/>
        <v>15833</v>
      </c>
      <c r="W9" s="27">
        <f t="shared" si="14"/>
        <v>3150</v>
      </c>
      <c r="X9" s="27">
        <f t="shared" si="14"/>
        <v>-0.72000000000070941</v>
      </c>
      <c r="Y9" s="27">
        <f t="shared" si="14"/>
        <v>-80.74000000000342</v>
      </c>
      <c r="Z9" s="27">
        <f t="shared" si="14"/>
        <v>395</v>
      </c>
      <c r="AA9" s="27">
        <f t="shared" si="14"/>
        <v>210</v>
      </c>
      <c r="AB9" s="27">
        <f t="shared" si="14"/>
        <v>112.22999999999999</v>
      </c>
      <c r="AC9" s="27">
        <f t="shared" si="14"/>
        <v>93.539999999999992</v>
      </c>
      <c r="AD9" s="27">
        <f t="shared" si="14"/>
        <v>3060</v>
      </c>
      <c r="AE9" s="27">
        <f t="shared" si="14"/>
        <v>2854.23</v>
      </c>
    </row>
    <row r="10" spans="1:31" ht="18.75">
      <c r="A10" s="9">
        <v>44872</v>
      </c>
      <c r="B10" s="10" t="s">
        <v>23</v>
      </c>
      <c r="C10" s="11">
        <v>10634.64</v>
      </c>
      <c r="D10" s="11">
        <v>3318.51</v>
      </c>
      <c r="E10" s="11">
        <v>18.5</v>
      </c>
      <c r="F10" s="11">
        <v>103</v>
      </c>
      <c r="G10" s="11">
        <v>135</v>
      </c>
      <c r="H10" s="11">
        <v>171</v>
      </c>
      <c r="I10" s="11">
        <f t="shared" ref="I10:I16" si="15">SUM(C10:H10,T10)</f>
        <v>14394.72</v>
      </c>
      <c r="J10" s="48">
        <v>3014.05</v>
      </c>
      <c r="K10" s="11">
        <v>0</v>
      </c>
      <c r="L10" s="11">
        <f t="shared" ref="L10" si="16">SUM(M10:R10)</f>
        <v>11185.669999999998</v>
      </c>
      <c r="M10" s="11">
        <f>567.64+3101.67+6332.93</f>
        <v>10002.24</v>
      </c>
      <c r="N10" s="11">
        <v>46.17</v>
      </c>
      <c r="O10" s="11">
        <v>0</v>
      </c>
      <c r="P10" s="11">
        <v>308.47000000000003</v>
      </c>
      <c r="Q10" s="11">
        <v>560.9</v>
      </c>
      <c r="R10" s="11">
        <f>60.02+207.87</f>
        <v>267.89</v>
      </c>
      <c r="S10" s="11">
        <v>470.11</v>
      </c>
      <c r="T10" s="33">
        <v>14.07</v>
      </c>
      <c r="U10" s="33">
        <v>96.3</v>
      </c>
      <c r="V10" s="11">
        <v>2425</v>
      </c>
      <c r="W10" s="11">
        <v>450</v>
      </c>
      <c r="X10" s="31">
        <f t="shared" ref="X10:X16" si="17">SUM(S10,T10,U10,V10)-J10</f>
        <v>-8.5700000000001637</v>
      </c>
      <c r="Y10" s="32">
        <f t="shared" ref="Y10:Y36" si="18">SUM(J10+K10+L10+AC10+AA10)-(I10)</f>
        <v>-1.000000000001819</v>
      </c>
      <c r="Z10" s="32">
        <f t="shared" ref="Z10" si="19">SUM(G10-AA10)</f>
        <v>100</v>
      </c>
      <c r="AA10" s="32">
        <v>35</v>
      </c>
      <c r="AB10" s="33">
        <f t="shared" ref="AB10" si="20">SUM(H10-AC10)</f>
        <v>12</v>
      </c>
      <c r="AC10" s="33">
        <v>159</v>
      </c>
      <c r="AD10" s="33"/>
      <c r="AE10" s="33">
        <f t="shared" ref="AE10:AE16" si="21">SUM(AD10-H10)</f>
        <v>-171</v>
      </c>
    </row>
    <row r="11" spans="1:31" ht="18.75">
      <c r="A11" s="9">
        <v>44873</v>
      </c>
      <c r="B11" s="10" t="s">
        <v>24</v>
      </c>
      <c r="C11" s="11">
        <v>9783.9500000000007</v>
      </c>
      <c r="D11" s="11">
        <v>3046.27</v>
      </c>
      <c r="E11" s="11">
        <v>7.5</v>
      </c>
      <c r="F11" s="11">
        <v>49</v>
      </c>
      <c r="G11" s="11">
        <v>5</v>
      </c>
      <c r="H11" s="11">
        <v>0</v>
      </c>
      <c r="I11" s="11">
        <f t="shared" si="15"/>
        <v>12891.720000000001</v>
      </c>
      <c r="J11" s="11">
        <v>2332.9899999999998</v>
      </c>
      <c r="K11" s="11">
        <v>0</v>
      </c>
      <c r="L11" s="11">
        <f t="shared" ref="L11:L16" si="22">SUM(M11:R11)</f>
        <v>10553.73</v>
      </c>
      <c r="M11" s="11">
        <f>862.57+2282.78+5777.09</f>
        <v>8922.44</v>
      </c>
      <c r="N11" s="11">
        <v>0</v>
      </c>
      <c r="O11" s="11">
        <v>0</v>
      </c>
      <c r="P11" s="11">
        <v>135.63</v>
      </c>
      <c r="Q11" s="11">
        <v>1051.21</v>
      </c>
      <c r="R11" s="11">
        <v>444.45</v>
      </c>
      <c r="S11" s="11">
        <v>0</v>
      </c>
      <c r="T11" s="33">
        <v>0</v>
      </c>
      <c r="U11" s="33">
        <v>50</v>
      </c>
      <c r="V11" s="11">
        <v>2288</v>
      </c>
      <c r="W11" s="11">
        <v>450</v>
      </c>
      <c r="X11" s="31">
        <f t="shared" si="17"/>
        <v>5.0100000000002183</v>
      </c>
      <c r="Y11" s="32">
        <f t="shared" si="18"/>
        <v>0</v>
      </c>
      <c r="Z11" s="32">
        <f t="shared" ref="Z11:Z16" si="23">SUM(G11-AA11)</f>
        <v>0</v>
      </c>
      <c r="AA11" s="32">
        <v>5</v>
      </c>
      <c r="AB11" s="33">
        <f t="shared" ref="AB11:AB16" si="24">SUM(H11-AC11)</f>
        <v>0</v>
      </c>
      <c r="AC11" s="33">
        <v>0</v>
      </c>
      <c r="AD11" s="33"/>
      <c r="AE11" s="33">
        <f t="shared" si="21"/>
        <v>0</v>
      </c>
    </row>
    <row r="12" spans="1:31" ht="18.75">
      <c r="A12" s="9">
        <v>44874</v>
      </c>
      <c r="B12" s="10" t="s">
        <v>25</v>
      </c>
      <c r="C12" s="11">
        <v>8361.56</v>
      </c>
      <c r="D12" s="11">
        <v>3067.94</v>
      </c>
      <c r="E12" s="11">
        <v>24</v>
      </c>
      <c r="F12" s="11">
        <v>102</v>
      </c>
      <c r="G12" s="11">
        <v>0</v>
      </c>
      <c r="H12" s="11">
        <v>240.02</v>
      </c>
      <c r="I12" s="11">
        <f t="shared" si="15"/>
        <v>11795.52</v>
      </c>
      <c r="J12" s="11">
        <v>2360.1</v>
      </c>
      <c r="K12" s="11">
        <v>0</v>
      </c>
      <c r="L12" s="11">
        <f t="shared" si="22"/>
        <v>9175.369999999999</v>
      </c>
      <c r="M12" s="11">
        <f>666.85+2464.93+4949.56</f>
        <v>8081.34</v>
      </c>
      <c r="N12" s="11">
        <v>0</v>
      </c>
      <c r="O12" s="11">
        <v>0</v>
      </c>
      <c r="P12" s="11">
        <v>151.21</v>
      </c>
      <c r="Q12" s="11">
        <v>284.68</v>
      </c>
      <c r="R12" s="11">
        <v>658.14</v>
      </c>
      <c r="S12" s="11">
        <v>539.4</v>
      </c>
      <c r="T12" s="33">
        <v>0</v>
      </c>
      <c r="U12" s="33">
        <v>55</v>
      </c>
      <c r="V12" s="11">
        <v>1767</v>
      </c>
      <c r="W12" s="11">
        <v>450</v>
      </c>
      <c r="X12" s="31">
        <f t="shared" si="17"/>
        <v>1.3000000000001819</v>
      </c>
      <c r="Y12" s="32">
        <f t="shared" si="18"/>
        <v>-20.030000000000655</v>
      </c>
      <c r="Z12" s="32">
        <f t="shared" si="23"/>
        <v>0</v>
      </c>
      <c r="AA12" s="32">
        <v>0</v>
      </c>
      <c r="AB12" s="33">
        <f t="shared" si="24"/>
        <v>0</v>
      </c>
      <c r="AC12" s="33">
        <v>240.02</v>
      </c>
      <c r="AD12" s="33"/>
      <c r="AE12" s="33">
        <f t="shared" si="21"/>
        <v>-240.02</v>
      </c>
    </row>
    <row r="13" spans="1:31" ht="18.75">
      <c r="A13" s="9">
        <v>44875</v>
      </c>
      <c r="B13" s="10" t="s">
        <v>26</v>
      </c>
      <c r="C13" s="11">
        <v>9799.58</v>
      </c>
      <c r="D13" s="11">
        <v>3775.9</v>
      </c>
      <c r="E13" s="11">
        <v>10</v>
      </c>
      <c r="F13" s="11">
        <v>141</v>
      </c>
      <c r="G13" s="11">
        <v>254.96</v>
      </c>
      <c r="H13" s="11">
        <v>10</v>
      </c>
      <c r="I13" s="11">
        <f t="shared" si="15"/>
        <v>14086.439999999999</v>
      </c>
      <c r="J13" s="11">
        <v>2790.22</v>
      </c>
      <c r="K13" s="11">
        <v>0</v>
      </c>
      <c r="L13" s="11">
        <f t="shared" si="22"/>
        <v>11121.260000000002</v>
      </c>
      <c r="M13" s="11">
        <f>2881.39+6303.03+712.96</f>
        <v>9897.380000000001</v>
      </c>
      <c r="N13" s="11">
        <v>30.01</v>
      </c>
      <c r="O13" s="11">
        <v>0</v>
      </c>
      <c r="P13" s="11">
        <f>46.39+390.78</f>
        <v>437.16999999999996</v>
      </c>
      <c r="Q13" s="11">
        <v>310.61</v>
      </c>
      <c r="R13" s="11">
        <v>446.09</v>
      </c>
      <c r="S13" s="11">
        <v>404.14</v>
      </c>
      <c r="T13" s="33">
        <v>95</v>
      </c>
      <c r="U13" s="33">
        <v>71</v>
      </c>
      <c r="V13" s="11">
        <v>2221</v>
      </c>
      <c r="W13" s="11">
        <v>450</v>
      </c>
      <c r="X13" s="31">
        <f t="shared" si="17"/>
        <v>0.92000000000007276</v>
      </c>
      <c r="Y13" s="32">
        <f t="shared" si="18"/>
        <v>0</v>
      </c>
      <c r="Z13" s="32">
        <f t="shared" si="23"/>
        <v>90</v>
      </c>
      <c r="AA13" s="32">
        <v>164.96</v>
      </c>
      <c r="AB13" s="33">
        <f t="shared" si="24"/>
        <v>0</v>
      </c>
      <c r="AC13" s="33">
        <v>10</v>
      </c>
      <c r="AD13" s="33"/>
      <c r="AE13" s="33">
        <f t="shared" si="21"/>
        <v>-10</v>
      </c>
    </row>
    <row r="14" spans="1:31" ht="18.75">
      <c r="A14" s="9">
        <v>44876</v>
      </c>
      <c r="B14" s="10" t="s">
        <v>20</v>
      </c>
      <c r="C14" s="11">
        <v>11227.63</v>
      </c>
      <c r="D14" s="11">
        <v>5502.17</v>
      </c>
      <c r="E14" s="11">
        <v>121.5</v>
      </c>
      <c r="F14" s="11">
        <v>150</v>
      </c>
      <c r="G14" s="11">
        <v>55</v>
      </c>
      <c r="H14" s="11">
        <v>63</v>
      </c>
      <c r="I14" s="11">
        <f t="shared" si="15"/>
        <v>17131.3</v>
      </c>
      <c r="J14" s="11">
        <v>3461.18</v>
      </c>
      <c r="K14" s="11">
        <v>0</v>
      </c>
      <c r="L14" s="11">
        <f t="shared" si="22"/>
        <v>13424.310000000001</v>
      </c>
      <c r="M14" s="11">
        <f>3516.02+7569.31+1060.71</f>
        <v>12146.04</v>
      </c>
      <c r="N14" s="11">
        <v>0</v>
      </c>
      <c r="O14" s="11">
        <v>0</v>
      </c>
      <c r="P14" s="11">
        <v>60.01</v>
      </c>
      <c r="Q14" s="11">
        <v>663.61</v>
      </c>
      <c r="R14" s="11">
        <v>554.65</v>
      </c>
      <c r="S14" s="11">
        <v>0</v>
      </c>
      <c r="T14" s="33">
        <v>12</v>
      </c>
      <c r="U14" s="33">
        <v>85</v>
      </c>
      <c r="V14" s="11">
        <v>3380</v>
      </c>
      <c r="W14" s="11">
        <v>450</v>
      </c>
      <c r="X14" s="31">
        <f t="shared" si="17"/>
        <v>15.820000000000164</v>
      </c>
      <c r="Y14" s="32">
        <f t="shared" si="18"/>
        <v>-147.80999999999767</v>
      </c>
      <c r="Z14" s="32">
        <f t="shared" si="23"/>
        <v>20</v>
      </c>
      <c r="AA14" s="32">
        <v>35</v>
      </c>
      <c r="AB14" s="33">
        <f t="shared" si="24"/>
        <v>0</v>
      </c>
      <c r="AC14" s="33">
        <v>63</v>
      </c>
      <c r="AD14" s="33"/>
      <c r="AE14" s="33">
        <f t="shared" si="21"/>
        <v>-63</v>
      </c>
    </row>
    <row r="15" spans="1:31" ht="18.75">
      <c r="A15" s="9">
        <v>44877</v>
      </c>
      <c r="B15" s="10" t="s">
        <v>21</v>
      </c>
      <c r="C15" s="11">
        <v>8758.4</v>
      </c>
      <c r="D15" s="11">
        <v>4410.3999999999996</v>
      </c>
      <c r="E15" s="11">
        <v>38</v>
      </c>
      <c r="F15" s="11">
        <v>96</v>
      </c>
      <c r="G15" s="11">
        <v>20</v>
      </c>
      <c r="H15" s="11">
        <v>10</v>
      </c>
      <c r="I15" s="11">
        <f t="shared" si="15"/>
        <v>13343.81</v>
      </c>
      <c r="J15" s="11">
        <v>2547.17</v>
      </c>
      <c r="K15" s="11">
        <v>2.6</v>
      </c>
      <c r="L15" s="11">
        <f t="shared" si="22"/>
        <v>10794.04</v>
      </c>
      <c r="M15" s="11">
        <f>2778.02+6772.49+710.77</f>
        <v>10261.280000000001</v>
      </c>
      <c r="N15" s="11">
        <v>117.71</v>
      </c>
      <c r="O15" s="11">
        <v>0</v>
      </c>
      <c r="P15" s="11">
        <v>67.95</v>
      </c>
      <c r="Q15" s="11">
        <v>278.45</v>
      </c>
      <c r="R15" s="11">
        <v>68.650000000000006</v>
      </c>
      <c r="S15" s="11">
        <v>0</v>
      </c>
      <c r="T15" s="33">
        <v>11.01</v>
      </c>
      <c r="U15" s="33">
        <v>14</v>
      </c>
      <c r="V15" s="11">
        <v>2500</v>
      </c>
      <c r="W15" s="11">
        <v>450</v>
      </c>
      <c r="X15" s="31">
        <f t="shared" si="17"/>
        <v>-22.159999999999854</v>
      </c>
      <c r="Y15" s="32">
        <f t="shared" si="18"/>
        <v>0</v>
      </c>
      <c r="Z15" s="32">
        <f t="shared" si="23"/>
        <v>20</v>
      </c>
      <c r="AA15" s="32">
        <v>0</v>
      </c>
      <c r="AB15" s="33">
        <f t="shared" si="24"/>
        <v>10</v>
      </c>
      <c r="AC15" s="33">
        <v>0</v>
      </c>
      <c r="AD15" s="33"/>
      <c r="AE15" s="33">
        <f t="shared" si="21"/>
        <v>-10</v>
      </c>
    </row>
    <row r="16" spans="1:31" ht="18.75">
      <c r="A16" s="9">
        <v>44878</v>
      </c>
      <c r="B16" s="10" t="s">
        <v>22</v>
      </c>
      <c r="C16" s="11">
        <v>8242.68</v>
      </c>
      <c r="D16" s="11">
        <v>3586.2</v>
      </c>
      <c r="E16" s="11">
        <v>1.5</v>
      </c>
      <c r="F16" s="11">
        <v>63</v>
      </c>
      <c r="G16" s="11">
        <v>103</v>
      </c>
      <c r="H16" s="11">
        <v>0</v>
      </c>
      <c r="I16" s="11">
        <f t="shared" si="15"/>
        <v>12007.380000000001</v>
      </c>
      <c r="J16" s="11">
        <v>2424.23</v>
      </c>
      <c r="K16" s="11">
        <v>1.9</v>
      </c>
      <c r="L16" s="11">
        <f t="shared" si="22"/>
        <v>9491.25</v>
      </c>
      <c r="M16" s="11">
        <f>631.91+2702.39+5318.95</f>
        <v>8653.25</v>
      </c>
      <c r="N16" s="11">
        <v>0</v>
      </c>
      <c r="O16" s="11">
        <v>0</v>
      </c>
      <c r="P16" s="11">
        <v>65.06</v>
      </c>
      <c r="Q16" s="11">
        <v>313.5</v>
      </c>
      <c r="R16" s="11">
        <v>459.44</v>
      </c>
      <c r="S16" s="11">
        <v>0</v>
      </c>
      <c r="T16" s="33">
        <v>11</v>
      </c>
      <c r="U16" s="33">
        <v>21</v>
      </c>
      <c r="V16" s="11">
        <v>2388</v>
      </c>
      <c r="W16" s="11">
        <v>450</v>
      </c>
      <c r="X16" s="31">
        <f t="shared" si="17"/>
        <v>-4.2300000000000182</v>
      </c>
      <c r="Y16" s="32">
        <f t="shared" si="18"/>
        <v>0</v>
      </c>
      <c r="Z16" s="32">
        <f t="shared" si="23"/>
        <v>13</v>
      </c>
      <c r="AA16" s="32">
        <v>90</v>
      </c>
      <c r="AB16" s="33">
        <f t="shared" si="24"/>
        <v>0</v>
      </c>
      <c r="AC16" s="33">
        <v>0</v>
      </c>
      <c r="AD16" s="33"/>
      <c r="AE16" s="33">
        <f t="shared" si="21"/>
        <v>0</v>
      </c>
    </row>
    <row r="17" spans="1:34" ht="37.5" customHeight="1">
      <c r="A17" s="65" t="s">
        <v>27</v>
      </c>
      <c r="B17" s="66"/>
      <c r="C17" s="27">
        <f>SUM(C10:C16)</f>
        <v>66808.44</v>
      </c>
      <c r="D17" s="27">
        <f t="shared" ref="D17:AE17" si="25">SUM(D10:D16)</f>
        <v>26707.390000000003</v>
      </c>
      <c r="E17" s="27">
        <f t="shared" si="25"/>
        <v>221</v>
      </c>
      <c r="F17" s="27">
        <f t="shared" si="25"/>
        <v>704</v>
      </c>
      <c r="G17" s="27">
        <f t="shared" si="25"/>
        <v>572.96</v>
      </c>
      <c r="H17" s="27">
        <f t="shared" si="25"/>
        <v>494.02</v>
      </c>
      <c r="I17" s="27">
        <f t="shared" si="25"/>
        <v>95650.890000000014</v>
      </c>
      <c r="J17" s="27">
        <f t="shared" si="25"/>
        <v>18929.939999999999</v>
      </c>
      <c r="K17" s="27">
        <f t="shared" si="25"/>
        <v>4.5</v>
      </c>
      <c r="L17" s="27">
        <f t="shared" si="25"/>
        <v>75745.63</v>
      </c>
      <c r="M17" s="27">
        <f t="shared" si="25"/>
        <v>67963.97</v>
      </c>
      <c r="N17" s="27">
        <f t="shared" si="25"/>
        <v>193.89</v>
      </c>
      <c r="O17" s="27">
        <f t="shared" si="25"/>
        <v>0</v>
      </c>
      <c r="P17" s="27">
        <f t="shared" si="25"/>
        <v>1225.5</v>
      </c>
      <c r="Q17" s="27">
        <f t="shared" si="25"/>
        <v>3462.96</v>
      </c>
      <c r="R17" s="27">
        <f t="shared" si="25"/>
        <v>2899.31</v>
      </c>
      <c r="S17" s="27">
        <f t="shared" si="25"/>
        <v>1413.65</v>
      </c>
      <c r="T17" s="27">
        <f t="shared" si="25"/>
        <v>143.07999999999998</v>
      </c>
      <c r="U17" s="27">
        <f t="shared" si="25"/>
        <v>392.3</v>
      </c>
      <c r="V17" s="27">
        <f t="shared" si="25"/>
        <v>16969</v>
      </c>
      <c r="W17" s="27">
        <f t="shared" si="25"/>
        <v>3150</v>
      </c>
      <c r="X17" s="27">
        <f t="shared" si="25"/>
        <v>-11.9099999999994</v>
      </c>
      <c r="Y17" s="27">
        <f t="shared" si="25"/>
        <v>-168.84000000000015</v>
      </c>
      <c r="Z17" s="27">
        <f t="shared" si="25"/>
        <v>243</v>
      </c>
      <c r="AA17" s="27">
        <f t="shared" si="25"/>
        <v>329.96000000000004</v>
      </c>
      <c r="AB17" s="27">
        <f t="shared" si="25"/>
        <v>22</v>
      </c>
      <c r="AC17" s="27">
        <f t="shared" si="25"/>
        <v>472.02</v>
      </c>
      <c r="AD17" s="27">
        <f t="shared" si="25"/>
        <v>0</v>
      </c>
      <c r="AE17" s="27">
        <f t="shared" si="25"/>
        <v>-494.02</v>
      </c>
    </row>
    <row r="18" spans="1:34" s="35" customFormat="1" ht="18.75">
      <c r="A18" s="9">
        <v>44879</v>
      </c>
      <c r="B18" s="10" t="s">
        <v>23</v>
      </c>
      <c r="C18" s="11">
        <v>11062.84</v>
      </c>
      <c r="D18" s="11">
        <v>3147.84</v>
      </c>
      <c r="E18" s="11">
        <v>1.5</v>
      </c>
      <c r="F18" s="11">
        <v>147</v>
      </c>
      <c r="G18" s="11">
        <v>30</v>
      </c>
      <c r="H18" s="11">
        <v>10</v>
      </c>
      <c r="I18" s="11">
        <f t="shared" ref="I18:I24" si="26">SUM(C18:H18,T18)</f>
        <v>14399.18</v>
      </c>
      <c r="J18" s="11">
        <v>2489.61</v>
      </c>
      <c r="K18" s="11">
        <v>0</v>
      </c>
      <c r="L18" s="11">
        <f t="shared" ref="L18:L24" si="27">SUM(M18:R18)</f>
        <v>11899.71</v>
      </c>
      <c r="M18" s="11">
        <f>754.96+6385.51+3243.28</f>
        <v>10383.75</v>
      </c>
      <c r="N18" s="11">
        <v>23.12</v>
      </c>
      <c r="O18" s="11">
        <v>15.81</v>
      </c>
      <c r="P18" s="11">
        <v>0</v>
      </c>
      <c r="Q18" s="11">
        <v>679.72</v>
      </c>
      <c r="R18" s="11">
        <v>797.31</v>
      </c>
      <c r="S18" s="11">
        <v>145.56</v>
      </c>
      <c r="T18" s="33">
        <v>0</v>
      </c>
      <c r="U18" s="33">
        <v>82</v>
      </c>
      <c r="V18" s="11">
        <v>2260</v>
      </c>
      <c r="W18" s="11">
        <v>450</v>
      </c>
      <c r="X18" s="31">
        <f t="shared" ref="X18:X24" si="28">SUM(S18,T18,U18,V18)-J18</f>
        <v>-2.0500000000001819</v>
      </c>
      <c r="Y18" s="32">
        <f t="shared" si="18"/>
        <v>0.13999999999941792</v>
      </c>
      <c r="Z18" s="32">
        <f>SUM(G18-AA18)</f>
        <v>30</v>
      </c>
      <c r="AA18" s="33">
        <v>0</v>
      </c>
      <c r="AB18" s="33">
        <f>SUM(H18-AC18)</f>
        <v>0</v>
      </c>
      <c r="AC18" s="33">
        <v>10</v>
      </c>
      <c r="AD18" s="33"/>
      <c r="AE18" s="33">
        <f t="shared" ref="AE18:AE24" si="29">SUM(AD18-H18)</f>
        <v>-10</v>
      </c>
    </row>
    <row r="19" spans="1:34" s="35" customFormat="1" ht="18.75">
      <c r="A19" s="9">
        <v>44880</v>
      </c>
      <c r="B19" s="10" t="s">
        <v>24</v>
      </c>
      <c r="C19" s="11">
        <v>10670.6</v>
      </c>
      <c r="D19" s="11">
        <v>2998.42</v>
      </c>
      <c r="E19" s="11">
        <v>9.5</v>
      </c>
      <c r="F19" s="11">
        <v>82</v>
      </c>
      <c r="G19" s="11">
        <v>50</v>
      </c>
      <c r="H19" s="11">
        <v>29.66</v>
      </c>
      <c r="I19" s="11">
        <f t="shared" si="26"/>
        <v>13895.710000000001</v>
      </c>
      <c r="J19" s="11">
        <f>2695.25-66</f>
        <v>2629.25</v>
      </c>
      <c r="K19" s="11">
        <v>0</v>
      </c>
      <c r="L19" s="11">
        <f t="shared" si="27"/>
        <v>11242.800000000001</v>
      </c>
      <c r="M19" s="11">
        <f>3558.64+6387.2+517.32</f>
        <v>10463.16</v>
      </c>
      <c r="N19" s="11">
        <v>68.540000000000006</v>
      </c>
      <c r="O19" s="11">
        <v>0</v>
      </c>
      <c r="P19" s="11">
        <v>56.09</v>
      </c>
      <c r="Q19" s="11">
        <v>349.12</v>
      </c>
      <c r="R19" s="11">
        <v>305.89</v>
      </c>
      <c r="S19" s="11">
        <v>160.38999999999999</v>
      </c>
      <c r="T19" s="33">
        <v>55.53</v>
      </c>
      <c r="U19" s="33">
        <v>122</v>
      </c>
      <c r="V19" s="11">
        <v>2225</v>
      </c>
      <c r="W19" s="11">
        <v>450</v>
      </c>
      <c r="X19" s="31">
        <f t="shared" si="28"/>
        <v>-66.329999999999927</v>
      </c>
      <c r="Y19" s="32">
        <f t="shared" si="18"/>
        <v>0</v>
      </c>
      <c r="Z19" s="32">
        <f t="shared" ref="Z19:Z36" si="30">SUM(G19-AA19)</f>
        <v>35</v>
      </c>
      <c r="AA19" s="33">
        <v>15</v>
      </c>
      <c r="AB19" s="33">
        <f t="shared" ref="AB19:AB24" si="31">SUM(H19-AC19)</f>
        <v>21</v>
      </c>
      <c r="AC19" s="33">
        <v>8.66</v>
      </c>
      <c r="AD19" s="33"/>
      <c r="AE19" s="33">
        <f t="shared" si="29"/>
        <v>-29.66</v>
      </c>
    </row>
    <row r="20" spans="1:34" s="35" customFormat="1" ht="18.75">
      <c r="A20" s="9">
        <v>44881</v>
      </c>
      <c r="B20" s="10" t="s">
        <v>25</v>
      </c>
      <c r="C20" s="11">
        <v>11077.9</v>
      </c>
      <c r="D20" s="11">
        <v>3742.78</v>
      </c>
      <c r="E20" s="11">
        <v>19.5</v>
      </c>
      <c r="F20" s="11">
        <v>109</v>
      </c>
      <c r="G20" s="11">
        <v>105</v>
      </c>
      <c r="H20" s="11">
        <v>15</v>
      </c>
      <c r="I20" s="11">
        <f t="shared" si="26"/>
        <v>15069.18</v>
      </c>
      <c r="J20" s="11">
        <v>2688.16</v>
      </c>
      <c r="K20" s="11">
        <v>0</v>
      </c>
      <c r="L20" s="11">
        <f t="shared" si="27"/>
        <v>12286.02</v>
      </c>
      <c r="M20" s="11">
        <f>7105.49+1262.46+2675.68</f>
        <v>11043.630000000001</v>
      </c>
      <c r="N20" s="11">
        <v>187.7</v>
      </c>
      <c r="O20" s="11">
        <v>0</v>
      </c>
      <c r="P20" s="11">
        <v>188.05</v>
      </c>
      <c r="Q20" s="11">
        <v>435.32</v>
      </c>
      <c r="R20" s="11">
        <v>431.32</v>
      </c>
      <c r="S20" s="11">
        <v>0</v>
      </c>
      <c r="T20" s="33">
        <v>0</v>
      </c>
      <c r="U20" s="33">
        <v>115</v>
      </c>
      <c r="V20" s="11">
        <v>2643</v>
      </c>
      <c r="W20" s="11">
        <v>450</v>
      </c>
      <c r="X20" s="31">
        <f t="shared" si="28"/>
        <v>69.840000000000146</v>
      </c>
      <c r="Y20" s="32">
        <f t="shared" si="18"/>
        <v>0</v>
      </c>
      <c r="Z20" s="32">
        <f t="shared" si="30"/>
        <v>10</v>
      </c>
      <c r="AA20" s="33">
        <v>95</v>
      </c>
      <c r="AB20" s="33">
        <f t="shared" si="31"/>
        <v>15</v>
      </c>
      <c r="AC20" s="33">
        <v>0</v>
      </c>
      <c r="AD20" s="33"/>
      <c r="AE20" s="33">
        <v>4</v>
      </c>
    </row>
    <row r="21" spans="1:34" s="35" customFormat="1" ht="18.75">
      <c r="A21" s="9">
        <v>44882</v>
      </c>
      <c r="B21" s="10" t="s">
        <v>26</v>
      </c>
      <c r="C21" s="11">
        <v>9944.48</v>
      </c>
      <c r="D21" s="11">
        <v>3354.89</v>
      </c>
      <c r="E21" s="11">
        <v>5</v>
      </c>
      <c r="F21" s="11">
        <v>93</v>
      </c>
      <c r="G21" s="11">
        <v>65</v>
      </c>
      <c r="H21" s="11">
        <v>78</v>
      </c>
      <c r="I21" s="11">
        <f t="shared" si="26"/>
        <v>13540.369999999999</v>
      </c>
      <c r="J21" s="11">
        <v>2224.64</v>
      </c>
      <c r="K21" s="11">
        <v>0</v>
      </c>
      <c r="L21" s="11">
        <f t="shared" si="27"/>
        <v>11262.73</v>
      </c>
      <c r="M21" s="11">
        <f>694.19+2689.42+6595.74</f>
        <v>9979.35</v>
      </c>
      <c r="N21" s="11">
        <v>0</v>
      </c>
      <c r="O21" s="11">
        <v>0</v>
      </c>
      <c r="P21" s="11">
        <v>165.96</v>
      </c>
      <c r="Q21" s="11">
        <v>484.35</v>
      </c>
      <c r="R21" s="11">
        <v>633.07000000000005</v>
      </c>
      <c r="S21" s="11">
        <v>577.97</v>
      </c>
      <c r="T21" s="33">
        <v>0</v>
      </c>
      <c r="U21" s="33">
        <v>152</v>
      </c>
      <c r="V21" s="11">
        <v>1495</v>
      </c>
      <c r="W21" s="11">
        <v>450</v>
      </c>
      <c r="X21" s="31">
        <f t="shared" si="28"/>
        <v>0.33000000000038199</v>
      </c>
      <c r="Y21" s="32">
        <f t="shared" si="18"/>
        <v>0</v>
      </c>
      <c r="Z21" s="32">
        <f t="shared" si="30"/>
        <v>65</v>
      </c>
      <c r="AA21" s="33">
        <v>0</v>
      </c>
      <c r="AB21" s="33">
        <f t="shared" si="31"/>
        <v>25</v>
      </c>
      <c r="AC21" s="33">
        <v>53</v>
      </c>
      <c r="AD21" s="33"/>
      <c r="AE21" s="33">
        <f t="shared" si="29"/>
        <v>-78</v>
      </c>
    </row>
    <row r="22" spans="1:34" s="35" customFormat="1" ht="18.75">
      <c r="A22" s="9">
        <v>44883</v>
      </c>
      <c r="B22" s="10" t="s">
        <v>20</v>
      </c>
      <c r="C22" s="11">
        <v>11174.85</v>
      </c>
      <c r="D22" s="11">
        <v>4541.82</v>
      </c>
      <c r="E22" s="11">
        <v>22.5</v>
      </c>
      <c r="F22" s="11">
        <v>82</v>
      </c>
      <c r="G22" s="11">
        <v>105</v>
      </c>
      <c r="H22" s="11">
        <v>60</v>
      </c>
      <c r="I22" s="11">
        <f t="shared" si="26"/>
        <v>15987.17</v>
      </c>
      <c r="J22" s="43">
        <v>2747.9</v>
      </c>
      <c r="K22" s="43">
        <v>0</v>
      </c>
      <c r="L22" s="11">
        <f t="shared" si="27"/>
        <v>13184.229999999998</v>
      </c>
      <c r="M22" s="11">
        <f>7570.69+693.59+3871.64</f>
        <v>12135.919999999998</v>
      </c>
      <c r="N22" s="11">
        <v>149.94</v>
      </c>
      <c r="O22" s="11">
        <v>156.05000000000001</v>
      </c>
      <c r="P22" s="11">
        <v>85.96</v>
      </c>
      <c r="Q22" s="11">
        <v>385.5</v>
      </c>
      <c r="R22" s="11">
        <f>108.25+62.35+100.26</f>
        <v>270.86</v>
      </c>
      <c r="S22" s="11">
        <v>361.54</v>
      </c>
      <c r="T22" s="33">
        <v>1</v>
      </c>
      <c r="U22" s="33">
        <v>42</v>
      </c>
      <c r="V22" s="11">
        <v>2342</v>
      </c>
      <c r="W22" s="11">
        <v>450</v>
      </c>
      <c r="X22" s="31">
        <f t="shared" si="28"/>
        <v>-1.3600000000001273</v>
      </c>
      <c r="Y22" s="32">
        <f t="shared" si="18"/>
        <v>-10.040000000002692</v>
      </c>
      <c r="Z22" s="32">
        <f t="shared" si="30"/>
        <v>105</v>
      </c>
      <c r="AA22" s="33">
        <v>0</v>
      </c>
      <c r="AB22" s="33">
        <f t="shared" si="31"/>
        <v>15</v>
      </c>
      <c r="AC22" s="33">
        <v>45</v>
      </c>
      <c r="AD22" s="33"/>
      <c r="AE22" s="33"/>
    </row>
    <row r="23" spans="1:34" s="35" customFormat="1" ht="18.75">
      <c r="A23" s="9">
        <v>44884</v>
      </c>
      <c r="B23" s="10" t="s">
        <v>21</v>
      </c>
      <c r="C23" s="11">
        <v>9640.76</v>
      </c>
      <c r="D23" s="11">
        <v>4497.2299999999996</v>
      </c>
      <c r="E23" s="11">
        <v>18</v>
      </c>
      <c r="F23" s="11">
        <v>101</v>
      </c>
      <c r="G23" s="11">
        <v>100</v>
      </c>
      <c r="H23" s="11">
        <v>71</v>
      </c>
      <c r="I23" s="11">
        <f t="shared" si="26"/>
        <v>14437.99</v>
      </c>
      <c r="J23" s="11">
        <v>2899.96</v>
      </c>
      <c r="K23" s="11">
        <v>0</v>
      </c>
      <c r="L23" s="11">
        <f t="shared" si="27"/>
        <v>11323.609999999999</v>
      </c>
      <c r="M23" s="11">
        <f>3728.47+772.51+6242.8</f>
        <v>10743.779999999999</v>
      </c>
      <c r="N23" s="11">
        <v>52.12</v>
      </c>
      <c r="O23" s="11">
        <v>0</v>
      </c>
      <c r="P23" s="11">
        <v>131.38</v>
      </c>
      <c r="Q23" s="11">
        <v>396.33</v>
      </c>
      <c r="R23" s="11">
        <v>0</v>
      </c>
      <c r="S23" s="11">
        <v>153.72999999999999</v>
      </c>
      <c r="T23" s="33">
        <v>10</v>
      </c>
      <c r="U23" s="33">
        <v>27</v>
      </c>
      <c r="V23" s="11">
        <v>2822</v>
      </c>
      <c r="W23" s="11">
        <v>450</v>
      </c>
      <c r="X23" s="31">
        <f t="shared" si="28"/>
        <v>112.76999999999998</v>
      </c>
      <c r="Y23" s="32">
        <f t="shared" si="18"/>
        <v>-143.42000000000007</v>
      </c>
      <c r="Z23" s="32">
        <f t="shared" si="30"/>
        <v>90</v>
      </c>
      <c r="AA23" s="33">
        <v>10</v>
      </c>
      <c r="AB23" s="33">
        <f t="shared" si="31"/>
        <v>10</v>
      </c>
      <c r="AC23" s="33">
        <v>61</v>
      </c>
      <c r="AD23" s="33"/>
      <c r="AE23" s="33">
        <f t="shared" si="29"/>
        <v>-71</v>
      </c>
    </row>
    <row r="24" spans="1:34" s="35" customFormat="1" ht="18.75">
      <c r="A24" s="9">
        <v>44885</v>
      </c>
      <c r="B24" s="10" t="s">
        <v>22</v>
      </c>
      <c r="C24" s="11">
        <v>8789.0400000000009</v>
      </c>
      <c r="D24" s="11">
        <v>3435.76</v>
      </c>
      <c r="E24" s="11">
        <v>0</v>
      </c>
      <c r="F24" s="11">
        <v>90</v>
      </c>
      <c r="G24" s="11">
        <v>40</v>
      </c>
      <c r="H24" s="11">
        <v>0</v>
      </c>
      <c r="I24" s="11">
        <f t="shared" si="26"/>
        <v>12354.800000000001</v>
      </c>
      <c r="J24" s="11">
        <v>2395.39</v>
      </c>
      <c r="K24" s="11">
        <v>1.9</v>
      </c>
      <c r="L24" s="11">
        <f t="shared" si="27"/>
        <v>9897.51</v>
      </c>
      <c r="M24" s="11">
        <f>5613.17+949.32+2788.54</f>
        <v>9351.0299999999988</v>
      </c>
      <c r="N24" s="11">
        <v>93.95</v>
      </c>
      <c r="O24" s="11">
        <v>0</v>
      </c>
      <c r="P24" s="11">
        <v>244.25</v>
      </c>
      <c r="Q24" s="11">
        <v>208.28</v>
      </c>
      <c r="R24" s="11">
        <v>0</v>
      </c>
      <c r="S24" s="11">
        <v>288.08</v>
      </c>
      <c r="T24" s="33">
        <v>0</v>
      </c>
      <c r="U24" s="33">
        <v>37</v>
      </c>
      <c r="V24" s="11">
        <v>1972</v>
      </c>
      <c r="W24" s="11">
        <v>450</v>
      </c>
      <c r="X24" s="31">
        <f t="shared" si="28"/>
        <v>-98.309999999999945</v>
      </c>
      <c r="Y24" s="32">
        <f t="shared" si="18"/>
        <v>-40.000000000001819</v>
      </c>
      <c r="Z24" s="32">
        <f t="shared" si="30"/>
        <v>20</v>
      </c>
      <c r="AA24" s="33">
        <v>20</v>
      </c>
      <c r="AB24" s="33">
        <f t="shared" si="31"/>
        <v>0</v>
      </c>
      <c r="AC24" s="33">
        <v>0</v>
      </c>
      <c r="AD24" s="33"/>
      <c r="AE24" s="33">
        <f t="shared" si="29"/>
        <v>0</v>
      </c>
    </row>
    <row r="25" spans="1:34" ht="37.5" customHeight="1">
      <c r="A25" s="65" t="s">
        <v>27</v>
      </c>
      <c r="B25" s="66"/>
      <c r="C25" s="27">
        <f>SUM(C18:C24)</f>
        <v>72360.47</v>
      </c>
      <c r="D25" s="27">
        <f t="shared" ref="D25:AE25" si="32">SUM(D18:D24)</f>
        <v>25718.739999999998</v>
      </c>
      <c r="E25" s="27">
        <f t="shared" si="32"/>
        <v>76</v>
      </c>
      <c r="F25" s="27">
        <f t="shared" si="32"/>
        <v>704</v>
      </c>
      <c r="G25" s="27">
        <f t="shared" si="32"/>
        <v>495</v>
      </c>
      <c r="H25" s="27">
        <f t="shared" si="32"/>
        <v>263.65999999999997</v>
      </c>
      <c r="I25" s="27">
        <f t="shared" si="32"/>
        <v>99684.400000000009</v>
      </c>
      <c r="J25" s="27">
        <f t="shared" si="32"/>
        <v>18074.91</v>
      </c>
      <c r="K25" s="27">
        <f t="shared" si="32"/>
        <v>1.9</v>
      </c>
      <c r="L25" s="27">
        <f t="shared" si="32"/>
        <v>81096.609999999986</v>
      </c>
      <c r="M25" s="27">
        <f t="shared" si="32"/>
        <v>74100.62</v>
      </c>
      <c r="N25" s="27">
        <f t="shared" si="32"/>
        <v>575.37</v>
      </c>
      <c r="O25" s="27">
        <f t="shared" si="32"/>
        <v>171.86</v>
      </c>
      <c r="P25" s="27">
        <f t="shared" si="32"/>
        <v>871.69</v>
      </c>
      <c r="Q25" s="27">
        <f t="shared" si="32"/>
        <v>2938.6200000000003</v>
      </c>
      <c r="R25" s="27">
        <f t="shared" si="32"/>
        <v>2438.4499999999998</v>
      </c>
      <c r="S25" s="27">
        <f t="shared" si="32"/>
        <v>1687.27</v>
      </c>
      <c r="T25" s="27">
        <f t="shared" si="32"/>
        <v>66.53</v>
      </c>
      <c r="U25" s="27">
        <f t="shared" si="32"/>
        <v>577</v>
      </c>
      <c r="V25" s="27">
        <f t="shared" si="32"/>
        <v>15759</v>
      </c>
      <c r="W25" s="27">
        <f t="shared" si="32"/>
        <v>3150</v>
      </c>
      <c r="X25" s="27">
        <f t="shared" si="32"/>
        <v>14.890000000000327</v>
      </c>
      <c r="Y25" s="27">
        <f t="shared" si="32"/>
        <v>-193.32000000000517</v>
      </c>
      <c r="Z25" s="27">
        <f t="shared" si="32"/>
        <v>355</v>
      </c>
      <c r="AA25" s="27">
        <f t="shared" si="32"/>
        <v>140</v>
      </c>
      <c r="AB25" s="27">
        <f t="shared" si="32"/>
        <v>86</v>
      </c>
      <c r="AC25" s="27">
        <f t="shared" si="32"/>
        <v>177.66</v>
      </c>
      <c r="AD25" s="27">
        <f t="shared" si="32"/>
        <v>0</v>
      </c>
      <c r="AE25" s="27">
        <f t="shared" si="32"/>
        <v>-184.66</v>
      </c>
    </row>
    <row r="26" spans="1:34" s="35" customFormat="1" ht="18.75">
      <c r="A26" s="9">
        <v>44886</v>
      </c>
      <c r="B26" s="10" t="s">
        <v>23</v>
      </c>
      <c r="C26" s="11">
        <f>9192.98+60.52</f>
        <v>9253.5</v>
      </c>
      <c r="D26" s="11">
        <v>3087.22</v>
      </c>
      <c r="E26" s="11">
        <v>10.5</v>
      </c>
      <c r="F26" s="11">
        <v>48</v>
      </c>
      <c r="G26" s="11">
        <v>927.78</v>
      </c>
      <c r="H26" s="11">
        <v>65</v>
      </c>
      <c r="I26" s="11">
        <f t="shared" ref="I26:I32" si="33">SUM(C26:H26,T26)</f>
        <v>13392</v>
      </c>
      <c r="J26" s="11">
        <v>2437.42</v>
      </c>
      <c r="K26" s="11">
        <v>0</v>
      </c>
      <c r="L26" s="11">
        <f t="shared" ref="L26:L32" si="34">SUM(M26:R26)</f>
        <v>9950.2800000000025</v>
      </c>
      <c r="M26" s="11">
        <f>701.82+2818.11+5165.22</f>
        <v>8685.1500000000015</v>
      </c>
      <c r="N26" s="11">
        <v>68.540000000000006</v>
      </c>
      <c r="O26" s="11">
        <v>0</v>
      </c>
      <c r="P26" s="11">
        <v>456.07</v>
      </c>
      <c r="Q26" s="11">
        <v>161.94</v>
      </c>
      <c r="R26" s="11">
        <v>578.58000000000004</v>
      </c>
      <c r="S26" s="11">
        <v>244.64</v>
      </c>
      <c r="T26" s="33">
        <v>0</v>
      </c>
      <c r="U26" s="33">
        <v>54</v>
      </c>
      <c r="V26" s="11">
        <v>2138</v>
      </c>
      <c r="W26" s="11">
        <v>450</v>
      </c>
      <c r="X26" s="31">
        <f t="shared" ref="X26:X32" si="35">SUM(S26,T26,U26,V26)-J26</f>
        <v>-0.78000000000020009</v>
      </c>
      <c r="Y26" s="32">
        <f t="shared" si="18"/>
        <v>-60.519999999996799</v>
      </c>
      <c r="Z26" s="32">
        <f t="shared" si="30"/>
        <v>19</v>
      </c>
      <c r="AA26" s="32">
        <v>908.78</v>
      </c>
      <c r="AB26" s="33">
        <f t="shared" ref="AB26:AB32" si="36">SUM(H26-AC26)</f>
        <v>30</v>
      </c>
      <c r="AC26" s="33">
        <v>35</v>
      </c>
      <c r="AD26" s="33">
        <v>0</v>
      </c>
      <c r="AE26" s="33">
        <f t="shared" ref="AE26:AE32" si="37">SUM(AD26-H26)</f>
        <v>-65</v>
      </c>
      <c r="AF26" s="35" t="s">
        <v>101</v>
      </c>
    </row>
    <row r="27" spans="1:34" s="35" customFormat="1" ht="18.75">
      <c r="A27" s="9">
        <v>44887</v>
      </c>
      <c r="B27" s="10" t="s">
        <v>24</v>
      </c>
      <c r="C27" s="11">
        <f>11111.7+30</f>
        <v>11141.7</v>
      </c>
      <c r="D27" s="11">
        <v>3215.82</v>
      </c>
      <c r="E27" s="11">
        <v>35</v>
      </c>
      <c r="F27" s="11">
        <v>75</v>
      </c>
      <c r="G27" s="11">
        <v>975.2</v>
      </c>
      <c r="H27" s="11">
        <v>274.73</v>
      </c>
      <c r="I27" s="11">
        <f t="shared" si="33"/>
        <v>15717.45</v>
      </c>
      <c r="J27" s="11">
        <v>3273.99</v>
      </c>
      <c r="K27" s="11">
        <v>0</v>
      </c>
      <c r="L27" s="11">
        <f t="shared" si="34"/>
        <v>11401.26</v>
      </c>
      <c r="M27" s="11">
        <f>587.55+2515.32+7167.21</f>
        <v>10270.08</v>
      </c>
      <c r="N27" s="11">
        <v>30.65</v>
      </c>
      <c r="O27" s="11">
        <v>0</v>
      </c>
      <c r="P27" s="11">
        <v>346.86</v>
      </c>
      <c r="Q27" s="11">
        <v>559.37</v>
      </c>
      <c r="R27" s="11">
        <v>194.3</v>
      </c>
      <c r="S27" s="11">
        <v>172.48</v>
      </c>
      <c r="T27" s="33">
        <v>0</v>
      </c>
      <c r="U27" s="33">
        <v>50</v>
      </c>
      <c r="V27" s="11">
        <v>3052</v>
      </c>
      <c r="W27" s="11">
        <v>450</v>
      </c>
      <c r="X27" s="31">
        <f t="shared" si="35"/>
        <v>0.49000000000023647</v>
      </c>
      <c r="Y27" s="32">
        <f t="shared" si="18"/>
        <v>-30</v>
      </c>
      <c r="Z27" s="32">
        <f t="shared" si="30"/>
        <v>25</v>
      </c>
      <c r="AA27" s="32">
        <f>890.2+60</f>
        <v>950.2</v>
      </c>
      <c r="AB27" s="33">
        <f t="shared" si="36"/>
        <v>212.73000000000002</v>
      </c>
      <c r="AC27" s="33">
        <v>62</v>
      </c>
      <c r="AD27" s="33">
        <v>0</v>
      </c>
      <c r="AE27" s="33">
        <f t="shared" si="37"/>
        <v>-274.73</v>
      </c>
      <c r="AH27" s="35">
        <v>908.78</v>
      </c>
    </row>
    <row r="28" spans="1:34" s="35" customFormat="1" ht="18.75">
      <c r="A28" s="9">
        <v>44888</v>
      </c>
      <c r="B28" s="10" t="s">
        <v>25</v>
      </c>
      <c r="C28" s="11">
        <v>10450.36</v>
      </c>
      <c r="D28" s="11">
        <v>3680.68</v>
      </c>
      <c r="E28" s="11">
        <v>30.5</v>
      </c>
      <c r="F28" s="11">
        <v>99</v>
      </c>
      <c r="G28" s="11">
        <v>517.47</v>
      </c>
      <c r="H28" s="11">
        <v>65</v>
      </c>
      <c r="I28" s="11">
        <f t="shared" si="33"/>
        <v>14843.01</v>
      </c>
      <c r="J28" s="11">
        <v>2764.16</v>
      </c>
      <c r="K28" s="11">
        <v>0</v>
      </c>
      <c r="L28" s="11">
        <f t="shared" si="34"/>
        <v>11566.379999999997</v>
      </c>
      <c r="M28" s="11">
        <f>3197.03+5920.29+1175.07</f>
        <v>10292.39</v>
      </c>
      <c r="N28" s="11">
        <v>33.08</v>
      </c>
      <c r="O28" s="11">
        <v>0</v>
      </c>
      <c r="P28" s="11">
        <v>642.04999999999995</v>
      </c>
      <c r="Q28" s="11">
        <v>439.48</v>
      </c>
      <c r="R28" s="11">
        <v>159.38</v>
      </c>
      <c r="S28" s="11">
        <v>0</v>
      </c>
      <c r="T28" s="33">
        <v>0</v>
      </c>
      <c r="U28" s="33">
        <v>48.6</v>
      </c>
      <c r="V28" s="11">
        <v>2697.53</v>
      </c>
      <c r="W28" s="11">
        <v>450</v>
      </c>
      <c r="X28" s="31">
        <f t="shared" si="35"/>
        <v>-18.029999999999745</v>
      </c>
      <c r="Y28" s="32">
        <f t="shared" si="18"/>
        <v>9.999999999996362</v>
      </c>
      <c r="Z28" s="32">
        <f t="shared" si="30"/>
        <v>0</v>
      </c>
      <c r="AA28" s="32">
        <f>20+497.47</f>
        <v>517.47</v>
      </c>
      <c r="AB28" s="33">
        <f t="shared" si="36"/>
        <v>60</v>
      </c>
      <c r="AC28" s="33">
        <v>5</v>
      </c>
      <c r="AD28" s="33">
        <v>850</v>
      </c>
      <c r="AE28" s="33">
        <f t="shared" si="37"/>
        <v>785</v>
      </c>
      <c r="AH28" s="35">
        <v>890.2</v>
      </c>
    </row>
    <row r="29" spans="1:34" s="35" customFormat="1" ht="18.75">
      <c r="A29" s="9">
        <v>44889</v>
      </c>
      <c r="B29" s="10" t="s">
        <v>26</v>
      </c>
      <c r="C29" s="11">
        <v>10664.89</v>
      </c>
      <c r="D29" s="11">
        <v>3505.07</v>
      </c>
      <c r="E29" s="11">
        <v>12.5</v>
      </c>
      <c r="F29" s="11">
        <v>54</v>
      </c>
      <c r="G29" s="11">
        <v>0</v>
      </c>
      <c r="H29" s="11">
        <v>45</v>
      </c>
      <c r="I29" s="11">
        <f t="shared" si="33"/>
        <v>14311.46</v>
      </c>
      <c r="J29" s="11">
        <v>2469.4899999999998</v>
      </c>
      <c r="K29" s="11">
        <v>0</v>
      </c>
      <c r="L29" s="11">
        <f t="shared" si="34"/>
        <v>11841.970000000001</v>
      </c>
      <c r="M29" s="11">
        <f>5858.33+3504.54+1108.41</f>
        <v>10471.279999999999</v>
      </c>
      <c r="N29" s="11">
        <v>0</v>
      </c>
      <c r="O29" s="11">
        <v>113.91</v>
      </c>
      <c r="P29" s="11">
        <v>250.79</v>
      </c>
      <c r="Q29" s="11">
        <v>545.29</v>
      </c>
      <c r="R29" s="11">
        <v>460.7</v>
      </c>
      <c r="S29" s="11">
        <v>70</v>
      </c>
      <c r="T29" s="33">
        <v>30</v>
      </c>
      <c r="U29" s="33">
        <v>4</v>
      </c>
      <c r="V29" s="11">
        <v>2371</v>
      </c>
      <c r="W29" s="11">
        <v>450</v>
      </c>
      <c r="X29" s="31">
        <f t="shared" si="35"/>
        <v>5.5100000000002183</v>
      </c>
      <c r="Y29" s="32">
        <f t="shared" si="18"/>
        <v>0</v>
      </c>
      <c r="Z29" s="32">
        <f t="shared" si="30"/>
        <v>0</v>
      </c>
      <c r="AA29" s="32">
        <v>0</v>
      </c>
      <c r="AB29" s="33">
        <f t="shared" si="36"/>
        <v>45</v>
      </c>
      <c r="AC29" s="33">
        <v>0</v>
      </c>
      <c r="AD29" s="33">
        <v>0</v>
      </c>
      <c r="AE29" s="33">
        <f t="shared" si="37"/>
        <v>-45</v>
      </c>
      <c r="AH29" s="35">
        <v>497.47</v>
      </c>
    </row>
    <row r="30" spans="1:34" s="35" customFormat="1" ht="18.75">
      <c r="A30" s="9">
        <v>44890</v>
      </c>
      <c r="B30" s="10" t="s">
        <v>20</v>
      </c>
      <c r="C30" s="11">
        <v>12239.43</v>
      </c>
      <c r="D30" s="11">
        <v>5852.36</v>
      </c>
      <c r="E30" s="11">
        <v>47</v>
      </c>
      <c r="F30" s="11">
        <v>125</v>
      </c>
      <c r="G30" s="11">
        <v>135</v>
      </c>
      <c r="H30" s="11">
        <v>107.68</v>
      </c>
      <c r="I30" s="11">
        <f t="shared" si="33"/>
        <v>18641.09</v>
      </c>
      <c r="J30" s="11">
        <v>3707.72</v>
      </c>
      <c r="K30" s="11">
        <v>0</v>
      </c>
      <c r="L30" s="11">
        <f t="shared" si="34"/>
        <v>14848.369999999999</v>
      </c>
      <c r="M30" s="11">
        <f>4512.47+8507.1+1053.24</f>
        <v>14072.81</v>
      </c>
      <c r="N30" s="11">
        <v>42.5</v>
      </c>
      <c r="O30" s="11">
        <v>0</v>
      </c>
      <c r="P30" s="11">
        <v>303.83999999999997</v>
      </c>
      <c r="Q30" s="11">
        <v>367.21</v>
      </c>
      <c r="R30" s="11">
        <v>62.01</v>
      </c>
      <c r="S30" s="11">
        <v>0</v>
      </c>
      <c r="T30" s="33">
        <v>134.62</v>
      </c>
      <c r="U30" s="33">
        <v>116</v>
      </c>
      <c r="V30" s="11">
        <v>3456</v>
      </c>
      <c r="W30" s="11">
        <v>450</v>
      </c>
      <c r="X30" s="31">
        <f t="shared" si="35"/>
        <v>-1.0999999999999091</v>
      </c>
      <c r="Y30" s="32">
        <f t="shared" si="18"/>
        <v>0</v>
      </c>
      <c r="Z30" s="32">
        <f t="shared" si="30"/>
        <v>50</v>
      </c>
      <c r="AA30" s="32">
        <v>85</v>
      </c>
      <c r="AB30" s="33">
        <f t="shared" si="36"/>
        <v>107.68</v>
      </c>
      <c r="AC30" s="33">
        <v>0</v>
      </c>
      <c r="AD30" s="33">
        <v>970</v>
      </c>
      <c r="AE30" s="33">
        <f t="shared" si="37"/>
        <v>862.31999999999994</v>
      </c>
    </row>
    <row r="31" spans="1:34" s="35" customFormat="1" ht="18.75">
      <c r="A31" s="9">
        <v>44891</v>
      </c>
      <c r="B31" s="10" t="s">
        <v>21</v>
      </c>
      <c r="C31" s="11">
        <v>10906.13</v>
      </c>
      <c r="D31" s="11">
        <v>4739.2299999999996</v>
      </c>
      <c r="E31" s="11">
        <v>10</v>
      </c>
      <c r="F31" s="11">
        <v>116</v>
      </c>
      <c r="G31" s="11">
        <v>150</v>
      </c>
      <c r="H31" s="11">
        <v>125</v>
      </c>
      <c r="I31" s="11">
        <f t="shared" si="33"/>
        <v>16046.359999999999</v>
      </c>
      <c r="J31" s="11">
        <v>2491.83</v>
      </c>
      <c r="K31" s="11">
        <v>0</v>
      </c>
      <c r="L31" s="11">
        <f t="shared" si="34"/>
        <v>13409.53</v>
      </c>
      <c r="M31" s="11">
        <f>1132.73+3863.31+7554.19</f>
        <v>12550.23</v>
      </c>
      <c r="N31" s="11">
        <v>65.010000000000005</v>
      </c>
      <c r="O31" s="11">
        <v>0</v>
      </c>
      <c r="P31" s="11">
        <v>182.95</v>
      </c>
      <c r="Q31" s="11">
        <v>302.58</v>
      </c>
      <c r="R31" s="11">
        <v>308.76</v>
      </c>
      <c r="S31" s="11">
        <v>0</v>
      </c>
      <c r="T31" s="33">
        <v>0</v>
      </c>
      <c r="U31" s="33">
        <v>40</v>
      </c>
      <c r="V31" s="11">
        <v>2452</v>
      </c>
      <c r="W31" s="11">
        <v>450</v>
      </c>
      <c r="X31" s="31">
        <f t="shared" si="35"/>
        <v>0.17000000000007276</v>
      </c>
      <c r="Y31" s="32">
        <f t="shared" si="18"/>
        <v>0</v>
      </c>
      <c r="Z31" s="32">
        <f t="shared" si="30"/>
        <v>130</v>
      </c>
      <c r="AA31" s="32">
        <v>20</v>
      </c>
      <c r="AB31" s="33">
        <f t="shared" si="36"/>
        <v>0</v>
      </c>
      <c r="AC31" s="33">
        <v>125</v>
      </c>
      <c r="AD31" s="33">
        <v>0</v>
      </c>
      <c r="AE31" s="33">
        <f t="shared" si="37"/>
        <v>-125</v>
      </c>
    </row>
    <row r="32" spans="1:34" s="35" customFormat="1" ht="18.75">
      <c r="A32" s="9">
        <v>44892</v>
      </c>
      <c r="B32" s="10" t="s">
        <v>22</v>
      </c>
      <c r="C32" s="11">
        <v>9261.59</v>
      </c>
      <c r="D32" s="11">
        <v>3527.44</v>
      </c>
      <c r="E32" s="11">
        <v>0</v>
      </c>
      <c r="F32" s="11">
        <v>187</v>
      </c>
      <c r="G32" s="11">
        <v>50</v>
      </c>
      <c r="H32" s="11">
        <v>0</v>
      </c>
      <c r="I32" s="11">
        <f t="shared" si="33"/>
        <v>13026.03</v>
      </c>
      <c r="J32" s="11">
        <v>2173.1999999999998</v>
      </c>
      <c r="K32" s="11">
        <v>0</v>
      </c>
      <c r="L32" s="11">
        <f t="shared" si="34"/>
        <v>10832.83</v>
      </c>
      <c r="M32" s="11">
        <f>2987.63+6337.1+327.32</f>
        <v>9652.0499999999993</v>
      </c>
      <c r="N32" s="11">
        <v>114.89</v>
      </c>
      <c r="O32" s="11">
        <v>0</v>
      </c>
      <c r="P32" s="11">
        <v>294.25</v>
      </c>
      <c r="Q32" s="11">
        <v>379.61</v>
      </c>
      <c r="R32" s="11">
        <v>392.03</v>
      </c>
      <c r="S32" s="11">
        <v>0</v>
      </c>
      <c r="T32" s="33">
        <v>0</v>
      </c>
      <c r="U32" s="33">
        <v>153</v>
      </c>
      <c r="V32" s="11">
        <v>2015</v>
      </c>
      <c r="W32" s="11">
        <v>450</v>
      </c>
      <c r="X32" s="31">
        <f t="shared" si="35"/>
        <v>-5.1999999999998181</v>
      </c>
      <c r="Y32" s="32">
        <f t="shared" si="18"/>
        <v>0</v>
      </c>
      <c r="Z32" s="32">
        <f t="shared" si="30"/>
        <v>30</v>
      </c>
      <c r="AA32" s="32">
        <v>20</v>
      </c>
      <c r="AB32" s="33">
        <f t="shared" si="36"/>
        <v>0</v>
      </c>
      <c r="AC32" s="33">
        <v>0</v>
      </c>
      <c r="AD32" s="33">
        <v>1310</v>
      </c>
      <c r="AE32" s="33">
        <f t="shared" si="37"/>
        <v>1310</v>
      </c>
    </row>
    <row r="33" spans="1:32" ht="37.5" customHeight="1">
      <c r="A33" s="65" t="s">
        <v>27</v>
      </c>
      <c r="B33" s="66"/>
      <c r="C33" s="27">
        <f>SUM(C26:C32)</f>
        <v>73917.599999999991</v>
      </c>
      <c r="D33" s="27">
        <f t="shared" ref="D33:AE33" si="38">SUM(D26:D32)</f>
        <v>27607.819999999996</v>
      </c>
      <c r="E33" s="27">
        <f t="shared" si="38"/>
        <v>145.5</v>
      </c>
      <c r="F33" s="27">
        <f t="shared" si="38"/>
        <v>704</v>
      </c>
      <c r="G33" s="27">
        <f t="shared" si="38"/>
        <v>2755.45</v>
      </c>
      <c r="H33" s="27">
        <f t="shared" si="38"/>
        <v>682.41000000000008</v>
      </c>
      <c r="I33" s="27">
        <f t="shared" si="38"/>
        <v>105977.4</v>
      </c>
      <c r="J33" s="27">
        <f t="shared" si="38"/>
        <v>19317.810000000001</v>
      </c>
      <c r="K33" s="27">
        <f t="shared" si="38"/>
        <v>0</v>
      </c>
      <c r="L33" s="27">
        <f t="shared" si="38"/>
        <v>83850.62</v>
      </c>
      <c r="M33" s="27">
        <f t="shared" si="38"/>
        <v>75993.990000000005</v>
      </c>
      <c r="N33" s="27">
        <f t="shared" si="38"/>
        <v>354.66999999999996</v>
      </c>
      <c r="O33" s="27">
        <f t="shared" si="38"/>
        <v>113.91</v>
      </c>
      <c r="P33" s="27">
        <f t="shared" si="38"/>
        <v>2476.81</v>
      </c>
      <c r="Q33" s="27">
        <f t="shared" si="38"/>
        <v>2755.48</v>
      </c>
      <c r="R33" s="27">
        <f t="shared" si="38"/>
        <v>2155.7600000000002</v>
      </c>
      <c r="S33" s="27">
        <f t="shared" si="38"/>
        <v>487.12</v>
      </c>
      <c r="T33" s="27">
        <f t="shared" si="38"/>
        <v>164.62</v>
      </c>
      <c r="U33" s="27">
        <f t="shared" si="38"/>
        <v>465.6</v>
      </c>
      <c r="V33" s="27">
        <f t="shared" si="38"/>
        <v>18181.53</v>
      </c>
      <c r="W33" s="27">
        <f t="shared" si="38"/>
        <v>3150</v>
      </c>
      <c r="X33" s="27">
        <f t="shared" si="38"/>
        <v>-18.939999999999145</v>
      </c>
      <c r="Y33" s="27">
        <f t="shared" si="38"/>
        <v>-80.520000000000437</v>
      </c>
      <c r="Z33" s="27">
        <f t="shared" si="38"/>
        <v>254</v>
      </c>
      <c r="AA33" s="27">
        <f t="shared" si="38"/>
        <v>2501.4499999999998</v>
      </c>
      <c r="AB33" s="27">
        <f t="shared" si="38"/>
        <v>455.41</v>
      </c>
      <c r="AC33" s="27">
        <f t="shared" si="38"/>
        <v>227</v>
      </c>
      <c r="AD33" s="27">
        <f t="shared" si="38"/>
        <v>3130</v>
      </c>
      <c r="AE33" s="27">
        <f t="shared" si="38"/>
        <v>2447.59</v>
      </c>
    </row>
    <row r="34" spans="1:32" ht="20.25" customHeight="1">
      <c r="A34" s="9">
        <v>44893</v>
      </c>
      <c r="B34" s="10" t="s">
        <v>23</v>
      </c>
      <c r="C34" s="11">
        <f>8828.14+126.55</f>
        <v>8954.6899999999987</v>
      </c>
      <c r="D34" s="11">
        <v>3237.18</v>
      </c>
      <c r="E34" s="11">
        <v>2.5</v>
      </c>
      <c r="F34" s="11">
        <v>138</v>
      </c>
      <c r="G34" s="11">
        <v>70</v>
      </c>
      <c r="H34" s="11">
        <v>80</v>
      </c>
      <c r="I34" s="11">
        <f t="shared" ref="I34:I36" si="39">SUM(C34:H34,T34)</f>
        <v>12482.369999999999</v>
      </c>
      <c r="J34" s="11">
        <v>2243.6</v>
      </c>
      <c r="K34" s="11">
        <v>0</v>
      </c>
      <c r="L34" s="11">
        <f>SUM(M34:R34)</f>
        <v>9992.1399999999976</v>
      </c>
      <c r="M34" s="11">
        <f>5787.78+2460.43+803.06</f>
        <v>9051.2699999999986</v>
      </c>
      <c r="N34" s="11">
        <v>62.4</v>
      </c>
      <c r="O34" s="11">
        <v>0</v>
      </c>
      <c r="P34" s="11">
        <v>105.75</v>
      </c>
      <c r="Q34" s="11">
        <v>356.15</v>
      </c>
      <c r="R34" s="11">
        <v>416.57</v>
      </c>
      <c r="S34" s="11">
        <v>574.27</v>
      </c>
      <c r="T34" s="33">
        <v>0</v>
      </c>
      <c r="U34" s="33">
        <v>127</v>
      </c>
      <c r="V34" s="11">
        <v>1544</v>
      </c>
      <c r="W34" s="11">
        <v>450</v>
      </c>
      <c r="X34" s="31">
        <f t="shared" ref="X34:X36" si="40">SUM(S34,T34,U34,V34)-J34</f>
        <v>1.6700000000000728</v>
      </c>
      <c r="Y34" s="32">
        <f t="shared" si="18"/>
        <v>-116.63000000000102</v>
      </c>
      <c r="Z34" s="32">
        <f t="shared" si="30"/>
        <v>0</v>
      </c>
      <c r="AA34" s="32">
        <v>70</v>
      </c>
      <c r="AB34" s="33">
        <f t="shared" ref="AB34:AB36" si="41">SUM(H34-AC34)</f>
        <v>20</v>
      </c>
      <c r="AC34" s="33">
        <v>60</v>
      </c>
      <c r="AD34" s="33"/>
      <c r="AE34" s="33">
        <f>SUM(AD34-H34)</f>
        <v>-80</v>
      </c>
    </row>
    <row r="35" spans="1:32" ht="20.25" customHeight="1">
      <c r="A35" s="9">
        <v>44894</v>
      </c>
      <c r="B35" s="10" t="s">
        <v>24</v>
      </c>
      <c r="C35" s="11">
        <f>6647.28+75.01</f>
        <v>6722.29</v>
      </c>
      <c r="D35" s="11">
        <v>3262.98</v>
      </c>
      <c r="E35" s="11">
        <v>12.5</v>
      </c>
      <c r="F35" s="11">
        <v>45</v>
      </c>
      <c r="G35" s="11">
        <v>878</v>
      </c>
      <c r="H35" s="11">
        <v>108.66</v>
      </c>
      <c r="I35" s="11">
        <f t="shared" si="39"/>
        <v>11029.43</v>
      </c>
      <c r="J35" s="11">
        <v>1751.87</v>
      </c>
      <c r="K35" s="11">
        <v>0</v>
      </c>
      <c r="L35" s="11">
        <f>SUM(M35:R35)</f>
        <v>8258.99</v>
      </c>
      <c r="M35" s="11">
        <f>2263.13+4923.13+806.05</f>
        <v>7992.31</v>
      </c>
      <c r="N35" s="11">
        <v>0</v>
      </c>
      <c r="O35" s="11">
        <v>0</v>
      </c>
      <c r="P35" s="11">
        <v>116.65</v>
      </c>
      <c r="Q35" s="11">
        <v>100.02</v>
      </c>
      <c r="R35" s="11">
        <v>50.01</v>
      </c>
      <c r="S35" s="11">
        <v>0</v>
      </c>
      <c r="T35" s="33">
        <v>0</v>
      </c>
      <c r="U35" s="33">
        <v>11</v>
      </c>
      <c r="V35" s="11">
        <v>1740</v>
      </c>
      <c r="W35" s="11">
        <v>450</v>
      </c>
      <c r="X35" s="31">
        <f t="shared" si="40"/>
        <v>-0.86999999999989086</v>
      </c>
      <c r="Y35" s="32">
        <f t="shared" si="18"/>
        <v>-160.56999999999971</v>
      </c>
      <c r="Z35" s="32">
        <f t="shared" si="30"/>
        <v>50</v>
      </c>
      <c r="AA35" s="32">
        <f>878-50</f>
        <v>828</v>
      </c>
      <c r="AB35" s="33">
        <f t="shared" si="41"/>
        <v>78.66</v>
      </c>
      <c r="AC35" s="33">
        <v>30</v>
      </c>
      <c r="AD35" s="33"/>
      <c r="AE35" s="33">
        <f t="shared" ref="AE35:AE36" si="42">SUM(AD35-H35)</f>
        <v>-108.66</v>
      </c>
    </row>
    <row r="36" spans="1:32" ht="20.25" customHeight="1">
      <c r="A36" s="9">
        <v>44895</v>
      </c>
      <c r="B36" s="10" t="s">
        <v>25</v>
      </c>
      <c r="C36" s="11">
        <v>10091.870000000001</v>
      </c>
      <c r="D36" s="11">
        <v>3418.19</v>
      </c>
      <c r="E36" s="11">
        <v>14.5</v>
      </c>
      <c r="F36" s="11">
        <v>72</v>
      </c>
      <c r="G36" s="11">
        <v>545</v>
      </c>
      <c r="H36" s="11">
        <v>32.26</v>
      </c>
      <c r="I36" s="11">
        <f t="shared" si="39"/>
        <v>14213.820000000002</v>
      </c>
      <c r="J36" s="11">
        <v>2814.15</v>
      </c>
      <c r="K36" s="11">
        <v>0</v>
      </c>
      <c r="L36" s="11">
        <f>SUM(M36:R36)</f>
        <v>10889.67</v>
      </c>
      <c r="M36" s="11">
        <f>3155.47+644.79+73.12+6053.85</f>
        <v>9927.23</v>
      </c>
      <c r="N36" s="11">
        <v>34.090000000000003</v>
      </c>
      <c r="O36" s="11">
        <v>0</v>
      </c>
      <c r="P36" s="11">
        <v>110.46</v>
      </c>
      <c r="Q36" s="11">
        <v>710.61</v>
      </c>
      <c r="R36" s="11">
        <v>107.28</v>
      </c>
      <c r="S36" s="11">
        <v>0</v>
      </c>
      <c r="T36" s="33">
        <v>40</v>
      </c>
      <c r="U36" s="33">
        <v>35.799999999999997</v>
      </c>
      <c r="V36" s="11">
        <v>2740</v>
      </c>
      <c r="W36" s="11">
        <v>450</v>
      </c>
      <c r="X36" s="31">
        <f t="shared" si="40"/>
        <v>1.6500000000000909</v>
      </c>
      <c r="Y36" s="32">
        <f t="shared" si="18"/>
        <v>0</v>
      </c>
      <c r="Z36" s="32">
        <f t="shared" si="30"/>
        <v>45</v>
      </c>
      <c r="AA36" s="32">
        <v>500</v>
      </c>
      <c r="AB36" s="33">
        <f t="shared" si="41"/>
        <v>22.259999999999998</v>
      </c>
      <c r="AC36" s="33">
        <v>10</v>
      </c>
      <c r="AD36" s="33"/>
      <c r="AE36" s="33">
        <f t="shared" si="42"/>
        <v>-32.26</v>
      </c>
      <c r="AF36" t="s">
        <v>102</v>
      </c>
    </row>
    <row r="37" spans="1:32" ht="37.5" customHeight="1">
      <c r="A37" s="65" t="s">
        <v>27</v>
      </c>
      <c r="B37" s="66"/>
      <c r="C37" s="27">
        <f t="shared" ref="C37:AE37" si="43">SUM(C34:C36)</f>
        <v>25768.85</v>
      </c>
      <c r="D37" s="27">
        <f t="shared" si="43"/>
        <v>9918.35</v>
      </c>
      <c r="E37" s="27">
        <f t="shared" si="43"/>
        <v>29.5</v>
      </c>
      <c r="F37" s="27">
        <f t="shared" si="43"/>
        <v>255</v>
      </c>
      <c r="G37" s="27">
        <f t="shared" si="43"/>
        <v>1493</v>
      </c>
      <c r="H37" s="27">
        <f t="shared" si="43"/>
        <v>220.92</v>
      </c>
      <c r="I37" s="27">
        <f t="shared" si="43"/>
        <v>37725.620000000003</v>
      </c>
      <c r="J37" s="27">
        <f t="shared" si="43"/>
        <v>6809.62</v>
      </c>
      <c r="K37" s="27">
        <f t="shared" si="43"/>
        <v>0</v>
      </c>
      <c r="L37" s="27">
        <f t="shared" si="43"/>
        <v>29140.799999999996</v>
      </c>
      <c r="M37" s="27">
        <f t="shared" si="43"/>
        <v>26970.809999999998</v>
      </c>
      <c r="N37" s="27">
        <f t="shared" si="43"/>
        <v>96.490000000000009</v>
      </c>
      <c r="O37" s="27">
        <f t="shared" si="43"/>
        <v>0</v>
      </c>
      <c r="P37" s="27">
        <f t="shared" si="43"/>
        <v>332.86</v>
      </c>
      <c r="Q37" s="27">
        <f t="shared" si="43"/>
        <v>1166.78</v>
      </c>
      <c r="R37" s="27">
        <f t="shared" si="43"/>
        <v>573.86</v>
      </c>
      <c r="S37" s="27">
        <f t="shared" si="43"/>
        <v>574.27</v>
      </c>
      <c r="T37" s="27">
        <f t="shared" si="43"/>
        <v>40</v>
      </c>
      <c r="U37" s="27">
        <f t="shared" si="43"/>
        <v>173.8</v>
      </c>
      <c r="V37" s="27">
        <f t="shared" si="43"/>
        <v>6024</v>
      </c>
      <c r="W37" s="27">
        <f t="shared" si="43"/>
        <v>1350</v>
      </c>
      <c r="X37" s="27">
        <f t="shared" si="43"/>
        <v>2.4500000000002728</v>
      </c>
      <c r="Y37" s="27">
        <f t="shared" si="43"/>
        <v>-277.20000000000073</v>
      </c>
      <c r="Z37" s="27">
        <f t="shared" si="43"/>
        <v>95</v>
      </c>
      <c r="AA37" s="27">
        <f t="shared" si="43"/>
        <v>1398</v>
      </c>
      <c r="AB37" s="27">
        <f t="shared" si="43"/>
        <v>120.91999999999999</v>
      </c>
      <c r="AC37" s="27">
        <f t="shared" si="43"/>
        <v>100</v>
      </c>
      <c r="AD37" s="27">
        <f t="shared" si="43"/>
        <v>0</v>
      </c>
      <c r="AE37" s="27">
        <f t="shared" si="43"/>
        <v>-220.92</v>
      </c>
    </row>
    <row r="38" spans="1:32" ht="51.75" customHeight="1">
      <c r="A38" s="67" t="s">
        <v>17</v>
      </c>
      <c r="B38" s="68"/>
      <c r="C38" s="30">
        <f>SUM(C37,C33,C25,C17,C9)</f>
        <v>309494.58999999997</v>
      </c>
      <c r="D38" s="30">
        <f t="shared" ref="D38:AE38" si="44">SUM(D37,D33,D25,D17,D9)</f>
        <v>116248.44</v>
      </c>
      <c r="E38" s="30">
        <f t="shared" si="44"/>
        <v>653.5</v>
      </c>
      <c r="F38" s="30">
        <f t="shared" si="44"/>
        <v>2913</v>
      </c>
      <c r="G38" s="30">
        <f t="shared" si="44"/>
        <v>5921.41</v>
      </c>
      <c r="H38" s="30">
        <f t="shared" si="44"/>
        <v>1866.78</v>
      </c>
      <c r="I38" s="30">
        <f t="shared" si="44"/>
        <v>437685.45</v>
      </c>
      <c r="J38" s="30">
        <f t="shared" si="44"/>
        <v>81269.45</v>
      </c>
      <c r="K38" s="30">
        <f t="shared" si="44"/>
        <v>8.3000000000000007</v>
      </c>
      <c r="L38" s="30">
        <f t="shared" si="44"/>
        <v>349957.44999999995</v>
      </c>
      <c r="M38" s="30">
        <f t="shared" si="44"/>
        <v>318371.39</v>
      </c>
      <c r="N38" s="30">
        <f t="shared" si="44"/>
        <v>1396.25</v>
      </c>
      <c r="O38" s="30">
        <f t="shared" si="44"/>
        <v>453.09</v>
      </c>
      <c r="P38" s="30">
        <f t="shared" si="44"/>
        <v>6035.84</v>
      </c>
      <c r="Q38" s="30">
        <f t="shared" si="44"/>
        <v>13692.05</v>
      </c>
      <c r="R38" s="30">
        <f t="shared" si="44"/>
        <v>10008.83</v>
      </c>
      <c r="S38" s="30">
        <f t="shared" si="44"/>
        <v>5995.0599999999995</v>
      </c>
      <c r="T38" s="30">
        <f t="shared" si="44"/>
        <v>587.73</v>
      </c>
      <c r="U38" s="30">
        <f t="shared" si="44"/>
        <v>1905.9</v>
      </c>
      <c r="V38" s="30">
        <f t="shared" si="44"/>
        <v>72766.53</v>
      </c>
      <c r="W38" s="30">
        <f t="shared" si="44"/>
        <v>13950</v>
      </c>
      <c r="X38" s="30">
        <f t="shared" si="44"/>
        <v>-14.229999999998654</v>
      </c>
      <c r="Y38" s="30">
        <f t="shared" si="44"/>
        <v>-800.6200000000099</v>
      </c>
      <c r="Z38" s="30">
        <f t="shared" si="44"/>
        <v>1342</v>
      </c>
      <c r="AA38" s="30">
        <f t="shared" si="44"/>
        <v>4579.41</v>
      </c>
      <c r="AB38" s="30">
        <f t="shared" si="44"/>
        <v>796.56000000000006</v>
      </c>
      <c r="AC38" s="30">
        <f t="shared" si="44"/>
        <v>1070.22</v>
      </c>
      <c r="AD38" s="30">
        <f t="shared" si="44"/>
        <v>6190</v>
      </c>
      <c r="AE38" s="30">
        <f t="shared" si="44"/>
        <v>4402.22</v>
      </c>
    </row>
    <row r="40" spans="1:32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</row>
    <row r="41" spans="1:32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</row>
    <row r="42" spans="1:32"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2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2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6" spans="1:32" hidden="1"/>
    <row r="47" spans="1:32" ht="18.75" hidden="1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33"/>
      <c r="U47" s="33"/>
      <c r="V47" s="11"/>
      <c r="W47" s="11"/>
      <c r="X47" s="31"/>
      <c r="Y47" s="32"/>
      <c r="Z47" s="32"/>
      <c r="AA47" s="32"/>
      <c r="AB47" s="33"/>
      <c r="AC47" s="33"/>
      <c r="AD47" s="33"/>
      <c r="AE47" s="33"/>
    </row>
    <row r="48" spans="1:32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33"/>
      <c r="U48" s="33"/>
      <c r="V48" s="11"/>
      <c r="W48" s="11"/>
      <c r="X48" s="31"/>
      <c r="Y48" s="32"/>
      <c r="Z48" s="32"/>
      <c r="AA48" s="32"/>
      <c r="AB48" s="33"/>
      <c r="AC48" s="33"/>
      <c r="AD48" s="33"/>
      <c r="AE48" s="33"/>
    </row>
    <row r="49" spans="1:31" s="28" customFormat="1" ht="18.75" hidden="1">
      <c r="A49"/>
      <c r="B4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33"/>
      <c r="U49" s="33"/>
      <c r="V49" s="11"/>
      <c r="W49" s="11"/>
      <c r="X49" s="31"/>
      <c r="Y49" s="32"/>
      <c r="Z49" s="32"/>
      <c r="AA49" s="32"/>
      <c r="AB49" s="33"/>
      <c r="AC49" s="33"/>
      <c r="AD49" s="33"/>
      <c r="AE49" s="33"/>
    </row>
    <row r="50" spans="1:31" s="28" customFormat="1" hidden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</sheetData>
  <sheetProtection password="CCFB" sheet="1" objects="1" scenarios="1"/>
  <mergeCells count="6">
    <mergeCell ref="A38:B38"/>
    <mergeCell ref="A9:B9"/>
    <mergeCell ref="A17:B17"/>
    <mergeCell ref="A25:B25"/>
    <mergeCell ref="A33:B33"/>
    <mergeCell ref="A37:B37"/>
  </mergeCells>
  <conditionalFormatting sqref="X47:AA49 X10:AA16 X18:Z24 X34:AA36 X26:AA32 X2:AA8">
    <cfRule type="cellIs" dxfId="191" priority="7" operator="lessThan">
      <formula>0</formula>
    </cfRule>
    <cfRule type="cellIs" dxfId="190" priority="8" operator="greaterThan">
      <formula>0</formula>
    </cfRule>
  </conditionalFormatting>
  <conditionalFormatting sqref="X47:AB49 AB18:AB24 X10:AB16 X18:Z24 X34:AB36 X2:AB8 X26:AB32">
    <cfRule type="cellIs" dxfId="189" priority="4" operator="equal">
      <formula>0</formula>
    </cfRule>
    <cfRule type="cellIs" dxfId="188" priority="5" operator="lessThan">
      <formula>0</formula>
    </cfRule>
    <cfRule type="cellIs" dxfId="187" priority="6" operator="greaterThan">
      <formula>0</formula>
    </cfRule>
  </conditionalFormatting>
  <conditionalFormatting sqref="AE18:AE24 AE34:AE36 AE2:AE8 AE10:AE16 AE26:AE32">
    <cfRule type="cellIs" dxfId="186" priority="1" operator="equal">
      <formula>0</formula>
    </cfRule>
    <cfRule type="cellIs" dxfId="185" priority="2" operator="lessThan">
      <formula>0</formula>
    </cfRule>
    <cfRule type="cellIs" dxfId="18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S42"/>
  <sheetViews>
    <sheetView zoomScale="70" zoomScaleNormal="70" workbookViewId="0">
      <selection activeCell="E18" sqref="E18"/>
    </sheetView>
  </sheetViews>
  <sheetFormatPr defaultRowHeight="15"/>
  <cols>
    <col min="1" max="2" width="15" customWidth="1"/>
    <col min="3" max="3" width="15.28515625" customWidth="1"/>
    <col min="4" max="4" width="16.5703125" customWidth="1"/>
    <col min="5" max="5" width="15" customWidth="1"/>
    <col min="6" max="6" width="21" customWidth="1"/>
    <col min="7" max="7" width="16.28515625" customWidth="1"/>
    <col min="8" max="8" width="14.85546875" customWidth="1"/>
    <col min="9" max="10" width="16.42578125" customWidth="1"/>
    <col min="11" max="11" width="14.42578125" customWidth="1"/>
    <col min="12" max="12" width="18.85546875" customWidth="1"/>
    <col min="13" max="13" width="13.7109375" customWidth="1"/>
    <col min="14" max="14" width="14.140625" customWidth="1"/>
    <col min="15" max="15" width="14.5703125" customWidth="1"/>
    <col min="16" max="16" width="16.7109375" customWidth="1"/>
    <col min="17" max="17" width="13.85546875" customWidth="1"/>
    <col min="18" max="19" width="18" customWidth="1"/>
  </cols>
  <sheetData>
    <row r="1" spans="1:19" ht="37.5">
      <c r="A1" s="8" t="s">
        <v>36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4</v>
      </c>
      <c r="H1" s="8" t="s">
        <v>5</v>
      </c>
      <c r="I1" s="8" t="s">
        <v>6</v>
      </c>
      <c r="J1" s="8" t="s">
        <v>15</v>
      </c>
      <c r="K1" s="8" t="s">
        <v>7</v>
      </c>
      <c r="L1" s="8" t="s">
        <v>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16</v>
      </c>
    </row>
    <row r="2" spans="1:19" ht="18.75">
      <c r="A2" s="9">
        <v>44075</v>
      </c>
      <c r="B2" s="10" t="s">
        <v>24</v>
      </c>
      <c r="C2" s="5">
        <v>3275.28</v>
      </c>
      <c r="D2" s="5">
        <v>1934.33</v>
      </c>
      <c r="E2" s="5">
        <v>17</v>
      </c>
      <c r="F2" s="5">
        <v>19</v>
      </c>
      <c r="G2" s="5">
        <f>SUM(C2:F2,N2)</f>
        <v>5355.6100000000006</v>
      </c>
      <c r="H2" s="5">
        <v>1669.84</v>
      </c>
      <c r="I2" s="5">
        <v>3623.19</v>
      </c>
      <c r="J2" s="5">
        <v>3685.77</v>
      </c>
      <c r="K2" s="5">
        <v>0</v>
      </c>
      <c r="L2" s="5">
        <v>37.880000000000003</v>
      </c>
      <c r="M2" s="5">
        <f>52.5+2.5</f>
        <v>55</v>
      </c>
      <c r="N2" s="5">
        <v>110</v>
      </c>
      <c r="O2" s="5">
        <f>7+5.5</f>
        <v>12.5</v>
      </c>
      <c r="P2" s="5">
        <v>1512.99</v>
      </c>
      <c r="Q2" s="5">
        <v>400</v>
      </c>
      <c r="R2" s="2">
        <f t="shared" ref="R2:R23" si="0">SUM(M2,N2,O2,P2)-H2</f>
        <v>20.650000000000091</v>
      </c>
      <c r="S2" s="6">
        <f t="shared" ref="S2:S15" si="1">SUM(J2)-(I2+L2)</f>
        <v>24.699999999999818</v>
      </c>
    </row>
    <row r="3" spans="1:19" ht="18.75">
      <c r="A3" s="9">
        <v>44076</v>
      </c>
      <c r="B3" s="10" t="s">
        <v>25</v>
      </c>
      <c r="C3" s="5">
        <v>2725.53</v>
      </c>
      <c r="D3" s="5">
        <v>1651.4</v>
      </c>
      <c r="E3" s="5">
        <v>14</v>
      </c>
      <c r="F3" s="5">
        <v>20</v>
      </c>
      <c r="G3" s="5">
        <f>SUM(C3:F3,N3)</f>
        <v>4500.93</v>
      </c>
      <c r="H3" s="5">
        <v>1438.32</v>
      </c>
      <c r="I3" s="5">
        <v>2920.35</v>
      </c>
      <c r="J3" s="5">
        <v>3062.61</v>
      </c>
      <c r="K3" s="5">
        <v>0</v>
      </c>
      <c r="L3" s="5">
        <v>136.86000000000001</v>
      </c>
      <c r="M3" s="5">
        <v>0</v>
      </c>
      <c r="N3" s="5">
        <v>90</v>
      </c>
      <c r="O3" s="5">
        <v>9</v>
      </c>
      <c r="P3" s="5">
        <v>1346.47</v>
      </c>
      <c r="Q3" s="5">
        <v>400</v>
      </c>
      <c r="R3" s="3">
        <f t="shared" si="0"/>
        <v>7.1500000000000909</v>
      </c>
      <c r="S3" s="6">
        <f t="shared" si="1"/>
        <v>5.4000000000000909</v>
      </c>
    </row>
    <row r="4" spans="1:19" ht="18.75">
      <c r="A4" s="9">
        <v>44077</v>
      </c>
      <c r="B4" s="10" t="s">
        <v>26</v>
      </c>
      <c r="C4" s="5">
        <v>4004.93</v>
      </c>
      <c r="D4" s="5">
        <v>1963.81</v>
      </c>
      <c r="E4" s="5">
        <v>2.5</v>
      </c>
      <c r="F4" s="5">
        <v>45</v>
      </c>
      <c r="G4" s="5">
        <f>SUM(C4:F4,N4)</f>
        <v>6071.24</v>
      </c>
      <c r="H4" s="5">
        <v>1319.29</v>
      </c>
      <c r="I4" s="5">
        <v>3762.71</v>
      </c>
      <c r="J4" s="5">
        <v>3849.09</v>
      </c>
      <c r="K4" s="5">
        <v>902.86</v>
      </c>
      <c r="L4" s="5">
        <v>86.41</v>
      </c>
      <c r="M4" s="5">
        <v>0</v>
      </c>
      <c r="N4" s="5">
        <v>55</v>
      </c>
      <c r="O4" s="5">
        <f>13.6+31</f>
        <v>44.6</v>
      </c>
      <c r="P4" s="5">
        <v>1217.02</v>
      </c>
      <c r="Q4" s="5">
        <v>400</v>
      </c>
      <c r="R4" s="3">
        <f t="shared" si="0"/>
        <v>-2.6700000000000728</v>
      </c>
      <c r="S4" s="6">
        <f t="shared" si="1"/>
        <v>-2.9999999999745341E-2</v>
      </c>
    </row>
    <row r="5" spans="1:19" ht="18.75">
      <c r="A5" s="9">
        <v>44078</v>
      </c>
      <c r="B5" s="10" t="s">
        <v>20</v>
      </c>
      <c r="C5" s="5">
        <v>3126.47</v>
      </c>
      <c r="D5" s="5">
        <v>2360.42</v>
      </c>
      <c r="E5" s="5">
        <v>43.5</v>
      </c>
      <c r="F5" s="5">
        <v>73</v>
      </c>
      <c r="G5" s="5">
        <f>SUM(C5:F5,N5)</f>
        <v>5703.3899999999994</v>
      </c>
      <c r="H5" s="5">
        <v>1844.66</v>
      </c>
      <c r="I5" s="5">
        <v>3525.49</v>
      </c>
      <c r="J5" s="5">
        <v>3858.73</v>
      </c>
      <c r="K5" s="5">
        <v>0</v>
      </c>
      <c r="L5" s="5">
        <v>298.27999999999997</v>
      </c>
      <c r="M5" s="5">
        <v>0</v>
      </c>
      <c r="N5" s="5">
        <v>100</v>
      </c>
      <c r="O5" s="5">
        <v>16</v>
      </c>
      <c r="P5" s="5">
        <v>1733.48</v>
      </c>
      <c r="Q5" s="5">
        <v>400</v>
      </c>
      <c r="R5" s="3">
        <f t="shared" si="0"/>
        <v>4.8199999999999363</v>
      </c>
      <c r="S5" s="6">
        <f t="shared" si="1"/>
        <v>34.960000000000491</v>
      </c>
    </row>
    <row r="6" spans="1:19" ht="18.75">
      <c r="A6" s="9">
        <v>44079</v>
      </c>
      <c r="B6" s="10" t="s">
        <v>21</v>
      </c>
      <c r="C6" s="5">
        <v>3394.36</v>
      </c>
      <c r="D6" s="5">
        <v>2305.81</v>
      </c>
      <c r="E6" s="5">
        <v>64</v>
      </c>
      <c r="F6" s="5">
        <v>23</v>
      </c>
      <c r="G6" s="5">
        <f>SUM(C6:F6,N6)</f>
        <v>5978.17</v>
      </c>
      <c r="H6" s="5">
        <v>1858.13</v>
      </c>
      <c r="I6" s="5">
        <v>4094.06</v>
      </c>
      <c r="J6" s="5">
        <v>4120.04</v>
      </c>
      <c r="K6" s="5">
        <v>0</v>
      </c>
      <c r="L6" s="5">
        <v>0</v>
      </c>
      <c r="M6" s="5">
        <v>125.51</v>
      </c>
      <c r="N6" s="5">
        <v>191</v>
      </c>
      <c r="O6" s="5">
        <v>0</v>
      </c>
      <c r="P6" s="5">
        <f>450+99.77+20.14+1000</f>
        <v>1569.9099999999999</v>
      </c>
      <c r="Q6" s="5">
        <v>400</v>
      </c>
      <c r="R6" s="3">
        <f t="shared" si="0"/>
        <v>28.289999999999736</v>
      </c>
      <c r="S6" s="6">
        <f t="shared" si="1"/>
        <v>25.980000000000018</v>
      </c>
    </row>
    <row r="7" spans="1:19" ht="18.75">
      <c r="A7" s="9">
        <v>44080</v>
      </c>
      <c r="B7" s="10" t="s">
        <v>22</v>
      </c>
      <c r="C7" s="5">
        <v>2658.12</v>
      </c>
      <c r="D7" s="5">
        <v>2259.54</v>
      </c>
      <c r="E7" s="5">
        <v>0</v>
      </c>
      <c r="F7" s="5">
        <v>71</v>
      </c>
      <c r="G7" s="5">
        <v>5028.66</v>
      </c>
      <c r="H7" s="5">
        <v>1553.13</v>
      </c>
      <c r="I7" s="5">
        <v>3340.73</v>
      </c>
      <c r="J7" s="5">
        <v>3475.53</v>
      </c>
      <c r="K7" s="5">
        <v>0</v>
      </c>
      <c r="L7" s="5">
        <v>94.93</v>
      </c>
      <c r="M7" s="5">
        <v>86</v>
      </c>
      <c r="N7" s="5">
        <v>40</v>
      </c>
      <c r="O7" s="5">
        <v>37</v>
      </c>
      <c r="P7" s="5">
        <v>1405.3</v>
      </c>
      <c r="Q7" s="5">
        <v>400</v>
      </c>
      <c r="R7" s="2">
        <f t="shared" si="0"/>
        <v>15.169999999999845</v>
      </c>
      <c r="S7" s="6">
        <f t="shared" si="1"/>
        <v>39.870000000000346</v>
      </c>
    </row>
    <row r="8" spans="1:19" ht="37.5">
      <c r="A8" s="14" t="s">
        <v>27</v>
      </c>
      <c r="B8" s="16"/>
      <c r="C8" s="15">
        <f>SUM(C2:C7)</f>
        <v>19184.689999999999</v>
      </c>
      <c r="D8" s="15">
        <f t="shared" ref="D8:S8" si="2">SUM(D2:D7)</f>
        <v>12475.310000000001</v>
      </c>
      <c r="E8" s="15">
        <f t="shared" si="2"/>
        <v>141</v>
      </c>
      <c r="F8" s="15">
        <f t="shared" si="2"/>
        <v>251</v>
      </c>
      <c r="G8" s="15">
        <f t="shared" si="2"/>
        <v>32637.999999999996</v>
      </c>
      <c r="H8" s="15">
        <f t="shared" si="2"/>
        <v>9683.369999999999</v>
      </c>
      <c r="I8" s="15">
        <f t="shared" si="2"/>
        <v>21266.53</v>
      </c>
      <c r="J8" s="15">
        <f t="shared" si="2"/>
        <v>22051.77</v>
      </c>
      <c r="K8" s="15">
        <f t="shared" si="2"/>
        <v>902.86</v>
      </c>
      <c r="L8" s="15">
        <f t="shared" si="2"/>
        <v>654.3599999999999</v>
      </c>
      <c r="M8" s="15">
        <f t="shared" si="2"/>
        <v>266.51</v>
      </c>
      <c r="N8" s="15">
        <f t="shared" si="2"/>
        <v>586</v>
      </c>
      <c r="O8" s="15">
        <f t="shared" si="2"/>
        <v>119.1</v>
      </c>
      <c r="P8" s="15">
        <f t="shared" si="2"/>
        <v>8785.17</v>
      </c>
      <c r="Q8" s="15">
        <f t="shared" si="2"/>
        <v>2400</v>
      </c>
      <c r="R8" s="15">
        <f t="shared" si="2"/>
        <v>73.409999999999627</v>
      </c>
      <c r="S8" s="15">
        <f t="shared" si="2"/>
        <v>130.88000000000102</v>
      </c>
    </row>
    <row r="9" spans="1:19" ht="18.75">
      <c r="A9" s="9">
        <v>44081</v>
      </c>
      <c r="B9" s="10" t="s">
        <v>23</v>
      </c>
      <c r="C9" s="5">
        <v>2799.71</v>
      </c>
      <c r="D9" s="5">
        <f>1731.61+9.99</f>
        <v>1741.6</v>
      </c>
      <c r="E9" s="5">
        <v>18</v>
      </c>
      <c r="F9" s="5">
        <v>16</v>
      </c>
      <c r="G9" s="5">
        <f>SUM(C9:F9,N9)</f>
        <v>4605.3099999999995</v>
      </c>
      <c r="H9" s="5">
        <v>1489.63</v>
      </c>
      <c r="I9" s="5">
        <v>3008.04</v>
      </c>
      <c r="J9" s="5">
        <v>3115.68</v>
      </c>
      <c r="K9" s="5">
        <v>0</v>
      </c>
      <c r="L9" s="5">
        <v>84.13</v>
      </c>
      <c r="M9" s="5">
        <v>86.79</v>
      </c>
      <c r="N9" s="5">
        <v>30</v>
      </c>
      <c r="O9" s="5">
        <v>2</v>
      </c>
      <c r="P9" s="5">
        <v>1365.45</v>
      </c>
      <c r="Q9" s="5">
        <v>400</v>
      </c>
      <c r="R9" s="3">
        <f>SUM(M9,N9,O9,P9)-H9</f>
        <v>-5.3900000000001</v>
      </c>
      <c r="S9" s="6">
        <f>SUM(J9)-(I9+L9)</f>
        <v>23.509999999999764</v>
      </c>
    </row>
    <row r="10" spans="1:19" ht="18.75">
      <c r="A10" s="9">
        <v>44082</v>
      </c>
      <c r="B10" s="10" t="s">
        <v>24</v>
      </c>
      <c r="C10" s="5">
        <v>2948.04</v>
      </c>
      <c r="D10" s="5">
        <v>1808.1</v>
      </c>
      <c r="E10" s="5">
        <v>50</v>
      </c>
      <c r="F10" s="5">
        <v>56</v>
      </c>
      <c r="G10" s="5">
        <f t="shared" ref="G10:G35" si="3">SUM(C10:F10,N10)</f>
        <v>4942.1399999999994</v>
      </c>
      <c r="H10" s="5">
        <v>1350.13</v>
      </c>
      <c r="I10" s="5">
        <v>3281.76</v>
      </c>
      <c r="J10" s="5">
        <v>3413.66</v>
      </c>
      <c r="K10" s="5">
        <v>178.35</v>
      </c>
      <c r="L10" s="5">
        <v>134.76</v>
      </c>
      <c r="M10" s="5">
        <v>0</v>
      </c>
      <c r="N10" s="5">
        <v>80</v>
      </c>
      <c r="O10" s="5">
        <v>10</v>
      </c>
      <c r="P10" s="5">
        <v>1258.48</v>
      </c>
      <c r="Q10" s="5">
        <v>400</v>
      </c>
      <c r="R10" s="3">
        <f t="shared" si="0"/>
        <v>-1.6500000000000909</v>
      </c>
      <c r="S10" s="6">
        <f t="shared" si="1"/>
        <v>-2.8600000000005821</v>
      </c>
    </row>
    <row r="11" spans="1:19" ht="18.75">
      <c r="A11" s="9">
        <v>44083</v>
      </c>
      <c r="B11" s="10" t="s">
        <v>25</v>
      </c>
      <c r="C11" s="5">
        <v>3118.85</v>
      </c>
      <c r="D11" s="5">
        <v>1628.53</v>
      </c>
      <c r="E11" s="5">
        <v>20</v>
      </c>
      <c r="F11" s="5">
        <v>18</v>
      </c>
      <c r="G11" s="5">
        <f t="shared" si="3"/>
        <v>4825.38</v>
      </c>
      <c r="H11" s="5">
        <v>1701.1</v>
      </c>
      <c r="I11" s="5">
        <v>2755.82</v>
      </c>
      <c r="J11" s="5">
        <v>2855.28</v>
      </c>
      <c r="K11" s="5">
        <v>269</v>
      </c>
      <c r="L11" s="5">
        <v>96.1</v>
      </c>
      <c r="M11" s="5">
        <v>356.35</v>
      </c>
      <c r="N11" s="5">
        <v>40</v>
      </c>
      <c r="O11" s="5">
        <v>0</v>
      </c>
      <c r="P11" s="5">
        <v>1307.3900000000001</v>
      </c>
      <c r="Q11" s="5">
        <v>400</v>
      </c>
      <c r="R11" s="3">
        <f t="shared" si="0"/>
        <v>2.6400000000003274</v>
      </c>
      <c r="S11" s="6">
        <f t="shared" si="1"/>
        <v>3.3600000000001273</v>
      </c>
    </row>
    <row r="12" spans="1:19" ht="18.75">
      <c r="A12" s="9">
        <v>44084</v>
      </c>
      <c r="B12" s="10" t="s">
        <v>26</v>
      </c>
      <c r="C12" s="5">
        <v>2985.61</v>
      </c>
      <c r="D12" s="5">
        <v>1589.53</v>
      </c>
      <c r="E12" s="5">
        <v>7.5</v>
      </c>
      <c r="F12" s="5">
        <v>31</v>
      </c>
      <c r="G12" s="5">
        <f t="shared" si="3"/>
        <v>4613.6400000000003</v>
      </c>
      <c r="H12" s="5">
        <v>1374.37</v>
      </c>
      <c r="I12" s="5">
        <v>2794.74</v>
      </c>
      <c r="J12" s="5">
        <v>2942.02</v>
      </c>
      <c r="K12" s="5">
        <v>297.25</v>
      </c>
      <c r="L12" s="5">
        <v>114.96</v>
      </c>
      <c r="M12" s="5">
        <v>0</v>
      </c>
      <c r="N12" s="5">
        <v>0</v>
      </c>
      <c r="O12" s="5">
        <v>0</v>
      </c>
      <c r="P12" s="5">
        <v>1367.28</v>
      </c>
      <c r="Q12" s="5">
        <v>400</v>
      </c>
      <c r="R12" s="3">
        <f t="shared" si="0"/>
        <v>-7.0899999999999181</v>
      </c>
      <c r="S12" s="6">
        <f t="shared" si="1"/>
        <v>32.320000000000164</v>
      </c>
    </row>
    <row r="13" spans="1:19" ht="18.75">
      <c r="A13" s="9">
        <v>44085</v>
      </c>
      <c r="B13" s="10" t="s">
        <v>20</v>
      </c>
      <c r="C13" s="5">
        <v>5114.34</v>
      </c>
      <c r="D13" s="5">
        <v>2815.95</v>
      </c>
      <c r="E13" s="5">
        <v>39.5</v>
      </c>
      <c r="F13" s="5">
        <v>51</v>
      </c>
      <c r="G13" s="5">
        <f t="shared" si="3"/>
        <v>8125.79</v>
      </c>
      <c r="H13" s="5">
        <v>2461.0500000000002</v>
      </c>
      <c r="I13" s="5">
        <f>1049.92+4500.29</f>
        <v>5550.21</v>
      </c>
      <c r="J13" s="5">
        <v>5680.73</v>
      </c>
      <c r="K13" s="5">
        <v>0</v>
      </c>
      <c r="L13" s="5">
        <v>162.16</v>
      </c>
      <c r="M13" s="5">
        <f>79.17+14</f>
        <v>93.17</v>
      </c>
      <c r="N13" s="5">
        <v>105</v>
      </c>
      <c r="O13" s="5">
        <v>11</v>
      </c>
      <c r="P13" s="5">
        <v>2269.9499999999998</v>
      </c>
      <c r="Q13" s="5">
        <v>400</v>
      </c>
      <c r="R13" s="2">
        <f t="shared" si="0"/>
        <v>18.069999999999709</v>
      </c>
      <c r="S13" s="6">
        <f t="shared" si="1"/>
        <v>-31.640000000000327</v>
      </c>
    </row>
    <row r="14" spans="1:19" ht="18.75">
      <c r="A14" s="9">
        <v>44086</v>
      </c>
      <c r="B14" s="10" t="s">
        <v>21</v>
      </c>
      <c r="C14" s="5">
        <v>3320.94</v>
      </c>
      <c r="D14" s="5">
        <v>2344.5500000000002</v>
      </c>
      <c r="E14" s="5">
        <v>28</v>
      </c>
      <c r="F14" s="5">
        <v>36</v>
      </c>
      <c r="G14" s="5">
        <f t="shared" si="3"/>
        <v>5829.49</v>
      </c>
      <c r="H14" s="5">
        <v>2134.29</v>
      </c>
      <c r="I14" s="5">
        <v>3695.2</v>
      </c>
      <c r="J14" s="5">
        <v>3695.2</v>
      </c>
      <c r="K14" s="5">
        <v>0</v>
      </c>
      <c r="L14" s="5">
        <v>0</v>
      </c>
      <c r="M14" s="5">
        <v>113.66</v>
      </c>
      <c r="N14" s="5">
        <v>100</v>
      </c>
      <c r="O14" s="5">
        <v>50</v>
      </c>
      <c r="P14" s="5">
        <v>1872.36</v>
      </c>
      <c r="Q14" s="5">
        <v>400</v>
      </c>
      <c r="R14" s="3">
        <f t="shared" si="0"/>
        <v>1.7300000000000182</v>
      </c>
      <c r="S14" s="6">
        <f t="shared" si="1"/>
        <v>0</v>
      </c>
    </row>
    <row r="15" spans="1:19" ht="18.75">
      <c r="A15" s="9">
        <v>44087</v>
      </c>
      <c r="B15" s="10" t="s">
        <v>22</v>
      </c>
      <c r="C15" s="5">
        <v>4178.83</v>
      </c>
      <c r="D15" s="5">
        <v>2706.15</v>
      </c>
      <c r="E15" s="5">
        <v>12.5</v>
      </c>
      <c r="F15" s="5">
        <v>33</v>
      </c>
      <c r="G15" s="5">
        <f t="shared" si="3"/>
        <v>6931.48</v>
      </c>
      <c r="H15" s="5">
        <v>2345.25</v>
      </c>
      <c r="I15" s="5">
        <v>4586.2299999999996</v>
      </c>
      <c r="J15" s="5">
        <v>4586.2299999999996</v>
      </c>
      <c r="K15" s="5">
        <v>0</v>
      </c>
      <c r="L15" s="5">
        <v>0</v>
      </c>
      <c r="M15" s="5">
        <v>0</v>
      </c>
      <c r="N15" s="5">
        <v>1</v>
      </c>
      <c r="O15" s="5">
        <v>1</v>
      </c>
      <c r="P15" s="5">
        <v>2346.94</v>
      </c>
      <c r="Q15" s="5">
        <v>400</v>
      </c>
      <c r="R15" s="3">
        <f t="shared" si="0"/>
        <v>3.6900000000000546</v>
      </c>
      <c r="S15" s="6">
        <f t="shared" si="1"/>
        <v>0</v>
      </c>
    </row>
    <row r="16" spans="1:19" ht="37.5">
      <c r="A16" s="14" t="s">
        <v>27</v>
      </c>
      <c r="B16" s="16"/>
      <c r="C16" s="15">
        <f>SUM(C9:C15)</f>
        <v>24466.32</v>
      </c>
      <c r="D16" s="15">
        <f t="shared" ref="D16:S16" si="4">SUM(D9:D15)</f>
        <v>14634.409999999998</v>
      </c>
      <c r="E16" s="15">
        <f t="shared" si="4"/>
        <v>175.5</v>
      </c>
      <c r="F16" s="15">
        <f t="shared" si="4"/>
        <v>241</v>
      </c>
      <c r="G16" s="15">
        <f t="shared" si="4"/>
        <v>39873.229999999996</v>
      </c>
      <c r="H16" s="15">
        <f t="shared" si="4"/>
        <v>12855.82</v>
      </c>
      <c r="I16" s="15">
        <f t="shared" si="4"/>
        <v>25672</v>
      </c>
      <c r="J16" s="15">
        <f t="shared" si="4"/>
        <v>26288.800000000003</v>
      </c>
      <c r="K16" s="15">
        <f t="shared" si="4"/>
        <v>744.6</v>
      </c>
      <c r="L16" s="15">
        <f t="shared" si="4"/>
        <v>592.11</v>
      </c>
      <c r="M16" s="15">
        <f t="shared" si="4"/>
        <v>649.97</v>
      </c>
      <c r="N16" s="15">
        <f t="shared" si="4"/>
        <v>356</v>
      </c>
      <c r="O16" s="15">
        <f t="shared" si="4"/>
        <v>74</v>
      </c>
      <c r="P16" s="15">
        <f t="shared" si="4"/>
        <v>11787.85</v>
      </c>
      <c r="Q16" s="15">
        <f t="shared" si="4"/>
        <v>2800</v>
      </c>
      <c r="R16" s="15">
        <f t="shared" si="4"/>
        <v>12</v>
      </c>
      <c r="S16" s="15">
        <f t="shared" si="4"/>
        <v>24.689999999999145</v>
      </c>
    </row>
    <row r="17" spans="1:19" ht="18.75">
      <c r="A17" s="9">
        <v>44088</v>
      </c>
      <c r="B17" s="10" t="s">
        <v>23</v>
      </c>
      <c r="C17" s="5">
        <f>4175.8+201.36</f>
        <v>4377.16</v>
      </c>
      <c r="D17" s="5">
        <v>1725.71</v>
      </c>
      <c r="E17" s="5">
        <v>25</v>
      </c>
      <c r="F17" s="5">
        <v>17</v>
      </c>
      <c r="G17" s="5">
        <f t="shared" si="3"/>
        <v>6164.87</v>
      </c>
      <c r="H17" s="5">
        <v>1959.19</v>
      </c>
      <c r="I17" s="5">
        <v>5963.51</v>
      </c>
      <c r="J17" s="5">
        <f>5963.51+201.36</f>
        <v>6164.87</v>
      </c>
      <c r="K17" s="5">
        <v>0</v>
      </c>
      <c r="L17" s="5">
        <v>201.36</v>
      </c>
      <c r="M17" s="5">
        <v>98.26</v>
      </c>
      <c r="N17" s="5">
        <v>20</v>
      </c>
      <c r="O17" s="5">
        <v>17</v>
      </c>
      <c r="P17" s="5">
        <v>1819.5</v>
      </c>
      <c r="Q17" s="5">
        <v>400</v>
      </c>
      <c r="R17" s="1">
        <f>SUM(M17,N17,O17,P17)-H17</f>
        <v>-4.4300000000000637</v>
      </c>
      <c r="S17" s="4"/>
    </row>
    <row r="18" spans="1:19" ht="18.75">
      <c r="A18" s="9">
        <v>44089</v>
      </c>
      <c r="B18" s="10" t="s">
        <v>24</v>
      </c>
      <c r="C18" s="5">
        <f>3444.73+554.82</f>
        <v>3999.55</v>
      </c>
      <c r="D18" s="5">
        <v>1945.01</v>
      </c>
      <c r="E18" s="5">
        <v>54.5</v>
      </c>
      <c r="F18" s="5">
        <v>20</v>
      </c>
      <c r="G18" s="5">
        <f t="shared" si="3"/>
        <v>6089.06</v>
      </c>
      <c r="H18" s="5">
        <f>1863.42+100</f>
        <v>1963.42</v>
      </c>
      <c r="I18" s="5">
        <v>3670.82</v>
      </c>
      <c r="J18" s="5">
        <f>3670.82+115.32</f>
        <v>3786.1400000000003</v>
      </c>
      <c r="K18" s="5">
        <v>439.5</v>
      </c>
      <c r="L18" s="5">
        <v>115.32</v>
      </c>
      <c r="M18" s="5">
        <v>47.5</v>
      </c>
      <c r="N18" s="5">
        <v>70</v>
      </c>
      <c r="O18" s="5">
        <v>5</v>
      </c>
      <c r="P18" s="5">
        <v>1837.97</v>
      </c>
      <c r="Q18" s="5">
        <v>300</v>
      </c>
      <c r="R18" s="1">
        <f>SUM(M18,N18,O18,P18)-H18</f>
        <v>-2.9500000000000455</v>
      </c>
      <c r="S18" s="6"/>
    </row>
    <row r="19" spans="1:19" ht="18.75">
      <c r="A19" s="9">
        <v>44090</v>
      </c>
      <c r="B19" s="10" t="s">
        <v>25</v>
      </c>
      <c r="C19" s="5">
        <v>2896.01</v>
      </c>
      <c r="D19" s="5">
        <v>1610.12</v>
      </c>
      <c r="E19" s="5">
        <v>4.5</v>
      </c>
      <c r="F19" s="5">
        <v>13</v>
      </c>
      <c r="G19" s="5">
        <f t="shared" si="3"/>
        <v>4633.63</v>
      </c>
      <c r="H19" s="5">
        <v>1438.59</v>
      </c>
      <c r="I19" s="5">
        <v>3095.04</v>
      </c>
      <c r="J19" s="5">
        <f>3095.04+93.22</f>
        <v>3188.2599999999998</v>
      </c>
      <c r="K19" s="5">
        <v>0</v>
      </c>
      <c r="L19" s="5">
        <v>93.22</v>
      </c>
      <c r="M19" s="5">
        <v>0</v>
      </c>
      <c r="N19" s="5">
        <v>110</v>
      </c>
      <c r="O19" s="5">
        <v>3</v>
      </c>
      <c r="P19" s="5">
        <v>1329.18</v>
      </c>
      <c r="Q19" s="5">
        <v>400</v>
      </c>
      <c r="R19" s="3">
        <f t="shared" si="0"/>
        <v>3.5900000000001455</v>
      </c>
      <c r="S19" s="4"/>
    </row>
    <row r="20" spans="1:19" ht="18.75">
      <c r="A20" s="9">
        <v>44091</v>
      </c>
      <c r="B20" s="10" t="s">
        <v>26</v>
      </c>
      <c r="C20" s="5">
        <v>3229.18</v>
      </c>
      <c r="D20" s="5">
        <v>1623.21</v>
      </c>
      <c r="E20" s="5">
        <v>13.5</v>
      </c>
      <c r="F20" s="5">
        <v>48</v>
      </c>
      <c r="G20" s="5">
        <f t="shared" si="3"/>
        <v>4963.8899999999994</v>
      </c>
      <c r="H20" s="5">
        <v>1643.76</v>
      </c>
      <c r="I20" s="5">
        <v>3220.13</v>
      </c>
      <c r="J20" s="5">
        <v>3220.13</v>
      </c>
      <c r="K20" s="5">
        <v>0</v>
      </c>
      <c r="L20" s="5">
        <v>260.98</v>
      </c>
      <c r="M20" s="5">
        <v>25</v>
      </c>
      <c r="N20" s="5">
        <v>50</v>
      </c>
      <c r="O20" s="5">
        <v>16</v>
      </c>
      <c r="P20" s="5">
        <v>1550.04</v>
      </c>
      <c r="Q20" s="5">
        <v>400</v>
      </c>
      <c r="R20" s="3">
        <f t="shared" si="0"/>
        <v>-2.7200000000000273</v>
      </c>
      <c r="S20" s="6"/>
    </row>
    <row r="21" spans="1:19" ht="18.75">
      <c r="A21" s="9">
        <v>44092</v>
      </c>
      <c r="B21" s="10" t="s">
        <v>20</v>
      </c>
      <c r="C21" s="5">
        <v>3801.93</v>
      </c>
      <c r="D21" s="5">
        <v>2794.65</v>
      </c>
      <c r="E21" s="5">
        <v>113</v>
      </c>
      <c r="F21" s="5">
        <v>28</v>
      </c>
      <c r="G21" s="5">
        <f t="shared" si="3"/>
        <v>6887.58</v>
      </c>
      <c r="H21" s="5">
        <v>1742.41</v>
      </c>
      <c r="I21" s="5">
        <v>5145.17</v>
      </c>
      <c r="J21" s="5">
        <v>5145.17</v>
      </c>
      <c r="K21" s="5">
        <v>0</v>
      </c>
      <c r="L21" s="5">
        <v>232.27</v>
      </c>
      <c r="M21" s="5">
        <v>0</v>
      </c>
      <c r="N21" s="5">
        <v>150</v>
      </c>
      <c r="O21" s="5">
        <v>14</v>
      </c>
      <c r="P21" s="5">
        <v>1579.05</v>
      </c>
      <c r="Q21" s="5">
        <v>400</v>
      </c>
      <c r="R21" s="3">
        <f t="shared" si="0"/>
        <v>0.63999999999987267</v>
      </c>
      <c r="S21" s="4"/>
    </row>
    <row r="22" spans="1:19" ht="18.75">
      <c r="A22" s="9">
        <v>44093</v>
      </c>
      <c r="B22" s="10" t="s">
        <v>21</v>
      </c>
      <c r="C22" s="5">
        <v>3884.1</v>
      </c>
      <c r="D22" s="5">
        <v>2910.94</v>
      </c>
      <c r="E22" s="5">
        <v>24</v>
      </c>
      <c r="F22" s="5">
        <v>24</v>
      </c>
      <c r="G22" s="5">
        <f t="shared" si="3"/>
        <v>6923.04</v>
      </c>
      <c r="H22" s="5">
        <v>2102.96</v>
      </c>
      <c r="I22" s="5">
        <v>4820.08</v>
      </c>
      <c r="J22" s="5">
        <v>4820.08</v>
      </c>
      <c r="K22" s="5">
        <v>0</v>
      </c>
      <c r="L22" s="5">
        <v>111.6</v>
      </c>
      <c r="M22" s="5">
        <v>92.26</v>
      </c>
      <c r="N22" s="5">
        <v>80</v>
      </c>
      <c r="O22" s="5">
        <v>4</v>
      </c>
      <c r="P22" s="5">
        <v>2025.76</v>
      </c>
      <c r="Q22" s="5">
        <v>400</v>
      </c>
      <c r="R22" s="3">
        <f t="shared" si="0"/>
        <v>99.059999999999945</v>
      </c>
      <c r="S22" s="6"/>
    </row>
    <row r="23" spans="1:19" ht="18.75">
      <c r="A23" s="9">
        <v>44094</v>
      </c>
      <c r="B23" s="10" t="s">
        <v>22</v>
      </c>
      <c r="C23" s="5">
        <v>3067.16</v>
      </c>
      <c r="D23" s="5">
        <v>2081.13</v>
      </c>
      <c r="E23" s="5">
        <v>2.5</v>
      </c>
      <c r="F23" s="5">
        <v>36</v>
      </c>
      <c r="G23" s="5">
        <f t="shared" si="3"/>
        <v>5316.79</v>
      </c>
      <c r="H23" s="5">
        <v>1653.81</v>
      </c>
      <c r="I23" s="5">
        <v>3611.37</v>
      </c>
      <c r="J23" s="5">
        <v>3611.37</v>
      </c>
      <c r="K23" s="5">
        <v>41.62</v>
      </c>
      <c r="L23" s="5">
        <v>55.89</v>
      </c>
      <c r="M23" s="5">
        <v>0</v>
      </c>
      <c r="N23" s="5">
        <v>130</v>
      </c>
      <c r="O23" s="5">
        <v>8</v>
      </c>
      <c r="P23" s="5">
        <v>1516.68</v>
      </c>
      <c r="Q23" s="5">
        <v>400</v>
      </c>
      <c r="R23" s="1">
        <f t="shared" si="0"/>
        <v>0.87000000000011823</v>
      </c>
      <c r="S23" s="4"/>
    </row>
    <row r="24" spans="1:19" ht="37.5">
      <c r="A24" s="14" t="s">
        <v>27</v>
      </c>
      <c r="B24" s="16"/>
      <c r="C24" s="15">
        <f>SUM(C17:C23)</f>
        <v>25255.089999999997</v>
      </c>
      <c r="D24" s="15">
        <f t="shared" ref="D24:R24" si="5">SUM(D17:D23)</f>
        <v>14690.77</v>
      </c>
      <c r="E24" s="15">
        <f t="shared" si="5"/>
        <v>237</v>
      </c>
      <c r="F24" s="15">
        <f t="shared" si="5"/>
        <v>186</v>
      </c>
      <c r="G24" s="15">
        <f t="shared" si="5"/>
        <v>40978.86</v>
      </c>
      <c r="H24" s="15">
        <f t="shared" si="5"/>
        <v>12504.140000000001</v>
      </c>
      <c r="I24" s="15">
        <f t="shared" si="5"/>
        <v>29526.12</v>
      </c>
      <c r="J24" s="15">
        <f t="shared" si="5"/>
        <v>29936.02</v>
      </c>
      <c r="K24" s="15">
        <f t="shared" si="5"/>
        <v>481.12</v>
      </c>
      <c r="L24" s="15">
        <f t="shared" si="5"/>
        <v>1070.6400000000001</v>
      </c>
      <c r="M24" s="15">
        <f t="shared" si="5"/>
        <v>263.02</v>
      </c>
      <c r="N24" s="15">
        <f t="shared" si="5"/>
        <v>610</v>
      </c>
      <c r="O24" s="15">
        <f t="shared" si="5"/>
        <v>67</v>
      </c>
      <c r="P24" s="15">
        <f t="shared" si="5"/>
        <v>11658.18</v>
      </c>
      <c r="Q24" s="15">
        <f t="shared" si="5"/>
        <v>2700</v>
      </c>
      <c r="R24" s="15">
        <f t="shared" si="5"/>
        <v>94.059999999999945</v>
      </c>
      <c r="S24" s="15"/>
    </row>
    <row r="25" spans="1:19" ht="18.75">
      <c r="A25" s="9">
        <v>44095</v>
      </c>
      <c r="B25" s="10" t="s">
        <v>23</v>
      </c>
      <c r="C25" s="5">
        <f>4243.76+82.47</f>
        <v>4326.2300000000005</v>
      </c>
      <c r="D25" s="5">
        <v>1753.66</v>
      </c>
      <c r="E25" s="5">
        <v>24</v>
      </c>
      <c r="F25" s="5">
        <v>77</v>
      </c>
      <c r="G25" s="5">
        <f t="shared" si="3"/>
        <v>6220.89</v>
      </c>
      <c r="H25" s="5">
        <v>1677.67</v>
      </c>
      <c r="I25" s="5">
        <v>3452.82</v>
      </c>
      <c r="J25" s="5">
        <v>3452.82</v>
      </c>
      <c r="K25" s="5">
        <v>1090.4000000000001</v>
      </c>
      <c r="L25" s="5">
        <v>0</v>
      </c>
      <c r="M25" s="5">
        <v>245.81</v>
      </c>
      <c r="N25" s="5">
        <v>40</v>
      </c>
      <c r="O25" s="5">
        <v>43</v>
      </c>
      <c r="P25" s="5">
        <v>1350.48</v>
      </c>
      <c r="Q25" s="5">
        <v>400</v>
      </c>
      <c r="R25" s="1">
        <f>SUM(M25,N25,O25,P25)-H25</f>
        <v>1.6199999999998909</v>
      </c>
      <c r="S25" s="4"/>
    </row>
    <row r="26" spans="1:19" ht="18.75">
      <c r="A26" s="9">
        <v>44096</v>
      </c>
      <c r="B26" s="10" t="s">
        <v>24</v>
      </c>
      <c r="C26" s="5">
        <v>4300.9399999999996</v>
      </c>
      <c r="D26" s="5">
        <v>2046.21</v>
      </c>
      <c r="E26" s="5">
        <v>39.5</v>
      </c>
      <c r="F26" s="5">
        <v>15</v>
      </c>
      <c r="G26" s="5">
        <f t="shared" si="3"/>
        <v>6601.65</v>
      </c>
      <c r="H26" s="5">
        <v>2047.98</v>
      </c>
      <c r="I26" s="5">
        <v>4428.24</v>
      </c>
      <c r="J26" s="5">
        <v>4428.24</v>
      </c>
      <c r="K26" s="5">
        <v>125.43</v>
      </c>
      <c r="L26" s="5">
        <v>0</v>
      </c>
      <c r="M26" s="5">
        <v>36.72</v>
      </c>
      <c r="N26" s="5">
        <v>200</v>
      </c>
      <c r="O26" s="5">
        <v>20</v>
      </c>
      <c r="P26" s="5">
        <v>1790.52</v>
      </c>
      <c r="Q26" s="5">
        <v>400</v>
      </c>
      <c r="R26" s="1">
        <f t="shared" ref="R26:R31" si="6">SUM(M26:P26)-H26</f>
        <v>-0.74000000000000909</v>
      </c>
      <c r="S26" s="4"/>
    </row>
    <row r="27" spans="1:19" ht="18.75">
      <c r="A27" s="9">
        <v>44097</v>
      </c>
      <c r="B27" s="10" t="s">
        <v>25</v>
      </c>
      <c r="C27" s="5">
        <v>4320.78</v>
      </c>
      <c r="D27" s="5">
        <v>1565.36</v>
      </c>
      <c r="E27" s="5">
        <v>22</v>
      </c>
      <c r="F27" s="5">
        <v>16</v>
      </c>
      <c r="G27" s="5">
        <f t="shared" si="3"/>
        <v>6014.1399999999994</v>
      </c>
      <c r="H27" s="5">
        <v>2223.5100000000002</v>
      </c>
      <c r="I27" s="5">
        <v>3790.63</v>
      </c>
      <c r="J27" s="5">
        <v>3790.63</v>
      </c>
      <c r="K27" s="5">
        <v>0</v>
      </c>
      <c r="L27" s="5">
        <v>0</v>
      </c>
      <c r="M27" s="5">
        <v>0</v>
      </c>
      <c r="N27" s="5">
        <v>90</v>
      </c>
      <c r="O27" s="5">
        <v>26</v>
      </c>
      <c r="P27" s="5">
        <v>2109.8200000000002</v>
      </c>
      <c r="Q27" s="5">
        <v>400</v>
      </c>
      <c r="R27" s="1">
        <f t="shared" si="6"/>
        <v>2.3099999999999454</v>
      </c>
      <c r="S27" s="4"/>
    </row>
    <row r="28" spans="1:19" ht="18.75">
      <c r="A28" s="9">
        <v>44098</v>
      </c>
      <c r="B28" s="10" t="s">
        <v>26</v>
      </c>
      <c r="C28" s="5">
        <v>4225.91</v>
      </c>
      <c r="D28" s="5">
        <v>1603.5</v>
      </c>
      <c r="E28" s="5">
        <v>6</v>
      </c>
      <c r="F28" s="5">
        <v>29</v>
      </c>
      <c r="G28" s="5">
        <f t="shared" si="3"/>
        <v>5904.41</v>
      </c>
      <c r="H28" s="5">
        <v>1777.37</v>
      </c>
      <c r="I28" s="5">
        <v>4049.7</v>
      </c>
      <c r="J28" s="5">
        <v>4049.7</v>
      </c>
      <c r="K28" s="5">
        <v>77.34</v>
      </c>
      <c r="L28" s="5">
        <v>0</v>
      </c>
      <c r="M28" s="5">
        <v>397.44</v>
      </c>
      <c r="N28" s="5">
        <v>40</v>
      </c>
      <c r="O28" s="5">
        <v>17</v>
      </c>
      <c r="P28" s="5">
        <v>425.76</v>
      </c>
      <c r="Q28" s="5">
        <v>400</v>
      </c>
      <c r="R28" s="1">
        <f t="shared" si="6"/>
        <v>-897.16999999999985</v>
      </c>
      <c r="S28" s="4"/>
    </row>
    <row r="29" spans="1:19" ht="18.75">
      <c r="A29" s="9">
        <v>44099</v>
      </c>
      <c r="B29" s="10" t="s">
        <v>20</v>
      </c>
      <c r="C29" s="5">
        <v>5283.04</v>
      </c>
      <c r="D29" s="5">
        <v>2600.8000000000002</v>
      </c>
      <c r="E29" s="5">
        <v>76</v>
      </c>
      <c r="F29" s="5">
        <v>57</v>
      </c>
      <c r="G29" s="5">
        <f t="shared" si="3"/>
        <v>8226.84</v>
      </c>
      <c r="H29" s="5">
        <v>2406.13</v>
      </c>
      <c r="I29" s="5">
        <v>5748.2</v>
      </c>
      <c r="J29" s="5">
        <v>5748.2</v>
      </c>
      <c r="K29" s="5">
        <v>72.510000000000005</v>
      </c>
      <c r="L29" s="5">
        <v>0</v>
      </c>
      <c r="M29" s="5">
        <v>114.07</v>
      </c>
      <c r="N29" s="5">
        <v>210</v>
      </c>
      <c r="O29" s="5">
        <v>13</v>
      </c>
      <c r="P29" s="5">
        <v>2066.23</v>
      </c>
      <c r="Q29" s="5">
        <v>400</v>
      </c>
      <c r="R29" s="1">
        <f t="shared" si="6"/>
        <v>-2.8299999999999272</v>
      </c>
      <c r="S29" s="4"/>
    </row>
    <row r="30" spans="1:19" ht="18.75">
      <c r="A30" s="9">
        <v>44100</v>
      </c>
      <c r="B30" s="10" t="s">
        <v>21</v>
      </c>
      <c r="C30" s="5">
        <v>4161.5200000000004</v>
      </c>
      <c r="D30" s="5">
        <v>2110.1999999999998</v>
      </c>
      <c r="E30" s="5">
        <v>14</v>
      </c>
      <c r="F30" s="5">
        <v>23</v>
      </c>
      <c r="G30" s="5">
        <f t="shared" si="3"/>
        <v>6538.72</v>
      </c>
      <c r="H30" s="5">
        <v>1855.07</v>
      </c>
      <c r="I30" s="5">
        <v>4658.6499999999996</v>
      </c>
      <c r="J30" s="5">
        <v>4658.6499999999996</v>
      </c>
      <c r="K30" s="5">
        <v>25</v>
      </c>
      <c r="L30" s="5">
        <v>0</v>
      </c>
      <c r="M30" s="5">
        <v>230.98</v>
      </c>
      <c r="N30" s="5">
        <v>230</v>
      </c>
      <c r="O30" s="5">
        <v>27</v>
      </c>
      <c r="P30" s="5">
        <v>1351.08</v>
      </c>
      <c r="Q30" s="5">
        <v>400</v>
      </c>
      <c r="R30" s="1">
        <f t="shared" si="6"/>
        <v>-16.009999999999991</v>
      </c>
      <c r="S30" s="4"/>
    </row>
    <row r="31" spans="1:19" ht="18.75">
      <c r="A31" s="9">
        <v>44101</v>
      </c>
      <c r="B31" s="10" t="s">
        <v>22</v>
      </c>
      <c r="C31" s="5">
        <v>3683.32</v>
      </c>
      <c r="D31" s="5">
        <v>1920.5</v>
      </c>
      <c r="E31" s="5">
        <v>2</v>
      </c>
      <c r="F31" s="5">
        <v>32</v>
      </c>
      <c r="G31" s="5">
        <f t="shared" si="3"/>
        <v>5672.82</v>
      </c>
      <c r="H31" s="5">
        <v>1576.19</v>
      </c>
      <c r="I31" s="5">
        <v>4030.46</v>
      </c>
      <c r="J31" s="5">
        <v>4030.46</v>
      </c>
      <c r="K31" s="5">
        <v>66.17</v>
      </c>
      <c r="L31" s="5">
        <v>0</v>
      </c>
      <c r="M31" s="5">
        <v>0</v>
      </c>
      <c r="N31" s="5">
        <v>35</v>
      </c>
      <c r="O31" s="5">
        <v>28</v>
      </c>
      <c r="P31" s="5">
        <v>1537.53</v>
      </c>
      <c r="Q31" s="5">
        <v>400</v>
      </c>
      <c r="R31" s="1">
        <f t="shared" si="6"/>
        <v>24.339999999999918</v>
      </c>
      <c r="S31" s="4"/>
    </row>
    <row r="32" spans="1:19" ht="37.5">
      <c r="A32" s="14" t="s">
        <v>27</v>
      </c>
      <c r="B32" s="16"/>
      <c r="C32" s="15">
        <f>SUM(C25:C31)</f>
        <v>30301.74</v>
      </c>
      <c r="D32" s="15">
        <f t="shared" ref="D32:R32" si="7">SUM(D25:D31)</f>
        <v>13600.23</v>
      </c>
      <c r="E32" s="15">
        <f t="shared" si="7"/>
        <v>183.5</v>
      </c>
      <c r="F32" s="15">
        <f t="shared" si="7"/>
        <v>249</v>
      </c>
      <c r="G32" s="15">
        <f t="shared" si="7"/>
        <v>45179.47</v>
      </c>
      <c r="H32" s="15">
        <f t="shared" si="7"/>
        <v>13563.92</v>
      </c>
      <c r="I32" s="15">
        <f t="shared" si="7"/>
        <v>30158.699999999997</v>
      </c>
      <c r="J32" s="15">
        <f t="shared" si="7"/>
        <v>30158.699999999997</v>
      </c>
      <c r="K32" s="15">
        <f t="shared" si="7"/>
        <v>1456.8500000000001</v>
      </c>
      <c r="L32" s="15">
        <f t="shared" si="7"/>
        <v>0</v>
      </c>
      <c r="M32" s="15">
        <f t="shared" si="7"/>
        <v>1025.02</v>
      </c>
      <c r="N32" s="15">
        <f t="shared" si="7"/>
        <v>845</v>
      </c>
      <c r="O32" s="15">
        <f t="shared" si="7"/>
        <v>174</v>
      </c>
      <c r="P32" s="15">
        <f t="shared" si="7"/>
        <v>10631.42</v>
      </c>
      <c r="Q32" s="15">
        <f t="shared" si="7"/>
        <v>2800</v>
      </c>
      <c r="R32" s="15">
        <f t="shared" si="7"/>
        <v>-888.48</v>
      </c>
      <c r="S32" s="15"/>
    </row>
    <row r="33" spans="1:19" ht="18.75">
      <c r="A33" s="9">
        <v>44102</v>
      </c>
      <c r="B33" s="10" t="s">
        <v>23</v>
      </c>
      <c r="C33" s="5">
        <f>4857.11+121.46</f>
        <v>4978.57</v>
      </c>
      <c r="D33" s="5">
        <v>1584.23</v>
      </c>
      <c r="E33" s="5">
        <v>18</v>
      </c>
      <c r="F33" s="5">
        <v>17</v>
      </c>
      <c r="G33" s="5">
        <f t="shared" si="3"/>
        <v>6757.7999999999993</v>
      </c>
      <c r="H33" s="5">
        <v>1652.64</v>
      </c>
      <c r="I33" s="5">
        <v>4858.4799999999996</v>
      </c>
      <c r="J33" s="5">
        <v>4858.4799999999996</v>
      </c>
      <c r="K33" s="5">
        <v>238.36</v>
      </c>
      <c r="L33" s="5">
        <v>0</v>
      </c>
      <c r="M33" s="5">
        <v>136.41</v>
      </c>
      <c r="N33" s="6">
        <v>160</v>
      </c>
      <c r="O33" s="6">
        <v>30</v>
      </c>
      <c r="P33" s="5">
        <v>1329.79</v>
      </c>
      <c r="Q33" s="5">
        <v>400</v>
      </c>
      <c r="R33" s="1">
        <f>SUM(M33,N33,O33,P33)-H33</f>
        <v>3.5599999999997181</v>
      </c>
      <c r="S33" s="4"/>
    </row>
    <row r="34" spans="1:19" ht="18.75">
      <c r="A34" s="9">
        <v>44103</v>
      </c>
      <c r="B34" s="10" t="s">
        <v>24</v>
      </c>
      <c r="C34" s="5">
        <f>5456.99+20</f>
        <v>5476.99</v>
      </c>
      <c r="D34" s="5">
        <v>1628.04</v>
      </c>
      <c r="E34" s="5">
        <v>36.5</v>
      </c>
      <c r="F34" s="5">
        <v>26</v>
      </c>
      <c r="G34" s="5">
        <f t="shared" si="3"/>
        <v>7227.53</v>
      </c>
      <c r="H34" s="5">
        <v>1600.41</v>
      </c>
      <c r="I34" s="5">
        <v>5026</v>
      </c>
      <c r="J34" s="5">
        <v>5026</v>
      </c>
      <c r="K34" s="5">
        <v>601.12</v>
      </c>
      <c r="L34" s="5">
        <v>0</v>
      </c>
      <c r="M34" s="5">
        <v>0</v>
      </c>
      <c r="N34" s="6">
        <v>60</v>
      </c>
      <c r="O34" s="6">
        <v>4</v>
      </c>
      <c r="P34" s="5">
        <v>1546.97</v>
      </c>
      <c r="Q34" s="5">
        <v>400</v>
      </c>
      <c r="R34" s="1">
        <f>SUM(M34:P34)-H34</f>
        <v>10.559999999999945</v>
      </c>
      <c r="S34" s="4"/>
    </row>
    <row r="35" spans="1:19" ht="18.75">
      <c r="A35" s="9">
        <v>44104</v>
      </c>
      <c r="B35" s="10" t="s">
        <v>25</v>
      </c>
      <c r="C35" s="5">
        <f>4996.57+81.57</f>
        <v>5078.1399999999994</v>
      </c>
      <c r="D35" s="5">
        <v>1696.29</v>
      </c>
      <c r="E35" s="5">
        <v>14</v>
      </c>
      <c r="F35" s="5">
        <v>29</v>
      </c>
      <c r="G35" s="5">
        <f t="shared" si="3"/>
        <v>6987.4299999999994</v>
      </c>
      <c r="H35" s="5">
        <v>1718.91</v>
      </c>
      <c r="I35" s="5">
        <v>5039.74</v>
      </c>
      <c r="J35" s="5">
        <v>5039.74</v>
      </c>
      <c r="K35" s="5">
        <v>228.78</v>
      </c>
      <c r="L35" s="5">
        <v>0</v>
      </c>
      <c r="M35" s="5">
        <v>105.11</v>
      </c>
      <c r="N35" s="6">
        <v>170</v>
      </c>
      <c r="O35" s="6">
        <v>15</v>
      </c>
      <c r="P35" s="5">
        <v>1429.29</v>
      </c>
      <c r="Q35" s="5">
        <v>400</v>
      </c>
      <c r="R35" s="1">
        <f>SUM(M35:P35)-H35</f>
        <v>0.49000000000000909</v>
      </c>
      <c r="S35" s="4"/>
    </row>
    <row r="36" spans="1:19" ht="18.75">
      <c r="A36" s="24" t="s">
        <v>17</v>
      </c>
      <c r="B36" s="24"/>
      <c r="C36" s="24">
        <f>SUM(C8,C16,C24,C32,C33:C35)</f>
        <v>114741.54000000001</v>
      </c>
      <c r="D36" s="24">
        <f t="shared" ref="D36:S36" si="8">SUM(D8,D16,D24,D32,D33:D35)</f>
        <v>60309.280000000006</v>
      </c>
      <c r="E36" s="24">
        <f t="shared" si="8"/>
        <v>805.5</v>
      </c>
      <c r="F36" s="24">
        <f t="shared" si="8"/>
        <v>999</v>
      </c>
      <c r="G36" s="24">
        <f t="shared" si="8"/>
        <v>179642.31999999998</v>
      </c>
      <c r="H36" s="24">
        <f t="shared" si="8"/>
        <v>53579.210000000006</v>
      </c>
      <c r="I36" s="24">
        <f t="shared" si="8"/>
        <v>121547.56999999999</v>
      </c>
      <c r="J36" s="24">
        <f t="shared" si="8"/>
        <v>123359.51000000001</v>
      </c>
      <c r="K36" s="24">
        <f t="shared" si="8"/>
        <v>4653.6900000000005</v>
      </c>
      <c r="L36" s="24">
        <f t="shared" si="8"/>
        <v>2317.1099999999997</v>
      </c>
      <c r="M36" s="24">
        <f t="shared" si="8"/>
        <v>2446.04</v>
      </c>
      <c r="N36" s="24">
        <f t="shared" si="8"/>
        <v>2787</v>
      </c>
      <c r="O36" s="24">
        <f t="shared" si="8"/>
        <v>483.1</v>
      </c>
      <c r="P36" s="24">
        <f t="shared" si="8"/>
        <v>47168.670000000006</v>
      </c>
      <c r="Q36" s="24">
        <f t="shared" si="8"/>
        <v>11900</v>
      </c>
      <c r="R36" s="24">
        <f t="shared" si="8"/>
        <v>-694.40000000000077</v>
      </c>
      <c r="S36" s="24">
        <f t="shared" si="8"/>
        <v>155.57000000000016</v>
      </c>
    </row>
    <row r="38" spans="1:19">
      <c r="J38" s="18" t="s">
        <v>31</v>
      </c>
      <c r="K38" s="18" t="s">
        <v>32</v>
      </c>
      <c r="L38" s="18" t="s">
        <v>33</v>
      </c>
      <c r="M38" s="18" t="s">
        <v>32</v>
      </c>
    </row>
    <row r="39" spans="1:19">
      <c r="J39" s="19" t="s">
        <v>29</v>
      </c>
      <c r="K39" s="18">
        <v>799.11</v>
      </c>
      <c r="L39" s="18">
        <v>13.44</v>
      </c>
      <c r="M39" s="18">
        <v>785.67</v>
      </c>
    </row>
    <row r="40" spans="1:19">
      <c r="J40" s="19" t="s">
        <v>30</v>
      </c>
      <c r="K40" s="18">
        <v>3854.58</v>
      </c>
      <c r="L40" s="18">
        <v>64.94</v>
      </c>
      <c r="M40" s="18">
        <v>3789.64</v>
      </c>
    </row>
    <row r="41" spans="1:19">
      <c r="J41" s="18"/>
      <c r="K41" s="18"/>
      <c r="L41" s="18"/>
      <c r="M41" s="18"/>
    </row>
    <row r="42" spans="1:19">
      <c r="J42" s="18"/>
      <c r="K42" s="18">
        <f>SUM(K39:K41)</f>
        <v>4653.6899999999996</v>
      </c>
      <c r="L42" s="18">
        <f>SUM(L39:L41)</f>
        <v>78.38</v>
      </c>
      <c r="M42" s="18">
        <f>SUM(M39:M40)</f>
        <v>4575.3099999999995</v>
      </c>
    </row>
  </sheetData>
  <sheetProtection password="CCFB" sheet="1" objects="1" scenarios="1"/>
  <conditionalFormatting sqref="S25:S31 S17 S19:S23 S33:S35">
    <cfRule type="cellIs" dxfId="380" priority="35" operator="lessThan">
      <formula>-30548.67</formula>
    </cfRule>
    <cfRule type="cellIs" dxfId="379" priority="36" operator="lessThan">
      <formula>0</formula>
    </cfRule>
    <cfRule type="cellIs" dxfId="378" priority="37" operator="lessThan">
      <formula>0</formula>
    </cfRule>
    <cfRule type="cellIs" dxfId="377" priority="38" operator="lessThan">
      <formula>0</formula>
    </cfRule>
    <cfRule type="cellIs" dxfId="376" priority="39" operator="greaterThan">
      <formula>0</formula>
    </cfRule>
    <cfRule type="cellIs" dxfId="375" priority="40" operator="greaterThan">
      <formula>-30548.67</formula>
    </cfRule>
  </conditionalFormatting>
  <conditionalFormatting sqref="S9:S15 S2:S7 S25:S31 S33:S35 S17:S23">
    <cfRule type="cellIs" dxfId="374" priority="33" operator="greaterThan">
      <formula>0</formula>
    </cfRule>
    <cfRule type="cellIs" dxfId="373" priority="34" operator="lessThan">
      <formula>0</formula>
    </cfRule>
  </conditionalFormatting>
  <conditionalFormatting sqref="R17:R23 R25:R31 R9:R15 R2:R7 R33:R35">
    <cfRule type="cellIs" dxfId="372" priority="31" operator="lessThan">
      <formula>0</formula>
    </cfRule>
    <cfRule type="cellIs" dxfId="371" priority="32" operator="greaterThan">
      <formula>0</formula>
    </cfRule>
  </conditionalFormatting>
  <pageMargins left="0.7" right="0.7" top="0.75" bottom="0.75" header="0.3" footer="0.3"/>
  <pageSetup paperSize="256" orientation="portrait" horizontalDpi="0" verticalDpi="0" r:id="rId1"/>
  <ignoredErrors>
    <ignoredError sqref="R26:R31" formulaRange="1"/>
    <ignoredError sqref="G16 G24" formula="1"/>
  </ignoredErrors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H55"/>
  <sheetViews>
    <sheetView zoomScale="60" zoomScaleNormal="60" workbookViewId="0">
      <selection activeCell="Q6" sqref="Q6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6.42578125" customWidth="1"/>
    <col min="17" max="18" width="15.5703125" customWidth="1"/>
    <col min="19" max="19" width="13.85546875" customWidth="1"/>
    <col min="20" max="20" width="13.5703125" customWidth="1"/>
    <col min="21" max="21" width="14.28515625" customWidth="1"/>
    <col min="22" max="22" width="13" customWidth="1"/>
    <col min="23" max="23" width="14.85546875" customWidth="1"/>
    <col min="24" max="24" width="15.85546875" customWidth="1"/>
    <col min="25" max="27" width="16.5703125" customWidth="1"/>
    <col min="28" max="28" width="14" customWidth="1"/>
    <col min="29" max="29" width="13" customWidth="1"/>
    <col min="30" max="30" width="14.85546875" customWidth="1"/>
    <col min="31" max="31" width="15.5703125" customWidth="1"/>
  </cols>
  <sheetData>
    <row r="1" spans="1:32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96</v>
      </c>
      <c r="P1" s="8" t="s">
        <v>8</v>
      </c>
      <c r="Q1" s="8" t="s">
        <v>28</v>
      </c>
      <c r="R1" s="8" t="s">
        <v>92</v>
      </c>
      <c r="S1" s="8" t="s">
        <v>9</v>
      </c>
      <c r="T1" s="8" t="s">
        <v>10</v>
      </c>
      <c r="U1" s="8" t="s">
        <v>11</v>
      </c>
      <c r="V1" s="8" t="s">
        <v>12</v>
      </c>
      <c r="W1" s="8" t="s">
        <v>13</v>
      </c>
      <c r="X1" s="8" t="s">
        <v>14</v>
      </c>
      <c r="Y1" s="8" t="s">
        <v>34</v>
      </c>
      <c r="Z1" s="23" t="s">
        <v>94</v>
      </c>
      <c r="AA1" s="23" t="s">
        <v>95</v>
      </c>
      <c r="AB1" s="23" t="s">
        <v>39</v>
      </c>
      <c r="AC1" s="23" t="s">
        <v>40</v>
      </c>
      <c r="AD1" s="23" t="s">
        <v>78</v>
      </c>
      <c r="AE1" s="23" t="s">
        <v>79</v>
      </c>
    </row>
    <row r="2" spans="1:32" ht="20.25" customHeight="1">
      <c r="A2" s="9">
        <v>44893</v>
      </c>
      <c r="B2" s="10" t="s">
        <v>23</v>
      </c>
      <c r="C2" s="11">
        <f>8828.14+126.55</f>
        <v>8954.6899999999987</v>
      </c>
      <c r="D2" s="11">
        <v>3237.18</v>
      </c>
      <c r="E2" s="11">
        <v>2.5</v>
      </c>
      <c r="F2" s="11">
        <v>138</v>
      </c>
      <c r="G2" s="11">
        <v>70</v>
      </c>
      <c r="H2" s="11">
        <v>80</v>
      </c>
      <c r="I2" s="11">
        <f t="shared" ref="I2:I4" si="0">SUM(C2:H2,T2)</f>
        <v>12482.369999999999</v>
      </c>
      <c r="J2" s="11">
        <v>2243.6799999999998</v>
      </c>
      <c r="K2" s="11">
        <v>0</v>
      </c>
      <c r="L2" s="11">
        <f>SUM(M2:R2)</f>
        <v>9992.1399999999976</v>
      </c>
      <c r="M2" s="11">
        <f>5787.78+2460.43+803.06</f>
        <v>9051.2699999999986</v>
      </c>
      <c r="N2" s="11">
        <v>62.4</v>
      </c>
      <c r="O2" s="11">
        <v>0</v>
      </c>
      <c r="P2" s="11">
        <v>105.75</v>
      </c>
      <c r="Q2" s="11">
        <v>356.15</v>
      </c>
      <c r="R2" s="11">
        <v>416.57</v>
      </c>
      <c r="S2" s="11">
        <v>574.27</v>
      </c>
      <c r="T2" s="33">
        <v>0</v>
      </c>
      <c r="U2" s="33">
        <v>127</v>
      </c>
      <c r="V2" s="11">
        <v>1544</v>
      </c>
      <c r="W2" s="11">
        <v>450</v>
      </c>
      <c r="X2" s="31">
        <f t="shared" ref="X2:X4" si="1">SUM(S2,T2,U2,V2)-J2</f>
        <v>1.5900000000001455</v>
      </c>
      <c r="Y2" s="32">
        <f t="shared" ref="Y2:Y4" si="2">SUM(J2+K2+L2+AC2+AA2)-(I2)</f>
        <v>-126.55000000000109</v>
      </c>
      <c r="Z2" s="32">
        <f t="shared" ref="Z2:Z4" si="3">SUM(G2-AA2)</f>
        <v>10</v>
      </c>
      <c r="AA2" s="32">
        <v>60</v>
      </c>
      <c r="AB2" s="33">
        <f t="shared" ref="AB2:AB4" si="4">SUM(H2-AC2)</f>
        <v>20</v>
      </c>
      <c r="AC2" s="33">
        <v>60</v>
      </c>
      <c r="AD2" s="33"/>
      <c r="AE2" s="33">
        <f>SUM(AD2-H2)</f>
        <v>-80</v>
      </c>
    </row>
    <row r="3" spans="1:32" ht="20.25" customHeight="1">
      <c r="A3" s="9">
        <v>44894</v>
      </c>
      <c r="B3" s="10" t="s">
        <v>24</v>
      </c>
      <c r="C3" s="11">
        <f>6647.28</f>
        <v>6647.28</v>
      </c>
      <c r="D3" s="11">
        <v>3262.98</v>
      </c>
      <c r="E3" s="11">
        <v>12.5</v>
      </c>
      <c r="F3" s="11">
        <v>45</v>
      </c>
      <c r="G3" s="11">
        <v>878</v>
      </c>
      <c r="H3" s="11">
        <v>108.66</v>
      </c>
      <c r="I3" s="11">
        <f t="shared" si="0"/>
        <v>10954.42</v>
      </c>
      <c r="J3" s="11">
        <v>1761.87</v>
      </c>
      <c r="K3" s="11">
        <v>0</v>
      </c>
      <c r="L3" s="11">
        <f>SUM(M3:R3)</f>
        <v>8259.5399999999991</v>
      </c>
      <c r="M3" s="11">
        <f>2263.68+4923.13+806.05</f>
        <v>7992.86</v>
      </c>
      <c r="N3" s="11">
        <v>0</v>
      </c>
      <c r="O3" s="11">
        <v>0</v>
      </c>
      <c r="P3" s="11">
        <v>116.65</v>
      </c>
      <c r="Q3" s="11">
        <v>100.02</v>
      </c>
      <c r="R3" s="11">
        <v>50.01</v>
      </c>
      <c r="S3" s="11">
        <v>0</v>
      </c>
      <c r="T3" s="33">
        <v>0</v>
      </c>
      <c r="U3" s="33">
        <v>11</v>
      </c>
      <c r="V3" s="11">
        <v>1751</v>
      </c>
      <c r="W3" s="11">
        <v>450</v>
      </c>
      <c r="X3" s="31">
        <f t="shared" si="1"/>
        <v>0.13000000000010914</v>
      </c>
      <c r="Y3" s="32">
        <f t="shared" si="2"/>
        <v>-75.010000000000218</v>
      </c>
      <c r="Z3" s="32">
        <f t="shared" si="3"/>
        <v>50</v>
      </c>
      <c r="AA3" s="32">
        <f>878-50</f>
        <v>828</v>
      </c>
      <c r="AB3" s="33">
        <f t="shared" si="4"/>
        <v>78.66</v>
      </c>
      <c r="AC3" s="33">
        <v>30</v>
      </c>
      <c r="AD3" s="33"/>
      <c r="AE3" s="33">
        <f t="shared" ref="AE3:AE4" si="5">SUM(AD3-H3)</f>
        <v>-108.66</v>
      </c>
    </row>
    <row r="4" spans="1:32" ht="20.25" customHeight="1">
      <c r="A4" s="9">
        <v>44895</v>
      </c>
      <c r="B4" s="10" t="s">
        <v>25</v>
      </c>
      <c r="C4" s="11">
        <v>10091.870000000001</v>
      </c>
      <c r="D4" s="11">
        <v>3418.19</v>
      </c>
      <c r="E4" s="11">
        <v>14.5</v>
      </c>
      <c r="F4" s="11">
        <v>72</v>
      </c>
      <c r="G4" s="11">
        <v>545</v>
      </c>
      <c r="H4" s="11">
        <v>32.26</v>
      </c>
      <c r="I4" s="11">
        <f t="shared" si="0"/>
        <v>14213.820000000002</v>
      </c>
      <c r="J4" s="11">
        <v>2814.15</v>
      </c>
      <c r="K4" s="11">
        <v>0</v>
      </c>
      <c r="L4" s="11">
        <f>SUM(M4:R4)</f>
        <v>10889.67</v>
      </c>
      <c r="M4" s="11">
        <f>3155.47+644.79+73.12+6053.85</f>
        <v>9927.23</v>
      </c>
      <c r="N4" s="11">
        <v>34.090000000000003</v>
      </c>
      <c r="O4" s="11">
        <v>0</v>
      </c>
      <c r="P4" s="11">
        <v>110.46</v>
      </c>
      <c r="Q4" s="11">
        <v>710.61</v>
      </c>
      <c r="R4" s="11">
        <v>107.28</v>
      </c>
      <c r="S4" s="11">
        <v>0</v>
      </c>
      <c r="T4" s="33">
        <v>40</v>
      </c>
      <c r="U4" s="33">
        <v>35.799999999999997</v>
      </c>
      <c r="V4" s="11">
        <v>2740</v>
      </c>
      <c r="W4" s="11">
        <v>450</v>
      </c>
      <c r="X4" s="31">
        <f t="shared" si="1"/>
        <v>1.6500000000000909</v>
      </c>
      <c r="Y4" s="32">
        <f t="shared" si="2"/>
        <v>0</v>
      </c>
      <c r="Z4" s="32">
        <f t="shared" si="3"/>
        <v>45</v>
      </c>
      <c r="AA4" s="32">
        <v>500</v>
      </c>
      <c r="AB4" s="33">
        <f t="shared" si="4"/>
        <v>22.259999999999998</v>
      </c>
      <c r="AC4" s="33">
        <v>10</v>
      </c>
      <c r="AD4" s="33"/>
      <c r="AE4" s="33">
        <f t="shared" si="5"/>
        <v>-32.26</v>
      </c>
      <c r="AF4" t="s">
        <v>102</v>
      </c>
    </row>
    <row r="5" spans="1:32" ht="20.25" customHeight="1">
      <c r="A5" s="9">
        <v>44896</v>
      </c>
      <c r="B5" s="10" t="s">
        <v>26</v>
      </c>
      <c r="C5" s="11">
        <f>11196.52+30.03</f>
        <v>11226.550000000001</v>
      </c>
      <c r="D5" s="11">
        <v>3747.02</v>
      </c>
      <c r="E5" s="11">
        <v>6.5</v>
      </c>
      <c r="F5" s="11">
        <v>124</v>
      </c>
      <c r="G5" s="11">
        <v>35</v>
      </c>
      <c r="H5" s="11">
        <v>265</v>
      </c>
      <c r="I5" s="11">
        <f t="shared" ref="I5:I6" si="6">SUM(C5:H5,T5)</f>
        <v>15474.070000000002</v>
      </c>
      <c r="J5" s="11">
        <v>2410.56</v>
      </c>
      <c r="K5" s="11">
        <v>0</v>
      </c>
      <c r="L5" s="11">
        <f t="shared" ref="L5:L6" si="7">SUM(M5:R5)</f>
        <v>12958.48</v>
      </c>
      <c r="M5" s="11">
        <f>763.51+4318.08+6380.64+23</f>
        <v>11485.23</v>
      </c>
      <c r="N5" s="11">
        <v>0</v>
      </c>
      <c r="O5" s="11">
        <v>0</v>
      </c>
      <c r="P5" s="11">
        <v>221.47</v>
      </c>
      <c r="Q5" s="11">
        <v>999.61</v>
      </c>
      <c r="R5" s="11">
        <f>148.64+103.53</f>
        <v>252.17</v>
      </c>
      <c r="S5" s="11">
        <v>676.14</v>
      </c>
      <c r="T5" s="33">
        <v>70</v>
      </c>
      <c r="U5" s="33">
        <v>43</v>
      </c>
      <c r="V5" s="11">
        <v>1615</v>
      </c>
      <c r="W5" s="11">
        <v>450</v>
      </c>
      <c r="X5" s="31">
        <f t="shared" ref="X5:X8" si="8">SUM(S5,T5,U5,V5)-J5</f>
        <v>-6.4200000000000728</v>
      </c>
      <c r="Y5" s="32">
        <f t="shared" ref="Y5" si="9">SUM(J5+K5+L5+AC5+AA5)-(I5)</f>
        <v>-30.030000000002474</v>
      </c>
      <c r="Z5" s="32">
        <f t="shared" ref="Z5:Z8" si="10">SUM(G5-AA5)</f>
        <v>10</v>
      </c>
      <c r="AA5" s="32">
        <v>25</v>
      </c>
      <c r="AB5" s="33">
        <f t="shared" ref="AB5:AB8" si="11">SUM(H5-AC5)</f>
        <v>215</v>
      </c>
      <c r="AC5" s="33">
        <v>50</v>
      </c>
      <c r="AD5" s="33"/>
      <c r="AE5" s="33">
        <f t="shared" ref="AE5:AE8" si="12">SUM(AD5-H5)</f>
        <v>-265</v>
      </c>
    </row>
    <row r="6" spans="1:32" ht="20.25" customHeight="1">
      <c r="A6" s="9">
        <v>44897</v>
      </c>
      <c r="B6" s="10" t="s">
        <v>20</v>
      </c>
      <c r="C6" s="11">
        <v>13036.98</v>
      </c>
      <c r="D6" s="11">
        <v>5029.1000000000004</v>
      </c>
      <c r="E6" s="11">
        <v>81.5</v>
      </c>
      <c r="F6" s="11">
        <v>82</v>
      </c>
      <c r="G6" s="11">
        <v>210</v>
      </c>
      <c r="H6" s="11">
        <v>610</v>
      </c>
      <c r="I6" s="11">
        <f t="shared" si="6"/>
        <v>19049.580000000002</v>
      </c>
      <c r="J6" s="11">
        <v>3069.99</v>
      </c>
      <c r="K6" s="11">
        <v>0</v>
      </c>
      <c r="L6" s="11">
        <f t="shared" si="7"/>
        <v>15291.98</v>
      </c>
      <c r="M6" s="11">
        <f>3385.35+8799.47+916.57+880.16</f>
        <v>13981.55</v>
      </c>
      <c r="N6" s="11">
        <v>36.950000000000003</v>
      </c>
      <c r="O6" s="11">
        <v>0</v>
      </c>
      <c r="P6" s="11">
        <v>237.72</v>
      </c>
      <c r="Q6" s="11">
        <v>555.32000000000005</v>
      </c>
      <c r="R6" s="11">
        <v>480.44</v>
      </c>
      <c r="S6" s="11">
        <v>335.04</v>
      </c>
      <c r="T6" s="33">
        <v>0</v>
      </c>
      <c r="U6" s="33">
        <v>149.80000000000001</v>
      </c>
      <c r="V6" s="11">
        <v>2587.5500000000002</v>
      </c>
      <c r="W6" s="11">
        <v>450</v>
      </c>
      <c r="X6" s="31">
        <f t="shared" si="8"/>
        <v>2.4000000000005457</v>
      </c>
      <c r="Y6" s="32">
        <f t="shared" ref="Y6:Y8" si="13">SUM(J6+K6+L6+AC6+AA6)-(I6)</f>
        <v>-57.610000000000582</v>
      </c>
      <c r="Z6" s="32">
        <f t="shared" si="10"/>
        <v>170</v>
      </c>
      <c r="AA6" s="32">
        <v>40</v>
      </c>
      <c r="AB6" s="33">
        <f t="shared" si="11"/>
        <v>20</v>
      </c>
      <c r="AC6" s="33">
        <v>590</v>
      </c>
      <c r="AD6" s="33"/>
      <c r="AE6" s="33">
        <f t="shared" si="12"/>
        <v>-610</v>
      </c>
    </row>
    <row r="7" spans="1:32" ht="20.25" customHeight="1">
      <c r="A7" s="9">
        <v>44898</v>
      </c>
      <c r="B7" s="10" t="s">
        <v>21</v>
      </c>
      <c r="C7" s="11">
        <v>10174.82</v>
      </c>
      <c r="D7" s="11">
        <v>4417.49</v>
      </c>
      <c r="E7" s="11">
        <v>33</v>
      </c>
      <c r="F7" s="11">
        <v>127</v>
      </c>
      <c r="G7" s="11">
        <v>160</v>
      </c>
      <c r="H7" s="11">
        <v>60</v>
      </c>
      <c r="I7" s="11">
        <f>SUM(C7:H7,T7)</f>
        <v>15017.43</v>
      </c>
      <c r="J7" s="11">
        <v>3089.69</v>
      </c>
      <c r="K7" s="11">
        <v>0</v>
      </c>
      <c r="L7" s="11">
        <f>SUM(M7:R7)</f>
        <v>12009.76</v>
      </c>
      <c r="M7" s="11">
        <f>3271.6+5814.84+905.26+80+1471.58</f>
        <v>11543.28</v>
      </c>
      <c r="N7" s="11">
        <v>0</v>
      </c>
      <c r="O7" s="11">
        <v>0</v>
      </c>
      <c r="P7" s="11">
        <v>184.99</v>
      </c>
      <c r="Q7" s="11">
        <v>141.6</v>
      </c>
      <c r="R7" s="11">
        <v>139.88999999999999</v>
      </c>
      <c r="S7" s="11">
        <v>179.08</v>
      </c>
      <c r="T7" s="33">
        <v>45.12</v>
      </c>
      <c r="U7" s="33">
        <v>50</v>
      </c>
      <c r="V7" s="11">
        <v>2744.95</v>
      </c>
      <c r="W7" s="11">
        <v>450</v>
      </c>
      <c r="X7" s="31">
        <f t="shared" si="8"/>
        <v>-70.540000000000418</v>
      </c>
      <c r="Y7" s="32">
        <f t="shared" si="13"/>
        <v>132.02000000000044</v>
      </c>
      <c r="Z7" s="32">
        <f t="shared" si="10"/>
        <v>160</v>
      </c>
      <c r="AA7" s="32">
        <v>0</v>
      </c>
      <c r="AB7" s="33">
        <f t="shared" si="11"/>
        <v>10</v>
      </c>
      <c r="AC7" s="33">
        <v>50</v>
      </c>
      <c r="AD7" s="33"/>
      <c r="AE7" s="33">
        <f t="shared" si="12"/>
        <v>-60</v>
      </c>
    </row>
    <row r="8" spans="1:32" ht="18.75">
      <c r="A8" s="9">
        <v>44899</v>
      </c>
      <c r="B8" s="10" t="s">
        <v>22</v>
      </c>
      <c r="C8" s="11">
        <v>9990.36</v>
      </c>
      <c r="D8" s="11">
        <v>4081.05</v>
      </c>
      <c r="E8" s="11">
        <v>7.5</v>
      </c>
      <c r="F8" s="11">
        <v>174</v>
      </c>
      <c r="G8" s="11">
        <v>195</v>
      </c>
      <c r="H8" s="11">
        <v>10</v>
      </c>
      <c r="I8" s="11">
        <f>SUM(C8:H8,T8)</f>
        <v>14457.91</v>
      </c>
      <c r="J8" s="48">
        <v>2633.36</v>
      </c>
      <c r="K8" s="11">
        <v>0</v>
      </c>
      <c r="L8" s="11">
        <f>SUM(M8:R8)</f>
        <v>11699.549999999997</v>
      </c>
      <c r="M8" s="11">
        <f>4228.45+6403.44+595.83</f>
        <v>11227.72</v>
      </c>
      <c r="N8" s="11">
        <v>67.56</v>
      </c>
      <c r="O8" s="11">
        <v>0</v>
      </c>
      <c r="P8" s="11">
        <v>91.75</v>
      </c>
      <c r="Q8" s="11">
        <v>67.97</v>
      </c>
      <c r="R8" s="11">
        <f>81.15+163.4</f>
        <v>244.55</v>
      </c>
      <c r="S8" s="11">
        <v>0</v>
      </c>
      <c r="T8" s="33">
        <v>0</v>
      </c>
      <c r="U8" s="33">
        <f>7.1+75</f>
        <v>82.1</v>
      </c>
      <c r="V8" s="11">
        <v>2568</v>
      </c>
      <c r="W8" s="11">
        <v>450</v>
      </c>
      <c r="X8" s="31">
        <f t="shared" si="8"/>
        <v>16.739999999999782</v>
      </c>
      <c r="Y8" s="32">
        <f t="shared" si="13"/>
        <v>0</v>
      </c>
      <c r="Z8" s="32">
        <f t="shared" si="10"/>
        <v>80</v>
      </c>
      <c r="AA8" s="32">
        <v>115</v>
      </c>
      <c r="AB8" s="33">
        <f t="shared" si="11"/>
        <v>0</v>
      </c>
      <c r="AC8" s="33">
        <v>10</v>
      </c>
      <c r="AD8" s="33"/>
      <c r="AE8" s="33">
        <f t="shared" si="12"/>
        <v>-10</v>
      </c>
    </row>
    <row r="9" spans="1:32" ht="37.5" customHeight="1">
      <c r="A9" s="65" t="s">
        <v>27</v>
      </c>
      <c r="B9" s="66"/>
      <c r="C9" s="27">
        <f>SUM(C2:C8)</f>
        <v>70122.549999999988</v>
      </c>
      <c r="D9" s="27">
        <f t="shared" ref="D9:AE9" si="14">SUM(D2:D8)</f>
        <v>27193.01</v>
      </c>
      <c r="E9" s="27">
        <f t="shared" si="14"/>
        <v>158</v>
      </c>
      <c r="F9" s="27">
        <f t="shared" si="14"/>
        <v>762</v>
      </c>
      <c r="G9" s="27">
        <f t="shared" si="14"/>
        <v>2093</v>
      </c>
      <c r="H9" s="27">
        <f t="shared" si="14"/>
        <v>1165.92</v>
      </c>
      <c r="I9" s="27">
        <f t="shared" si="14"/>
        <v>101649.60000000001</v>
      </c>
      <c r="J9" s="27">
        <f t="shared" si="14"/>
        <v>18023.3</v>
      </c>
      <c r="K9" s="27">
        <f t="shared" si="14"/>
        <v>0</v>
      </c>
      <c r="L9" s="27">
        <f>SUM(L2:L8)</f>
        <v>81101.119999999995</v>
      </c>
      <c r="M9" s="27">
        <f t="shared" si="14"/>
        <v>75209.14</v>
      </c>
      <c r="N9" s="27">
        <f t="shared" si="14"/>
        <v>201</v>
      </c>
      <c r="O9" s="27">
        <f t="shared" si="14"/>
        <v>0</v>
      </c>
      <c r="P9" s="27">
        <f t="shared" si="14"/>
        <v>1068.79</v>
      </c>
      <c r="Q9" s="27">
        <f t="shared" si="14"/>
        <v>2931.2799999999997</v>
      </c>
      <c r="R9" s="27">
        <f t="shared" si="14"/>
        <v>1690.91</v>
      </c>
      <c r="S9" s="27">
        <f t="shared" si="14"/>
        <v>1764.5299999999997</v>
      </c>
      <c r="T9" s="27">
        <f t="shared" si="14"/>
        <v>155.12</v>
      </c>
      <c r="U9" s="27">
        <f t="shared" si="14"/>
        <v>498.70000000000005</v>
      </c>
      <c r="V9" s="27">
        <f t="shared" si="14"/>
        <v>15550.5</v>
      </c>
      <c r="W9" s="27">
        <f t="shared" si="14"/>
        <v>3150</v>
      </c>
      <c r="X9" s="27">
        <f t="shared" si="14"/>
        <v>-54.449999999999818</v>
      </c>
      <c r="Y9" s="27">
        <f t="shared" si="14"/>
        <v>-157.18000000000393</v>
      </c>
      <c r="Z9" s="27">
        <f t="shared" si="14"/>
        <v>525</v>
      </c>
      <c r="AA9" s="27">
        <f t="shared" si="14"/>
        <v>1568</v>
      </c>
      <c r="AB9" s="27">
        <f t="shared" si="14"/>
        <v>365.91999999999996</v>
      </c>
      <c r="AC9" s="27">
        <f t="shared" si="14"/>
        <v>800</v>
      </c>
      <c r="AD9" s="27">
        <f t="shared" si="14"/>
        <v>0</v>
      </c>
      <c r="AE9" s="27">
        <f t="shared" si="14"/>
        <v>-1165.92</v>
      </c>
    </row>
    <row r="10" spans="1:32" ht="18.75">
      <c r="A10" s="9">
        <v>44900</v>
      </c>
      <c r="B10" s="10" t="s">
        <v>23</v>
      </c>
      <c r="C10" s="11">
        <v>10796.15</v>
      </c>
      <c r="D10" s="11">
        <v>2964.9</v>
      </c>
      <c r="E10" s="11">
        <v>16</v>
      </c>
      <c r="F10" s="11">
        <v>117</v>
      </c>
      <c r="G10" s="11">
        <v>155</v>
      </c>
      <c r="H10" s="11">
        <v>217.78</v>
      </c>
      <c r="I10" s="11">
        <f t="shared" ref="I10:I16" si="15">SUM(C10:H10,T10)</f>
        <v>14266.83</v>
      </c>
      <c r="J10" s="48">
        <v>2709.55</v>
      </c>
      <c r="K10" s="11">
        <v>0</v>
      </c>
      <c r="L10" s="11">
        <f t="shared" ref="L10" si="16">SUM(M10:R10)</f>
        <v>11262</v>
      </c>
      <c r="M10" s="11">
        <f>2892.16+1201.2+6135.05</f>
        <v>10228.41</v>
      </c>
      <c r="N10" s="11">
        <v>46.99</v>
      </c>
      <c r="O10" s="11">
        <v>0</v>
      </c>
      <c r="P10" s="11">
        <v>206.76</v>
      </c>
      <c r="Q10" s="11">
        <v>600.28</v>
      </c>
      <c r="R10" s="11">
        <v>179.56</v>
      </c>
      <c r="S10" s="11">
        <f>114.8+288.77</f>
        <v>403.57</v>
      </c>
      <c r="T10" s="33">
        <v>0</v>
      </c>
      <c r="U10" s="33">
        <f>30+34</f>
        <v>64</v>
      </c>
      <c r="V10" s="11">
        <v>2242.6</v>
      </c>
      <c r="W10" s="11">
        <v>450</v>
      </c>
      <c r="X10" s="31">
        <f t="shared" ref="X10:X16" si="17">SUM(S10,T10,U10,V10)-J10</f>
        <v>0.61999999999989086</v>
      </c>
      <c r="Y10" s="32">
        <f t="shared" ref="Y10:Y34" si="18">SUM(J10+K10+L10+AC10+AA10)-(I10)</f>
        <v>-5</v>
      </c>
      <c r="Z10" s="32">
        <f t="shared" ref="Z10" si="19">SUM(G10-AA10)</f>
        <v>20</v>
      </c>
      <c r="AA10" s="32">
        <v>135</v>
      </c>
      <c r="AB10" s="33">
        <f t="shared" ref="AB10" si="20">SUM(H10-AC10)</f>
        <v>62.5</v>
      </c>
      <c r="AC10" s="33">
        <v>155.28</v>
      </c>
      <c r="AD10" s="33"/>
      <c r="AE10" s="33">
        <f t="shared" ref="AE10:AE16" si="21">SUM(AD10-H10)</f>
        <v>-217.78</v>
      </c>
    </row>
    <row r="11" spans="1:32" ht="18.75">
      <c r="A11" s="9">
        <v>44901</v>
      </c>
      <c r="B11" s="10" t="s">
        <v>24</v>
      </c>
      <c r="C11" s="11">
        <v>1411.03</v>
      </c>
      <c r="D11" s="11">
        <v>3235.77</v>
      </c>
      <c r="E11" s="11">
        <v>25</v>
      </c>
      <c r="F11" s="11">
        <v>87</v>
      </c>
      <c r="G11" s="11">
        <v>274</v>
      </c>
      <c r="H11" s="11">
        <v>13</v>
      </c>
      <c r="I11" s="11">
        <f t="shared" si="15"/>
        <v>5055.8</v>
      </c>
      <c r="J11" s="11">
        <v>1042.33</v>
      </c>
      <c r="K11" s="11">
        <v>0</v>
      </c>
      <c r="L11" s="11">
        <f t="shared" ref="L11:L16" si="22">SUM(M11:R11)</f>
        <v>3903.4700000000003</v>
      </c>
      <c r="M11" s="11">
        <f>142.28+1170.46+32.43+2350.74</f>
        <v>3695.91</v>
      </c>
      <c r="N11" s="11">
        <v>0</v>
      </c>
      <c r="O11" s="11">
        <v>0</v>
      </c>
      <c r="P11" s="11">
        <v>0</v>
      </c>
      <c r="Q11" s="11">
        <v>147.53</v>
      </c>
      <c r="R11" s="11">
        <v>60.03</v>
      </c>
      <c r="S11" s="11">
        <v>175.34</v>
      </c>
      <c r="T11" s="33">
        <v>10</v>
      </c>
      <c r="U11" s="33">
        <v>41</v>
      </c>
      <c r="V11" s="11">
        <v>797</v>
      </c>
      <c r="W11" s="11">
        <v>450</v>
      </c>
      <c r="X11" s="31">
        <f t="shared" si="17"/>
        <v>-18.989999999999895</v>
      </c>
      <c r="Y11" s="32">
        <f t="shared" si="18"/>
        <v>0</v>
      </c>
      <c r="Z11" s="32">
        <f t="shared" ref="Z11:Z16" si="23">SUM(G11-AA11)</f>
        <v>164</v>
      </c>
      <c r="AA11" s="32">
        <v>110</v>
      </c>
      <c r="AB11" s="33">
        <f t="shared" ref="AB11:AB16" si="24">SUM(H11-AC11)</f>
        <v>13</v>
      </c>
      <c r="AC11" s="33">
        <v>0</v>
      </c>
      <c r="AD11" s="33"/>
      <c r="AE11" s="33">
        <f t="shared" si="21"/>
        <v>-13</v>
      </c>
    </row>
    <row r="12" spans="1:32" ht="18.75">
      <c r="A12" s="9">
        <v>44902</v>
      </c>
      <c r="B12" s="10" t="s">
        <v>25</v>
      </c>
      <c r="C12" s="11">
        <v>13436.83</v>
      </c>
      <c r="D12" s="11">
        <v>3963.45</v>
      </c>
      <c r="E12" s="11">
        <v>26</v>
      </c>
      <c r="F12" s="11">
        <v>128</v>
      </c>
      <c r="G12" s="11">
        <v>161</v>
      </c>
      <c r="H12" s="11">
        <v>30</v>
      </c>
      <c r="I12" s="11">
        <f t="shared" si="15"/>
        <v>17745.28</v>
      </c>
      <c r="J12" s="11">
        <v>3279.23</v>
      </c>
      <c r="K12" s="11">
        <v>0</v>
      </c>
      <c r="L12" s="11">
        <f t="shared" si="22"/>
        <v>14425.050000000001</v>
      </c>
      <c r="M12" s="11">
        <f>3833.98+1253.98+7805.29</f>
        <v>12893.25</v>
      </c>
      <c r="N12" s="11">
        <v>0</v>
      </c>
      <c r="O12" s="11">
        <v>0</v>
      </c>
      <c r="P12" s="11">
        <v>269.52999999999997</v>
      </c>
      <c r="Q12" s="11">
        <v>932.09</v>
      </c>
      <c r="R12" s="11">
        <v>330.18</v>
      </c>
      <c r="S12" s="11">
        <v>0</v>
      </c>
      <c r="T12" s="33">
        <v>0</v>
      </c>
      <c r="U12" s="33">
        <v>52</v>
      </c>
      <c r="V12" s="11">
        <v>3262</v>
      </c>
      <c r="W12" s="11">
        <v>450</v>
      </c>
      <c r="X12" s="31">
        <f t="shared" si="17"/>
        <v>34.769999999999982</v>
      </c>
      <c r="Y12" s="32">
        <f t="shared" si="18"/>
        <v>0</v>
      </c>
      <c r="Z12" s="32">
        <f t="shared" si="23"/>
        <v>120</v>
      </c>
      <c r="AA12" s="32">
        <v>41</v>
      </c>
      <c r="AB12" s="33">
        <f t="shared" si="24"/>
        <v>30</v>
      </c>
      <c r="AC12" s="33">
        <v>0</v>
      </c>
      <c r="AD12" s="33"/>
      <c r="AE12" s="33">
        <f t="shared" si="21"/>
        <v>-30</v>
      </c>
    </row>
    <row r="13" spans="1:32" ht="18.75">
      <c r="A13" s="9">
        <v>44903</v>
      </c>
      <c r="B13" s="10" t="s">
        <v>26</v>
      </c>
      <c r="C13" s="11">
        <v>12813.99</v>
      </c>
      <c r="D13" s="11">
        <v>3740.97</v>
      </c>
      <c r="E13" s="11">
        <v>9</v>
      </c>
      <c r="F13" s="11">
        <v>94</v>
      </c>
      <c r="G13" s="11">
        <v>240</v>
      </c>
      <c r="H13" s="11">
        <v>0</v>
      </c>
      <c r="I13" s="11">
        <f t="shared" si="15"/>
        <v>17008.46</v>
      </c>
      <c r="J13" s="11">
        <v>2814.53</v>
      </c>
      <c r="K13" s="11">
        <v>0</v>
      </c>
      <c r="L13" s="11">
        <f t="shared" si="22"/>
        <v>14023.929999999998</v>
      </c>
      <c r="M13" s="11">
        <f>3595.11+7997.61+1035.73</f>
        <v>12628.449999999999</v>
      </c>
      <c r="N13" s="11">
        <v>20</v>
      </c>
      <c r="O13" s="11">
        <v>45.93</v>
      </c>
      <c r="P13" s="11">
        <v>507.48</v>
      </c>
      <c r="Q13" s="11">
        <v>424.3</v>
      </c>
      <c r="R13" s="11">
        <v>397.77</v>
      </c>
      <c r="S13" s="11">
        <v>302.31</v>
      </c>
      <c r="T13" s="33">
        <v>110.5</v>
      </c>
      <c r="U13" s="33">
        <v>65</v>
      </c>
      <c r="V13" s="11">
        <v>2350</v>
      </c>
      <c r="W13" s="11">
        <v>450</v>
      </c>
      <c r="X13" s="31">
        <f t="shared" si="17"/>
        <v>13.279999999999745</v>
      </c>
      <c r="Y13" s="32">
        <f t="shared" si="18"/>
        <v>0</v>
      </c>
      <c r="Z13" s="32">
        <f t="shared" si="23"/>
        <v>70</v>
      </c>
      <c r="AA13" s="32">
        <v>170</v>
      </c>
      <c r="AB13" s="33">
        <f t="shared" si="24"/>
        <v>0</v>
      </c>
      <c r="AC13" s="33">
        <v>0</v>
      </c>
      <c r="AD13" s="33"/>
      <c r="AE13" s="33">
        <f t="shared" si="21"/>
        <v>0</v>
      </c>
    </row>
    <row r="14" spans="1:32" ht="18.75">
      <c r="A14" s="9">
        <v>44904</v>
      </c>
      <c r="B14" s="10" t="s">
        <v>20</v>
      </c>
      <c r="C14" s="11">
        <f>12291.37+283.91</f>
        <v>12575.28</v>
      </c>
      <c r="D14" s="11">
        <v>4772.6099999999997</v>
      </c>
      <c r="E14" s="11">
        <v>41</v>
      </c>
      <c r="F14" s="11">
        <v>93</v>
      </c>
      <c r="G14" s="11">
        <v>265</v>
      </c>
      <c r="H14" s="11">
        <v>32</v>
      </c>
      <c r="I14" s="11">
        <f t="shared" si="15"/>
        <v>17778.89</v>
      </c>
      <c r="J14" s="11">
        <v>2857.01</v>
      </c>
      <c r="K14" s="11">
        <v>0</v>
      </c>
      <c r="L14" s="11">
        <f t="shared" si="22"/>
        <v>14437.970000000001</v>
      </c>
      <c r="M14" s="11">
        <f>7903.59+1284+897.86+3833.08</f>
        <v>13918.53</v>
      </c>
      <c r="N14" s="11">
        <v>49.14</v>
      </c>
      <c r="O14" s="11">
        <v>0</v>
      </c>
      <c r="P14" s="11">
        <v>59.19</v>
      </c>
      <c r="Q14" s="11">
        <v>411.11</v>
      </c>
      <c r="R14" s="11">
        <v>0</v>
      </c>
      <c r="S14" s="11">
        <v>202.78</v>
      </c>
      <c r="T14" s="33">
        <v>0</v>
      </c>
      <c r="U14" s="33">
        <v>45</v>
      </c>
      <c r="V14" s="11">
        <v>2606.6999999999998</v>
      </c>
      <c r="W14" s="11">
        <v>450</v>
      </c>
      <c r="X14" s="31">
        <f t="shared" si="17"/>
        <v>-2.5300000000002001</v>
      </c>
      <c r="Y14" s="32">
        <f t="shared" si="18"/>
        <v>-283.90999999999622</v>
      </c>
      <c r="Z14" s="32">
        <f t="shared" si="23"/>
        <v>65</v>
      </c>
      <c r="AA14" s="32">
        <v>200</v>
      </c>
      <c r="AB14" s="33">
        <f t="shared" si="24"/>
        <v>32</v>
      </c>
      <c r="AC14" s="33">
        <v>0</v>
      </c>
      <c r="AD14" s="33"/>
      <c r="AE14" s="33">
        <f t="shared" si="21"/>
        <v>-32</v>
      </c>
      <c r="AF14" t="s">
        <v>103</v>
      </c>
    </row>
    <row r="15" spans="1:32" ht="18.75">
      <c r="A15" s="9">
        <v>44905</v>
      </c>
      <c r="B15" s="10" t="s">
        <v>21</v>
      </c>
      <c r="C15" s="11">
        <v>8379.42</v>
      </c>
      <c r="D15" s="11">
        <v>4577.95</v>
      </c>
      <c r="E15" s="11">
        <v>24</v>
      </c>
      <c r="F15" s="11">
        <v>84</v>
      </c>
      <c r="G15" s="11">
        <v>185</v>
      </c>
      <c r="H15" s="11">
        <v>80</v>
      </c>
      <c r="I15" s="11">
        <f t="shared" si="15"/>
        <v>13425.369999999999</v>
      </c>
      <c r="J15" s="11">
        <v>2949.12</v>
      </c>
      <c r="K15" s="11">
        <v>0</v>
      </c>
      <c r="L15" s="11">
        <f t="shared" si="22"/>
        <v>10346.250000000002</v>
      </c>
      <c r="M15" s="11">
        <f>3589.59+736.17+5437.39+32.1</f>
        <v>9795.2500000000018</v>
      </c>
      <c r="N15" s="11">
        <v>0</v>
      </c>
      <c r="O15" s="11">
        <v>0</v>
      </c>
      <c r="P15" s="11">
        <v>0</v>
      </c>
      <c r="Q15" s="11">
        <v>212.99</v>
      </c>
      <c r="R15" s="11">
        <v>338.01</v>
      </c>
      <c r="S15" s="11">
        <v>0</v>
      </c>
      <c r="T15" s="33">
        <v>95</v>
      </c>
      <c r="U15" s="33">
        <v>24</v>
      </c>
      <c r="V15" s="11">
        <v>2830.75</v>
      </c>
      <c r="W15" s="11">
        <v>450</v>
      </c>
      <c r="X15" s="31">
        <f t="shared" si="17"/>
        <v>0.63000000000010914</v>
      </c>
      <c r="Y15" s="32">
        <f t="shared" si="18"/>
        <v>0</v>
      </c>
      <c r="Z15" s="32">
        <f t="shared" si="23"/>
        <v>115</v>
      </c>
      <c r="AA15" s="32">
        <v>70</v>
      </c>
      <c r="AB15" s="33">
        <f t="shared" si="24"/>
        <v>20</v>
      </c>
      <c r="AC15" s="33">
        <v>60</v>
      </c>
      <c r="AD15" s="33"/>
      <c r="AE15" s="33">
        <f t="shared" si="21"/>
        <v>-80</v>
      </c>
    </row>
    <row r="16" spans="1:32" ht="18.75">
      <c r="A16" s="9">
        <v>44906</v>
      </c>
      <c r="B16" s="10" t="s">
        <v>22</v>
      </c>
      <c r="C16" s="11">
        <v>7143.15</v>
      </c>
      <c r="D16" s="11">
        <v>3988.88</v>
      </c>
      <c r="E16" s="11">
        <v>0</v>
      </c>
      <c r="F16" s="11">
        <v>94</v>
      </c>
      <c r="G16" s="11">
        <v>108</v>
      </c>
      <c r="H16" s="11">
        <v>20</v>
      </c>
      <c r="I16" s="11">
        <f t="shared" si="15"/>
        <v>11404.029999999999</v>
      </c>
      <c r="J16" s="11">
        <v>2173.33</v>
      </c>
      <c r="K16" s="11">
        <v>0</v>
      </c>
      <c r="L16" s="11">
        <f t="shared" si="22"/>
        <v>9145.7000000000007</v>
      </c>
      <c r="M16" s="11">
        <f>3099.15+5058.31+502.26</f>
        <v>8659.7200000000012</v>
      </c>
      <c r="N16" s="11">
        <v>0</v>
      </c>
      <c r="O16" s="11">
        <v>0</v>
      </c>
      <c r="P16" s="11">
        <v>142.77000000000001</v>
      </c>
      <c r="Q16" s="11">
        <v>217.73</v>
      </c>
      <c r="R16" s="11">
        <v>125.48</v>
      </c>
      <c r="S16" s="11">
        <v>88.75</v>
      </c>
      <c r="T16" s="33">
        <v>50</v>
      </c>
      <c r="U16" s="33">
        <v>69</v>
      </c>
      <c r="V16" s="11">
        <v>1945</v>
      </c>
      <c r="W16" s="11">
        <v>450</v>
      </c>
      <c r="X16" s="31">
        <f t="shared" si="17"/>
        <v>-20.579999999999927</v>
      </c>
      <c r="Y16" s="32">
        <f t="shared" si="18"/>
        <v>0</v>
      </c>
      <c r="Z16" s="32">
        <f t="shared" si="23"/>
        <v>43</v>
      </c>
      <c r="AA16" s="32">
        <v>65</v>
      </c>
      <c r="AB16" s="33">
        <f t="shared" si="24"/>
        <v>0</v>
      </c>
      <c r="AC16" s="33">
        <v>20</v>
      </c>
      <c r="AD16" s="33"/>
      <c r="AE16" s="33">
        <f t="shared" si="21"/>
        <v>-20</v>
      </c>
    </row>
    <row r="17" spans="1:32" ht="37.5" customHeight="1">
      <c r="A17" s="65" t="s">
        <v>27</v>
      </c>
      <c r="B17" s="66"/>
      <c r="C17" s="27">
        <f>SUM(C10:C16)</f>
        <v>66555.849999999991</v>
      </c>
      <c r="D17" s="27">
        <f t="shared" ref="D17:AE17" si="25">SUM(D10:D16)</f>
        <v>27244.53</v>
      </c>
      <c r="E17" s="27">
        <f t="shared" si="25"/>
        <v>141</v>
      </c>
      <c r="F17" s="27">
        <f t="shared" si="25"/>
        <v>697</v>
      </c>
      <c r="G17" s="27">
        <f t="shared" si="25"/>
        <v>1388</v>
      </c>
      <c r="H17" s="27">
        <f t="shared" si="25"/>
        <v>392.78</v>
      </c>
      <c r="I17" s="27">
        <f t="shared" si="25"/>
        <v>96684.66</v>
      </c>
      <c r="J17" s="27">
        <f t="shared" si="25"/>
        <v>17825.099999999999</v>
      </c>
      <c r="K17" s="27">
        <f t="shared" si="25"/>
        <v>0</v>
      </c>
      <c r="L17" s="27">
        <f t="shared" si="25"/>
        <v>77544.37000000001</v>
      </c>
      <c r="M17" s="27">
        <f t="shared" si="25"/>
        <v>71819.51999999999</v>
      </c>
      <c r="N17" s="27">
        <f t="shared" si="25"/>
        <v>116.13000000000001</v>
      </c>
      <c r="O17" s="27">
        <f t="shared" si="25"/>
        <v>45.93</v>
      </c>
      <c r="P17" s="27">
        <f t="shared" si="25"/>
        <v>1185.73</v>
      </c>
      <c r="Q17" s="27">
        <f t="shared" si="25"/>
        <v>2946.03</v>
      </c>
      <c r="R17" s="27">
        <f t="shared" si="25"/>
        <v>1431.03</v>
      </c>
      <c r="S17" s="27">
        <f t="shared" si="25"/>
        <v>1172.75</v>
      </c>
      <c r="T17" s="27">
        <f t="shared" si="25"/>
        <v>265.5</v>
      </c>
      <c r="U17" s="27">
        <f t="shared" si="25"/>
        <v>360</v>
      </c>
      <c r="V17" s="27">
        <f t="shared" si="25"/>
        <v>16034.05</v>
      </c>
      <c r="W17" s="27">
        <f t="shared" si="25"/>
        <v>3150</v>
      </c>
      <c r="X17" s="27">
        <f t="shared" si="25"/>
        <v>7.1999999999997044</v>
      </c>
      <c r="Y17" s="27">
        <f t="shared" si="25"/>
        <v>-288.90999999999622</v>
      </c>
      <c r="Z17" s="27">
        <f t="shared" si="25"/>
        <v>597</v>
      </c>
      <c r="AA17" s="27">
        <f t="shared" si="25"/>
        <v>791</v>
      </c>
      <c r="AB17" s="27">
        <f t="shared" si="25"/>
        <v>157.5</v>
      </c>
      <c r="AC17" s="27">
        <f t="shared" si="25"/>
        <v>235.28</v>
      </c>
      <c r="AD17" s="27">
        <f t="shared" si="25"/>
        <v>0</v>
      </c>
      <c r="AE17" s="27">
        <f t="shared" si="25"/>
        <v>-392.78</v>
      </c>
    </row>
    <row r="18" spans="1:32" s="35" customFormat="1" ht="18.75">
      <c r="A18" s="9">
        <v>44907</v>
      </c>
      <c r="B18" s="10" t="s">
        <v>23</v>
      </c>
      <c r="C18" s="11">
        <v>11043.9</v>
      </c>
      <c r="D18" s="11">
        <v>3666.12</v>
      </c>
      <c r="E18" s="11">
        <v>0</v>
      </c>
      <c r="F18" s="11">
        <v>25</v>
      </c>
      <c r="G18" s="11">
        <v>145</v>
      </c>
      <c r="H18" s="11">
        <v>20</v>
      </c>
      <c r="I18" s="11">
        <f t="shared" ref="I18:I24" si="26">SUM(C18:H18,T18)</f>
        <v>14900.02</v>
      </c>
      <c r="J18" s="11">
        <v>2770.61</v>
      </c>
      <c r="K18" s="11">
        <v>0</v>
      </c>
      <c r="L18" s="11">
        <f t="shared" ref="L18:L24" si="27">SUM(M18:R18)</f>
        <v>12054.41</v>
      </c>
      <c r="M18" s="11">
        <f>2499.59+7156.57+878.59+332.19</f>
        <v>10866.94</v>
      </c>
      <c r="N18" s="11">
        <v>113.9</v>
      </c>
      <c r="O18" s="11">
        <v>0</v>
      </c>
      <c r="P18" s="11">
        <v>223.7</v>
      </c>
      <c r="Q18" s="11">
        <v>327.48</v>
      </c>
      <c r="R18" s="11">
        <v>522.39</v>
      </c>
      <c r="S18" s="11">
        <v>110.6</v>
      </c>
      <c r="T18" s="33">
        <v>0</v>
      </c>
      <c r="U18" s="33">
        <v>24</v>
      </c>
      <c r="V18" s="11">
        <v>2644.8</v>
      </c>
      <c r="W18" s="11">
        <v>450</v>
      </c>
      <c r="X18" s="31">
        <f t="shared" ref="X18:X24" si="28">SUM(S18,T18,U18,V18)-J18</f>
        <v>8.7899999999999636</v>
      </c>
      <c r="Y18" s="32">
        <f t="shared" si="18"/>
        <v>0</v>
      </c>
      <c r="Z18" s="32">
        <f>SUM(G18-AA18)</f>
        <v>70</v>
      </c>
      <c r="AA18" s="33">
        <v>75</v>
      </c>
      <c r="AB18" s="33">
        <f>SUM(H18-AC18)</f>
        <v>20</v>
      </c>
      <c r="AC18" s="33">
        <v>0</v>
      </c>
      <c r="AD18" s="33"/>
      <c r="AE18" s="33">
        <f t="shared" ref="AE18:AE24" si="29">SUM(AD18-H18)</f>
        <v>-20</v>
      </c>
    </row>
    <row r="19" spans="1:32" s="35" customFormat="1" ht="18.75">
      <c r="A19" s="9">
        <v>44908</v>
      </c>
      <c r="B19" s="10" t="s">
        <v>24</v>
      </c>
      <c r="C19" s="11">
        <v>10986.57</v>
      </c>
      <c r="D19" s="11">
        <v>3503.79</v>
      </c>
      <c r="E19" s="11">
        <v>17</v>
      </c>
      <c r="F19" s="11">
        <v>113</v>
      </c>
      <c r="G19" s="11">
        <v>220</v>
      </c>
      <c r="H19" s="11">
        <v>3</v>
      </c>
      <c r="I19" s="11">
        <f t="shared" si="26"/>
        <v>14874.36</v>
      </c>
      <c r="J19" s="11">
        <f>2766.27-30</f>
        <v>2736.27</v>
      </c>
      <c r="K19" s="11">
        <v>0</v>
      </c>
      <c r="L19" s="11">
        <f t="shared" si="27"/>
        <v>12035.090000000002</v>
      </c>
      <c r="M19" s="11">
        <f>3305.81+6921.69+780.36</f>
        <v>11007.86</v>
      </c>
      <c r="N19" s="11">
        <v>0</v>
      </c>
      <c r="O19" s="11">
        <v>0</v>
      </c>
      <c r="P19" s="11">
        <v>369.1</v>
      </c>
      <c r="Q19" s="11">
        <v>421.26</v>
      </c>
      <c r="R19" s="11">
        <v>236.87</v>
      </c>
      <c r="S19" s="11">
        <v>140</v>
      </c>
      <c r="T19" s="33">
        <v>31</v>
      </c>
      <c r="U19" s="33">
        <v>25</v>
      </c>
      <c r="V19" s="11">
        <v>2552</v>
      </c>
      <c r="W19" s="11">
        <v>450</v>
      </c>
      <c r="X19" s="31">
        <f t="shared" si="28"/>
        <v>11.730000000000018</v>
      </c>
      <c r="Y19" s="32">
        <f t="shared" si="18"/>
        <v>0</v>
      </c>
      <c r="Z19" s="32">
        <f t="shared" ref="Z19:Z34" si="30">SUM(G19-AA19)</f>
        <v>120</v>
      </c>
      <c r="AA19" s="33">
        <v>100</v>
      </c>
      <c r="AB19" s="33">
        <f t="shared" ref="AB19:AB24" si="31">SUM(H19-AC19)</f>
        <v>0</v>
      </c>
      <c r="AC19" s="33">
        <v>3</v>
      </c>
      <c r="AD19" s="33"/>
      <c r="AE19" s="33">
        <f t="shared" si="29"/>
        <v>-3</v>
      </c>
    </row>
    <row r="20" spans="1:32" s="35" customFormat="1" ht="18.75">
      <c r="A20" s="9">
        <v>44909</v>
      </c>
      <c r="B20" s="10" t="s">
        <v>25</v>
      </c>
      <c r="C20" s="11">
        <v>11899.7</v>
      </c>
      <c r="D20" s="11">
        <v>3429.4</v>
      </c>
      <c r="E20" s="11">
        <v>37.5</v>
      </c>
      <c r="F20" s="11">
        <v>46</v>
      </c>
      <c r="G20" s="11">
        <v>51</v>
      </c>
      <c r="H20" s="11">
        <v>61.45</v>
      </c>
      <c r="I20" s="11">
        <f t="shared" si="26"/>
        <v>15575.050000000001</v>
      </c>
      <c r="J20" s="11">
        <v>2831.9</v>
      </c>
      <c r="K20" s="11">
        <v>0</v>
      </c>
      <c r="L20" s="11">
        <f t="shared" si="27"/>
        <v>12601.640000000003</v>
      </c>
      <c r="M20" s="11">
        <f>3320.23+6825.31+938.54</f>
        <v>11084.080000000002</v>
      </c>
      <c r="N20" s="11">
        <v>78.040000000000006</v>
      </c>
      <c r="O20" s="11">
        <v>0</v>
      </c>
      <c r="P20" s="11">
        <v>268.06</v>
      </c>
      <c r="Q20" s="11">
        <v>287.33999999999997</v>
      </c>
      <c r="R20" s="11">
        <v>884.12</v>
      </c>
      <c r="S20" s="11">
        <v>847.67</v>
      </c>
      <c r="T20" s="33">
        <v>50</v>
      </c>
      <c r="U20" s="33">
        <v>17</v>
      </c>
      <c r="V20" s="11">
        <v>1895</v>
      </c>
      <c r="W20" s="11">
        <v>450</v>
      </c>
      <c r="X20" s="31">
        <f t="shared" si="28"/>
        <v>-22.230000000000018</v>
      </c>
      <c r="Y20" s="32">
        <f t="shared" si="18"/>
        <v>-70.059999999997672</v>
      </c>
      <c r="Z20" s="32">
        <f t="shared" si="30"/>
        <v>41</v>
      </c>
      <c r="AA20" s="33">
        <v>10</v>
      </c>
      <c r="AB20" s="33">
        <f t="shared" si="31"/>
        <v>0</v>
      </c>
      <c r="AC20" s="33">
        <v>61.45</v>
      </c>
      <c r="AD20" s="33"/>
      <c r="AE20" s="33">
        <v>4</v>
      </c>
    </row>
    <row r="21" spans="1:32" s="35" customFormat="1" ht="18.75">
      <c r="A21" s="9">
        <v>44910</v>
      </c>
      <c r="B21" s="10" t="s">
        <v>26</v>
      </c>
      <c r="C21" s="11">
        <v>10958.33</v>
      </c>
      <c r="D21" s="11">
        <v>3906.46</v>
      </c>
      <c r="E21" s="11">
        <v>9</v>
      </c>
      <c r="F21" s="11">
        <v>110</v>
      </c>
      <c r="G21" s="11">
        <v>242</v>
      </c>
      <c r="H21" s="11">
        <v>60</v>
      </c>
      <c r="I21" s="11">
        <f t="shared" si="26"/>
        <v>15292.800000000001</v>
      </c>
      <c r="J21" s="11">
        <v>2694.25</v>
      </c>
      <c r="K21" s="11">
        <v>0</v>
      </c>
      <c r="L21" s="11">
        <f t="shared" si="27"/>
        <v>12391.550000000001</v>
      </c>
      <c r="M21" s="11">
        <f>7383.4+862.58+3407.54</f>
        <v>11653.52</v>
      </c>
      <c r="N21" s="11">
        <v>0</v>
      </c>
      <c r="O21" s="11">
        <v>0</v>
      </c>
      <c r="P21" s="11">
        <v>204.17</v>
      </c>
      <c r="Q21" s="11">
        <v>473.85</v>
      </c>
      <c r="R21" s="11">
        <v>60.01</v>
      </c>
      <c r="S21" s="11">
        <v>440.63</v>
      </c>
      <c r="T21" s="33">
        <v>7.01</v>
      </c>
      <c r="U21" s="33">
        <v>129.1</v>
      </c>
      <c r="V21" s="11">
        <v>2125</v>
      </c>
      <c r="W21" s="11">
        <v>450</v>
      </c>
      <c r="X21" s="31">
        <f t="shared" si="28"/>
        <v>7.4899999999997817</v>
      </c>
      <c r="Y21" s="32">
        <f t="shared" si="18"/>
        <v>0</v>
      </c>
      <c r="Z21" s="32">
        <f t="shared" si="30"/>
        <v>95</v>
      </c>
      <c r="AA21" s="33">
        <v>147</v>
      </c>
      <c r="AB21" s="33">
        <f t="shared" si="31"/>
        <v>0</v>
      </c>
      <c r="AC21" s="33">
        <v>60</v>
      </c>
      <c r="AD21" s="33"/>
      <c r="AE21" s="33">
        <f t="shared" si="29"/>
        <v>-60</v>
      </c>
    </row>
    <row r="22" spans="1:32" s="35" customFormat="1" ht="18.75">
      <c r="A22" s="9">
        <v>44911</v>
      </c>
      <c r="B22" s="10" t="s">
        <v>20</v>
      </c>
      <c r="C22" s="11">
        <v>8355.4599999999991</v>
      </c>
      <c r="D22" s="11">
        <v>4398.55</v>
      </c>
      <c r="E22" s="11">
        <v>12.5</v>
      </c>
      <c r="F22" s="11">
        <v>149</v>
      </c>
      <c r="G22" s="11">
        <v>35</v>
      </c>
      <c r="H22" s="11">
        <v>178</v>
      </c>
      <c r="I22" s="11">
        <f t="shared" si="26"/>
        <v>13128.509999999998</v>
      </c>
      <c r="J22" s="43">
        <v>2458.35</v>
      </c>
      <c r="K22" s="43">
        <v>0</v>
      </c>
      <c r="L22" s="11">
        <f t="shared" si="27"/>
        <v>10660.16</v>
      </c>
      <c r="M22" s="11">
        <f>2723.35+1084.87+294.25+5852.55</f>
        <v>9955.02</v>
      </c>
      <c r="N22" s="11">
        <v>141.91</v>
      </c>
      <c r="O22" s="11">
        <v>0</v>
      </c>
      <c r="P22" s="11">
        <v>106.11</v>
      </c>
      <c r="Q22" s="11">
        <v>237.3</v>
      </c>
      <c r="R22" s="11">
        <v>219.82</v>
      </c>
      <c r="S22" s="11">
        <v>223.44</v>
      </c>
      <c r="T22" s="33">
        <v>0</v>
      </c>
      <c r="U22" s="33">
        <v>74</v>
      </c>
      <c r="V22" s="11">
        <f>1650+514.5</f>
        <v>2164.5</v>
      </c>
      <c r="W22" s="11">
        <v>450</v>
      </c>
      <c r="X22" s="31">
        <f t="shared" si="28"/>
        <v>3.5900000000001455</v>
      </c>
      <c r="Y22" s="32">
        <f t="shared" si="18"/>
        <v>0</v>
      </c>
      <c r="Z22" s="32">
        <f t="shared" si="30"/>
        <v>35</v>
      </c>
      <c r="AA22" s="33">
        <v>0</v>
      </c>
      <c r="AB22" s="33">
        <f t="shared" si="31"/>
        <v>168</v>
      </c>
      <c r="AC22" s="33">
        <v>10</v>
      </c>
      <c r="AD22" s="33"/>
      <c r="AE22" s="33">
        <f t="shared" si="29"/>
        <v>-178</v>
      </c>
    </row>
    <row r="23" spans="1:32" s="35" customFormat="1" ht="18.75">
      <c r="A23" s="9">
        <v>44912</v>
      </c>
      <c r="B23" s="10" t="s">
        <v>21</v>
      </c>
      <c r="C23" s="11">
        <v>4264.88</v>
      </c>
      <c r="D23" s="11">
        <v>4876.62</v>
      </c>
      <c r="E23" s="11">
        <v>26</v>
      </c>
      <c r="F23" s="11">
        <v>192</v>
      </c>
      <c r="G23" s="11">
        <v>210</v>
      </c>
      <c r="H23" s="11">
        <v>6.96</v>
      </c>
      <c r="I23" s="11">
        <f t="shared" si="26"/>
        <v>9576.4599999999991</v>
      </c>
      <c r="J23" s="11">
        <v>2371.7600000000002</v>
      </c>
      <c r="K23" s="11">
        <v>0</v>
      </c>
      <c r="L23" s="11">
        <f t="shared" si="27"/>
        <v>7174.6999999999989</v>
      </c>
      <c r="M23" s="11">
        <f>2065.43+4090.87+861.58</f>
        <v>7017.8799999999992</v>
      </c>
      <c r="N23" s="11">
        <v>1.58</v>
      </c>
      <c r="O23" s="11">
        <v>0</v>
      </c>
      <c r="P23" s="11">
        <v>155.24</v>
      </c>
      <c r="Q23" s="11">
        <v>0</v>
      </c>
      <c r="R23" s="11">
        <v>0</v>
      </c>
      <c r="S23" s="11">
        <v>0</v>
      </c>
      <c r="T23" s="33">
        <v>0</v>
      </c>
      <c r="U23" s="33">
        <v>71</v>
      </c>
      <c r="V23" s="11">
        <v>2302</v>
      </c>
      <c r="W23" s="11">
        <v>450</v>
      </c>
      <c r="X23" s="31">
        <f t="shared" si="28"/>
        <v>1.2399999999997817</v>
      </c>
      <c r="Y23" s="32">
        <f t="shared" si="18"/>
        <v>0</v>
      </c>
      <c r="Z23" s="32">
        <f t="shared" si="30"/>
        <v>180</v>
      </c>
      <c r="AA23" s="33">
        <v>30</v>
      </c>
      <c r="AB23" s="33">
        <f t="shared" si="31"/>
        <v>6.96</v>
      </c>
      <c r="AC23" s="33">
        <v>0</v>
      </c>
      <c r="AD23" s="33"/>
      <c r="AE23" s="33">
        <f t="shared" si="29"/>
        <v>-6.96</v>
      </c>
    </row>
    <row r="24" spans="1:32" s="35" customFormat="1" ht="18.75">
      <c r="A24" s="9">
        <v>44913</v>
      </c>
      <c r="B24" s="10" t="s">
        <v>22</v>
      </c>
      <c r="C24" s="11">
        <v>3366.09</v>
      </c>
      <c r="D24" s="11">
        <v>3530.05</v>
      </c>
      <c r="E24" s="11">
        <v>0</v>
      </c>
      <c r="F24" s="11">
        <v>83</v>
      </c>
      <c r="G24" s="11">
        <v>240</v>
      </c>
      <c r="H24" s="11">
        <v>0</v>
      </c>
      <c r="I24" s="11">
        <f t="shared" si="26"/>
        <v>7269.14</v>
      </c>
      <c r="J24" s="11">
        <v>1662.15</v>
      </c>
      <c r="K24" s="11">
        <v>1.9</v>
      </c>
      <c r="L24" s="11">
        <f t="shared" si="27"/>
        <v>5385.0900000000011</v>
      </c>
      <c r="M24" s="11">
        <f>3298.41+447.02+1522.42</f>
        <v>5267.85</v>
      </c>
      <c r="N24" s="11">
        <v>15.06</v>
      </c>
      <c r="O24" s="11">
        <v>0</v>
      </c>
      <c r="P24" s="11">
        <v>0</v>
      </c>
      <c r="Q24" s="11">
        <v>102.18</v>
      </c>
      <c r="R24" s="11">
        <v>0</v>
      </c>
      <c r="S24" s="11">
        <v>0</v>
      </c>
      <c r="T24" s="33">
        <v>50</v>
      </c>
      <c r="U24" s="33">
        <v>57</v>
      </c>
      <c r="V24" s="11">
        <v>1560</v>
      </c>
      <c r="W24" s="11">
        <v>450</v>
      </c>
      <c r="X24" s="31">
        <f t="shared" si="28"/>
        <v>4.8499999999999091</v>
      </c>
      <c r="Y24" s="32">
        <f t="shared" si="18"/>
        <v>0</v>
      </c>
      <c r="Z24" s="32">
        <f t="shared" si="30"/>
        <v>20</v>
      </c>
      <c r="AA24" s="33">
        <v>220</v>
      </c>
      <c r="AB24" s="33">
        <f t="shared" si="31"/>
        <v>0</v>
      </c>
      <c r="AC24" s="33">
        <v>0</v>
      </c>
      <c r="AD24" s="33"/>
      <c r="AE24" s="33">
        <f t="shared" si="29"/>
        <v>0</v>
      </c>
    </row>
    <row r="25" spans="1:32" ht="37.5" customHeight="1">
      <c r="A25" s="65" t="s">
        <v>27</v>
      </c>
      <c r="B25" s="66"/>
      <c r="C25" s="27">
        <f>SUM(C18:C24)</f>
        <v>60874.929999999993</v>
      </c>
      <c r="D25" s="27">
        <f t="shared" ref="D25:AE25" si="32">SUM(D18:D24)</f>
        <v>27310.989999999998</v>
      </c>
      <c r="E25" s="27">
        <f t="shared" si="32"/>
        <v>102</v>
      </c>
      <c r="F25" s="27">
        <f t="shared" si="32"/>
        <v>718</v>
      </c>
      <c r="G25" s="27">
        <f t="shared" si="32"/>
        <v>1143</v>
      </c>
      <c r="H25" s="27">
        <f t="shared" si="32"/>
        <v>329.40999999999997</v>
      </c>
      <c r="I25" s="27">
        <f t="shared" si="32"/>
        <v>90616.340000000011</v>
      </c>
      <c r="J25" s="27">
        <f t="shared" si="32"/>
        <v>17525.29</v>
      </c>
      <c r="K25" s="27">
        <f t="shared" si="32"/>
        <v>1.9</v>
      </c>
      <c r="L25" s="27">
        <f t="shared" si="32"/>
        <v>72302.64</v>
      </c>
      <c r="M25" s="27">
        <f t="shared" si="32"/>
        <v>66853.150000000009</v>
      </c>
      <c r="N25" s="27">
        <f t="shared" si="32"/>
        <v>350.49</v>
      </c>
      <c r="O25" s="27">
        <f t="shared" si="32"/>
        <v>0</v>
      </c>
      <c r="P25" s="27">
        <f t="shared" si="32"/>
        <v>1326.3799999999999</v>
      </c>
      <c r="Q25" s="27">
        <f t="shared" si="32"/>
        <v>1849.4099999999999</v>
      </c>
      <c r="R25" s="27">
        <f t="shared" si="32"/>
        <v>1923.21</v>
      </c>
      <c r="S25" s="27">
        <f t="shared" si="32"/>
        <v>1762.3400000000001</v>
      </c>
      <c r="T25" s="27">
        <f t="shared" si="32"/>
        <v>138.01</v>
      </c>
      <c r="U25" s="27">
        <f t="shared" si="32"/>
        <v>397.1</v>
      </c>
      <c r="V25" s="27">
        <f t="shared" si="32"/>
        <v>15243.3</v>
      </c>
      <c r="W25" s="27">
        <f t="shared" si="32"/>
        <v>3150</v>
      </c>
      <c r="X25" s="27">
        <f t="shared" si="32"/>
        <v>15.459999999999582</v>
      </c>
      <c r="Y25" s="27">
        <f t="shared" si="32"/>
        <v>-70.059999999997672</v>
      </c>
      <c r="Z25" s="27">
        <f t="shared" si="32"/>
        <v>561</v>
      </c>
      <c r="AA25" s="27">
        <f t="shared" si="32"/>
        <v>582</v>
      </c>
      <c r="AB25" s="27">
        <f t="shared" si="32"/>
        <v>194.96</v>
      </c>
      <c r="AC25" s="27">
        <f t="shared" si="32"/>
        <v>134.44999999999999</v>
      </c>
      <c r="AD25" s="27">
        <f t="shared" si="32"/>
        <v>0</v>
      </c>
      <c r="AE25" s="27">
        <f t="shared" si="32"/>
        <v>-263.95999999999998</v>
      </c>
    </row>
    <row r="26" spans="1:32" s="35" customFormat="1" ht="18.75">
      <c r="A26" s="9">
        <v>44914</v>
      </c>
      <c r="B26" s="10" t="s">
        <v>23</v>
      </c>
      <c r="C26" s="11">
        <v>3970.02</v>
      </c>
      <c r="D26" s="11">
        <v>3245.73</v>
      </c>
      <c r="E26" s="11">
        <v>5</v>
      </c>
      <c r="F26" s="11">
        <v>43</v>
      </c>
      <c r="G26" s="11">
        <v>0</v>
      </c>
      <c r="H26" s="11">
        <v>80</v>
      </c>
      <c r="I26" s="11">
        <f t="shared" ref="I26:I32" si="33">SUM(C26:H26,T26)</f>
        <v>7413.75</v>
      </c>
      <c r="J26" s="11">
        <v>1630.89</v>
      </c>
      <c r="K26" s="11">
        <v>0</v>
      </c>
      <c r="L26" s="11">
        <f t="shared" ref="L26:L32" si="34">SUM(M26:R26)</f>
        <v>5727.86</v>
      </c>
      <c r="M26" s="11">
        <f>1857.32+3282.36+371.9</f>
        <v>5511.58</v>
      </c>
      <c r="N26" s="11">
        <v>32.020000000000003</v>
      </c>
      <c r="O26" s="11">
        <v>0</v>
      </c>
      <c r="P26" s="11">
        <v>73.959999999999994</v>
      </c>
      <c r="Q26" s="11">
        <v>58.32</v>
      </c>
      <c r="R26" s="11">
        <v>51.98</v>
      </c>
      <c r="S26" s="11">
        <v>161</v>
      </c>
      <c r="T26" s="33">
        <v>70</v>
      </c>
      <c r="U26" s="33">
        <v>44.8</v>
      </c>
      <c r="V26" s="11">
        <v>1355</v>
      </c>
      <c r="W26" s="11">
        <v>450</v>
      </c>
      <c r="X26" s="31">
        <f t="shared" ref="X26:X32" si="35">SUM(S26,T26,U26,V26)-J26</f>
        <v>-9.0000000000145519E-2</v>
      </c>
      <c r="Y26" s="32">
        <f t="shared" si="18"/>
        <v>0</v>
      </c>
      <c r="Z26" s="32">
        <f t="shared" si="30"/>
        <v>0</v>
      </c>
      <c r="AA26" s="32">
        <v>0</v>
      </c>
      <c r="AB26" s="33">
        <f t="shared" ref="AB26:AB32" si="36">SUM(H26-AC26)</f>
        <v>25</v>
      </c>
      <c r="AC26" s="33">
        <v>55</v>
      </c>
      <c r="AD26" s="33">
        <v>0</v>
      </c>
      <c r="AE26" s="33">
        <f t="shared" ref="AE26:AE32" si="37">SUM(AD26-H26)</f>
        <v>-80</v>
      </c>
    </row>
    <row r="27" spans="1:32" s="35" customFormat="1" ht="18.75">
      <c r="A27" s="9">
        <v>44915</v>
      </c>
      <c r="B27" s="10" t="s">
        <v>24</v>
      </c>
      <c r="C27" s="11">
        <v>6702.36</v>
      </c>
      <c r="D27" s="11">
        <v>3665.52</v>
      </c>
      <c r="E27" s="11">
        <v>24</v>
      </c>
      <c r="F27" s="11">
        <v>31</v>
      </c>
      <c r="G27" s="11">
        <v>92.5</v>
      </c>
      <c r="H27" s="11">
        <v>70</v>
      </c>
      <c r="I27" s="11">
        <f t="shared" si="33"/>
        <v>10625.38</v>
      </c>
      <c r="J27" s="11">
        <v>2114.44</v>
      </c>
      <c r="K27" s="11">
        <v>0</v>
      </c>
      <c r="L27" s="11">
        <f t="shared" si="34"/>
        <v>8508.44</v>
      </c>
      <c r="M27" s="11">
        <f>4343.46+646.23+2484.38+533.12</f>
        <v>8007.1900000000005</v>
      </c>
      <c r="N27" s="11">
        <v>0</v>
      </c>
      <c r="O27" s="11">
        <v>0</v>
      </c>
      <c r="P27" s="11">
        <v>12.14</v>
      </c>
      <c r="Q27" s="11">
        <v>98.67</v>
      </c>
      <c r="R27" s="11">
        <v>390.44</v>
      </c>
      <c r="S27" s="11">
        <v>0</v>
      </c>
      <c r="T27" s="33">
        <v>40</v>
      </c>
      <c r="U27" s="33">
        <v>39</v>
      </c>
      <c r="V27" s="11">
        <v>2034.58</v>
      </c>
      <c r="W27" s="11">
        <v>450</v>
      </c>
      <c r="X27" s="31">
        <f t="shared" si="35"/>
        <v>-0.86000000000012733</v>
      </c>
      <c r="Y27" s="32">
        <f t="shared" si="18"/>
        <v>0</v>
      </c>
      <c r="Z27" s="32">
        <f t="shared" si="30"/>
        <v>90</v>
      </c>
      <c r="AA27" s="32">
        <v>2.5</v>
      </c>
      <c r="AB27" s="33">
        <f t="shared" si="36"/>
        <v>70</v>
      </c>
      <c r="AC27" s="33">
        <v>0</v>
      </c>
      <c r="AD27" s="33">
        <v>670</v>
      </c>
      <c r="AE27" s="33">
        <f t="shared" si="37"/>
        <v>600</v>
      </c>
    </row>
    <row r="28" spans="1:32" s="35" customFormat="1" ht="18.75">
      <c r="A28" s="9">
        <v>44916</v>
      </c>
      <c r="B28" s="10" t="s">
        <v>25</v>
      </c>
      <c r="C28" s="11">
        <v>13216.89</v>
      </c>
      <c r="D28" s="11">
        <v>3879.03</v>
      </c>
      <c r="E28" s="11">
        <v>36.5</v>
      </c>
      <c r="F28" s="11">
        <v>86</v>
      </c>
      <c r="G28" s="11">
        <v>65</v>
      </c>
      <c r="H28" s="11">
        <v>41.5</v>
      </c>
      <c r="I28" s="11">
        <f t="shared" si="33"/>
        <v>17424.929999999997</v>
      </c>
      <c r="J28" s="11">
        <v>3443.37</v>
      </c>
      <c r="K28" s="11">
        <v>0</v>
      </c>
      <c r="L28" s="11">
        <f t="shared" si="34"/>
        <v>13905.06</v>
      </c>
      <c r="M28" s="11">
        <f>7776.28+1645.13+3708.52</f>
        <v>13129.93</v>
      </c>
      <c r="N28" s="11">
        <v>0</v>
      </c>
      <c r="O28" s="11">
        <v>0</v>
      </c>
      <c r="P28" s="11">
        <v>273.81</v>
      </c>
      <c r="Q28" s="11">
        <v>273.81</v>
      </c>
      <c r="R28" s="11">
        <v>227.51</v>
      </c>
      <c r="S28" s="11">
        <v>0</v>
      </c>
      <c r="T28" s="33">
        <v>100.01</v>
      </c>
      <c r="U28" s="33">
        <v>45</v>
      </c>
      <c r="V28" s="11">
        <v>3300</v>
      </c>
      <c r="W28" s="11">
        <v>450</v>
      </c>
      <c r="X28" s="31">
        <f t="shared" si="35"/>
        <v>1.6400000000003274</v>
      </c>
      <c r="Y28" s="32">
        <f t="shared" si="18"/>
        <v>0</v>
      </c>
      <c r="Z28" s="32">
        <f t="shared" si="30"/>
        <v>15</v>
      </c>
      <c r="AA28" s="32">
        <v>50</v>
      </c>
      <c r="AB28" s="33">
        <f t="shared" si="36"/>
        <v>15</v>
      </c>
      <c r="AC28" s="33">
        <v>26.5</v>
      </c>
      <c r="AD28" s="33">
        <v>970</v>
      </c>
      <c r="AE28" s="33">
        <f t="shared" si="37"/>
        <v>928.5</v>
      </c>
    </row>
    <row r="29" spans="1:32" s="35" customFormat="1" ht="18.75">
      <c r="A29" s="9">
        <v>44917</v>
      </c>
      <c r="B29" s="10" t="s">
        <v>26</v>
      </c>
      <c r="C29" s="11">
        <v>13842.02</v>
      </c>
      <c r="D29" s="11">
        <v>4369.7299999999996</v>
      </c>
      <c r="E29" s="11">
        <v>14.5</v>
      </c>
      <c r="F29" s="11">
        <v>63</v>
      </c>
      <c r="G29" s="11">
        <v>30</v>
      </c>
      <c r="H29" s="11">
        <v>68.66</v>
      </c>
      <c r="I29" s="11">
        <f t="shared" si="33"/>
        <v>18417.919999999998</v>
      </c>
      <c r="J29" s="11">
        <v>2973.46</v>
      </c>
      <c r="K29" s="11">
        <v>0</v>
      </c>
      <c r="L29" s="11">
        <f t="shared" si="34"/>
        <v>15437.46</v>
      </c>
      <c r="M29" s="11">
        <f>4556.59+7832.92+1179.87+147.59</f>
        <v>13716.970000000001</v>
      </c>
      <c r="N29" s="11">
        <v>135.63</v>
      </c>
      <c r="O29" s="11">
        <v>0</v>
      </c>
      <c r="P29" s="11">
        <v>440.47</v>
      </c>
      <c r="Q29" s="11">
        <v>539.29999999999995</v>
      </c>
      <c r="R29" s="11">
        <v>605.09</v>
      </c>
      <c r="S29" s="11">
        <v>313.37</v>
      </c>
      <c r="T29" s="33">
        <v>30.01</v>
      </c>
      <c r="U29" s="33">
        <v>7</v>
      </c>
      <c r="V29" s="11">
        <v>2620.4</v>
      </c>
      <c r="W29" s="11">
        <v>450</v>
      </c>
      <c r="X29" s="31">
        <f t="shared" si="35"/>
        <v>-2.6799999999998363</v>
      </c>
      <c r="Y29" s="32">
        <f t="shared" si="18"/>
        <v>3</v>
      </c>
      <c r="Z29" s="32">
        <f t="shared" si="30"/>
        <v>30</v>
      </c>
      <c r="AA29" s="32">
        <v>0</v>
      </c>
      <c r="AB29" s="33">
        <f t="shared" si="36"/>
        <v>58.66</v>
      </c>
      <c r="AC29" s="33">
        <v>10</v>
      </c>
      <c r="AD29" s="33">
        <v>720</v>
      </c>
      <c r="AE29" s="33">
        <f t="shared" si="37"/>
        <v>651.34</v>
      </c>
      <c r="AF29" s="35" t="s">
        <v>104</v>
      </c>
    </row>
    <row r="30" spans="1:32" s="35" customFormat="1" ht="18.75">
      <c r="A30" s="9">
        <v>44918</v>
      </c>
      <c r="B30" s="10" t="s">
        <v>20</v>
      </c>
      <c r="C30" s="11">
        <v>15687.38</v>
      </c>
      <c r="D30" s="11">
        <v>6023.66</v>
      </c>
      <c r="E30" s="11">
        <v>19</v>
      </c>
      <c r="F30" s="11">
        <v>115</v>
      </c>
      <c r="G30" s="11">
        <v>225</v>
      </c>
      <c r="H30" s="11">
        <v>100</v>
      </c>
      <c r="I30" s="11">
        <f t="shared" si="33"/>
        <v>22290.030000000002</v>
      </c>
      <c r="J30" s="11">
        <v>4066.47</v>
      </c>
      <c r="K30" s="11">
        <v>0</v>
      </c>
      <c r="L30" s="11">
        <f t="shared" si="34"/>
        <v>18138.559999999998</v>
      </c>
      <c r="M30" s="11">
        <f>1333.83+832.65+9264.64+5696.02</f>
        <v>17127.14</v>
      </c>
      <c r="N30" s="11">
        <v>102.26</v>
      </c>
      <c r="O30" s="11">
        <v>0</v>
      </c>
      <c r="P30" s="11">
        <v>436.37</v>
      </c>
      <c r="Q30" s="11">
        <v>255.55</v>
      </c>
      <c r="R30" s="11">
        <v>217.24</v>
      </c>
      <c r="S30" s="11">
        <v>0</v>
      </c>
      <c r="T30" s="33">
        <v>119.99</v>
      </c>
      <c r="U30" s="33">
        <v>19</v>
      </c>
      <c r="V30" s="11">
        <v>3932.95</v>
      </c>
      <c r="W30" s="11">
        <v>450</v>
      </c>
      <c r="X30" s="31">
        <f t="shared" si="35"/>
        <v>5.4699999999997999</v>
      </c>
      <c r="Y30" s="32">
        <f t="shared" si="18"/>
        <v>0</v>
      </c>
      <c r="Z30" s="32">
        <f t="shared" si="30"/>
        <v>200</v>
      </c>
      <c r="AA30" s="32">
        <v>25</v>
      </c>
      <c r="AB30" s="33">
        <f t="shared" si="36"/>
        <v>40</v>
      </c>
      <c r="AC30" s="33">
        <v>60</v>
      </c>
      <c r="AD30" s="33">
        <v>2070</v>
      </c>
      <c r="AE30" s="33">
        <f t="shared" si="37"/>
        <v>1970</v>
      </c>
    </row>
    <row r="31" spans="1:32" s="35" customFormat="1" ht="18.75">
      <c r="A31" s="9">
        <v>44919</v>
      </c>
      <c r="B31" s="10" t="s">
        <v>21</v>
      </c>
      <c r="C31" s="11">
        <v>11059.34</v>
      </c>
      <c r="D31" s="11">
        <v>6783.42</v>
      </c>
      <c r="E31" s="11">
        <v>24</v>
      </c>
      <c r="F31" s="11">
        <v>199</v>
      </c>
      <c r="G31" s="11">
        <v>75</v>
      </c>
      <c r="H31" s="11">
        <v>60</v>
      </c>
      <c r="I31" s="11">
        <f t="shared" si="33"/>
        <v>18287.750000000004</v>
      </c>
      <c r="J31" s="11">
        <f>3557.88-60</f>
        <v>3497.88</v>
      </c>
      <c r="K31" s="11">
        <v>0</v>
      </c>
      <c r="L31" s="11">
        <f t="shared" si="34"/>
        <v>14703.95</v>
      </c>
      <c r="M31" s="11">
        <f>4011.15+7399.07+723.71+1814.44</f>
        <v>13948.37</v>
      </c>
      <c r="N31" s="11">
        <v>0</v>
      </c>
      <c r="O31" s="11">
        <v>0</v>
      </c>
      <c r="P31" s="11">
        <v>95.42</v>
      </c>
      <c r="Q31" s="11">
        <v>554.19000000000005</v>
      </c>
      <c r="R31" s="11">
        <v>105.97</v>
      </c>
      <c r="S31" s="11">
        <v>0</v>
      </c>
      <c r="T31" s="33">
        <v>86.99</v>
      </c>
      <c r="U31" s="33">
        <v>48</v>
      </c>
      <c r="V31" s="11">
        <v>3312.1</v>
      </c>
      <c r="W31" s="11">
        <v>450</v>
      </c>
      <c r="X31" s="31">
        <f t="shared" si="35"/>
        <v>-50.789999999999964</v>
      </c>
      <c r="Y31" s="32">
        <f t="shared" si="18"/>
        <v>9.0799999999981083</v>
      </c>
      <c r="Z31" s="32">
        <f t="shared" si="30"/>
        <v>0</v>
      </c>
      <c r="AA31" s="32">
        <v>75</v>
      </c>
      <c r="AB31" s="33">
        <f t="shared" si="36"/>
        <v>40</v>
      </c>
      <c r="AC31" s="33">
        <v>20</v>
      </c>
      <c r="AD31" s="33">
        <v>0</v>
      </c>
      <c r="AE31" s="33">
        <f t="shared" si="37"/>
        <v>-60</v>
      </c>
    </row>
    <row r="32" spans="1:32" s="35" customFormat="1" ht="18.75">
      <c r="A32" s="9">
        <v>44920</v>
      </c>
      <c r="B32" s="10" t="s">
        <v>22</v>
      </c>
      <c r="C32" s="11">
        <v>1513.63</v>
      </c>
      <c r="D32" s="11">
        <v>6409.33</v>
      </c>
      <c r="E32" s="11">
        <v>0</v>
      </c>
      <c r="F32" s="11">
        <v>214</v>
      </c>
      <c r="G32" s="11">
        <v>25</v>
      </c>
      <c r="H32" s="11">
        <v>20</v>
      </c>
      <c r="I32" s="11">
        <f t="shared" si="33"/>
        <v>8181.96</v>
      </c>
      <c r="J32" s="11">
        <v>2955.83</v>
      </c>
      <c r="K32" s="11">
        <v>0</v>
      </c>
      <c r="L32" s="11">
        <f t="shared" si="34"/>
        <v>5216.13</v>
      </c>
      <c r="M32" s="11">
        <v>5216.13</v>
      </c>
      <c r="N32" s="11">
        <v>0</v>
      </c>
      <c r="O32" s="11">
        <v>0</v>
      </c>
      <c r="P32" s="11">
        <v>0</v>
      </c>
      <c r="Q32" s="11">
        <v>0</v>
      </c>
      <c r="R32" s="11">
        <v>0</v>
      </c>
      <c r="S32" s="11">
        <v>0</v>
      </c>
      <c r="T32" s="33">
        <v>0</v>
      </c>
      <c r="U32" s="33">
        <v>51</v>
      </c>
      <c r="V32" s="11">
        <v>2911</v>
      </c>
      <c r="W32" s="11">
        <v>450</v>
      </c>
      <c r="X32" s="31">
        <f t="shared" si="35"/>
        <v>6.1700000000000728</v>
      </c>
      <c r="Y32" s="32">
        <f t="shared" si="18"/>
        <v>0</v>
      </c>
      <c r="Z32" s="32">
        <f t="shared" si="30"/>
        <v>25</v>
      </c>
      <c r="AA32" s="32">
        <v>0</v>
      </c>
      <c r="AB32" s="33">
        <f t="shared" si="36"/>
        <v>10</v>
      </c>
      <c r="AC32" s="33">
        <v>10</v>
      </c>
      <c r="AD32" s="33">
        <v>1240</v>
      </c>
      <c r="AE32" s="33">
        <f t="shared" si="37"/>
        <v>1220</v>
      </c>
    </row>
    <row r="33" spans="1:34" ht="37.5" customHeight="1">
      <c r="A33" s="65" t="s">
        <v>27</v>
      </c>
      <c r="B33" s="66"/>
      <c r="C33" s="27">
        <f>SUM(C26:C32)</f>
        <v>65991.64</v>
      </c>
      <c r="D33" s="27">
        <f t="shared" ref="D33:AE33" si="38">SUM(D26:D32)</f>
        <v>34376.42</v>
      </c>
      <c r="E33" s="27">
        <f t="shared" si="38"/>
        <v>123</v>
      </c>
      <c r="F33" s="27">
        <f t="shared" si="38"/>
        <v>751</v>
      </c>
      <c r="G33" s="27">
        <f t="shared" si="38"/>
        <v>512.5</v>
      </c>
      <c r="H33" s="27">
        <f t="shared" si="38"/>
        <v>440.15999999999997</v>
      </c>
      <c r="I33" s="27">
        <f t="shared" si="38"/>
        <v>102641.72</v>
      </c>
      <c r="J33" s="27">
        <f t="shared" si="38"/>
        <v>20682.339999999997</v>
      </c>
      <c r="K33" s="27">
        <f t="shared" si="38"/>
        <v>0</v>
      </c>
      <c r="L33" s="27">
        <f t="shared" si="38"/>
        <v>81637.460000000006</v>
      </c>
      <c r="M33" s="27">
        <f t="shared" si="38"/>
        <v>76657.31</v>
      </c>
      <c r="N33" s="27">
        <f t="shared" si="38"/>
        <v>269.91000000000003</v>
      </c>
      <c r="O33" s="27">
        <f t="shared" si="38"/>
        <v>0</v>
      </c>
      <c r="P33" s="27">
        <f t="shared" si="38"/>
        <v>1332.17</v>
      </c>
      <c r="Q33" s="27">
        <f t="shared" si="38"/>
        <v>1779.84</v>
      </c>
      <c r="R33" s="27">
        <f t="shared" si="38"/>
        <v>1598.23</v>
      </c>
      <c r="S33" s="27">
        <f t="shared" si="38"/>
        <v>474.37</v>
      </c>
      <c r="T33" s="27">
        <f t="shared" si="38"/>
        <v>447</v>
      </c>
      <c r="U33" s="27">
        <f t="shared" si="38"/>
        <v>253.8</v>
      </c>
      <c r="V33" s="27">
        <f t="shared" si="38"/>
        <v>19466.03</v>
      </c>
      <c r="W33" s="27">
        <f t="shared" si="38"/>
        <v>3150</v>
      </c>
      <c r="X33" s="27">
        <f t="shared" si="38"/>
        <v>-41.139999999999873</v>
      </c>
      <c r="Y33" s="27">
        <f t="shared" si="38"/>
        <v>12.079999999998108</v>
      </c>
      <c r="Z33" s="27">
        <f t="shared" si="38"/>
        <v>360</v>
      </c>
      <c r="AA33" s="27">
        <f t="shared" si="38"/>
        <v>152.5</v>
      </c>
      <c r="AB33" s="27">
        <f t="shared" si="38"/>
        <v>258.65999999999997</v>
      </c>
      <c r="AC33" s="27">
        <f t="shared" si="38"/>
        <v>181.5</v>
      </c>
      <c r="AD33" s="27">
        <f t="shared" si="38"/>
        <v>5670</v>
      </c>
      <c r="AE33" s="27">
        <f t="shared" si="38"/>
        <v>5229.84</v>
      </c>
    </row>
    <row r="34" spans="1:34" ht="20.25" customHeight="1">
      <c r="A34" s="9">
        <v>44921</v>
      </c>
      <c r="B34" s="10" t="s">
        <v>23</v>
      </c>
      <c r="C34" s="11">
        <v>1290.25</v>
      </c>
      <c r="D34" s="11">
        <v>3944.2</v>
      </c>
      <c r="E34" s="11">
        <v>9</v>
      </c>
      <c r="F34" s="11">
        <v>97</v>
      </c>
      <c r="G34" s="11">
        <v>225</v>
      </c>
      <c r="H34" s="11">
        <v>60</v>
      </c>
      <c r="I34" s="11">
        <f t="shared" ref="I34" si="39">SUM(C34:H34,T34)</f>
        <v>5625.45</v>
      </c>
      <c r="J34" s="11">
        <v>1794.95</v>
      </c>
      <c r="K34" s="11">
        <v>0</v>
      </c>
      <c r="L34" s="11">
        <f>SUM(M34:R34)</f>
        <v>3595.5</v>
      </c>
      <c r="M34" s="11">
        <v>3595.5</v>
      </c>
      <c r="N34" s="11">
        <v>0</v>
      </c>
      <c r="O34" s="11">
        <v>0</v>
      </c>
      <c r="P34" s="11">
        <v>0</v>
      </c>
      <c r="Q34" s="11">
        <v>0</v>
      </c>
      <c r="R34" s="11">
        <v>0</v>
      </c>
      <c r="S34" s="11">
        <v>0</v>
      </c>
      <c r="T34" s="33">
        <v>0</v>
      </c>
      <c r="U34" s="33">
        <v>28</v>
      </c>
      <c r="V34" s="11">
        <v>1756</v>
      </c>
      <c r="W34" s="11">
        <v>450</v>
      </c>
      <c r="X34" s="31">
        <f t="shared" ref="X34" si="40">SUM(S34,T34,U34,V34)-J34</f>
        <v>-10.950000000000045</v>
      </c>
      <c r="Y34" s="32">
        <f t="shared" si="18"/>
        <v>0</v>
      </c>
      <c r="Z34" s="32">
        <f t="shared" si="30"/>
        <v>50</v>
      </c>
      <c r="AA34" s="32">
        <v>175</v>
      </c>
      <c r="AB34" s="33">
        <f t="shared" ref="AB34" si="41">SUM(H34-AC34)</f>
        <v>0</v>
      </c>
      <c r="AC34" s="33">
        <v>60</v>
      </c>
      <c r="AD34" s="33"/>
      <c r="AE34" s="33">
        <f>SUM(AD34-H34)</f>
        <v>-60</v>
      </c>
      <c r="AH34">
        <v>15243.3</v>
      </c>
    </row>
    <row r="35" spans="1:34" ht="20.25" customHeight="1">
      <c r="A35" s="9">
        <v>44922</v>
      </c>
      <c r="B35" s="10" t="s">
        <v>24</v>
      </c>
      <c r="C35" s="11">
        <v>2163.09</v>
      </c>
      <c r="D35" s="11">
        <v>3660.75</v>
      </c>
      <c r="E35" s="11">
        <v>4</v>
      </c>
      <c r="F35" s="11">
        <v>58</v>
      </c>
      <c r="G35" s="11">
        <v>100</v>
      </c>
      <c r="H35" s="11">
        <v>50</v>
      </c>
      <c r="I35" s="11">
        <f t="shared" ref="I35:I39" si="42">SUM(C35:H35,T35)</f>
        <v>6120.84</v>
      </c>
      <c r="J35" s="11">
        <v>1868.43</v>
      </c>
      <c r="K35" s="11">
        <v>0</v>
      </c>
      <c r="L35" s="11">
        <f t="shared" ref="L35:L39" si="43">SUM(M35:R35)</f>
        <v>4172.41</v>
      </c>
      <c r="M35" s="11">
        <f>4172.41-15.99</f>
        <v>4156.42</v>
      </c>
      <c r="N35" s="11">
        <v>15.99</v>
      </c>
      <c r="O35" s="11">
        <v>0</v>
      </c>
      <c r="P35" s="11">
        <v>0</v>
      </c>
      <c r="Q35" s="11">
        <v>0</v>
      </c>
      <c r="R35" s="11">
        <v>0</v>
      </c>
      <c r="S35" s="11">
        <v>0</v>
      </c>
      <c r="T35" s="33">
        <v>85</v>
      </c>
      <c r="U35" s="33">
        <v>46</v>
      </c>
      <c r="V35" s="11">
        <v>1737</v>
      </c>
      <c r="W35" s="11">
        <v>451</v>
      </c>
      <c r="X35" s="31">
        <f t="shared" ref="X35:X39" si="44">SUM(S35,T35,U35,V35)-J35</f>
        <v>-0.43000000000006366</v>
      </c>
      <c r="Y35" s="32">
        <f t="shared" ref="Y35:Y39" si="45">SUM(J35+K35+L35+AC35+AA35)-(I35)</f>
        <v>0</v>
      </c>
      <c r="Z35" s="32">
        <f t="shared" ref="Z35:Z39" si="46">SUM(G35-AA35)</f>
        <v>60</v>
      </c>
      <c r="AA35" s="32">
        <v>40</v>
      </c>
      <c r="AB35" s="33">
        <f t="shared" ref="AB35:AB39" si="47">SUM(H35-AC35)</f>
        <v>10</v>
      </c>
      <c r="AC35" s="33">
        <v>40</v>
      </c>
      <c r="AD35" s="33"/>
      <c r="AE35" s="33">
        <f t="shared" ref="AE35:AE39" si="48">SUM(AD35-H35)</f>
        <v>-50</v>
      </c>
      <c r="AH35">
        <v>154.15</v>
      </c>
    </row>
    <row r="36" spans="1:34" ht="20.25" customHeight="1">
      <c r="A36" s="9">
        <v>44923</v>
      </c>
      <c r="B36" s="10" t="s">
        <v>25</v>
      </c>
      <c r="C36" s="11">
        <f>8528.41+30.01</f>
        <v>8558.42</v>
      </c>
      <c r="D36" s="11">
        <v>3171.15</v>
      </c>
      <c r="E36" s="11">
        <v>2.5</v>
      </c>
      <c r="F36" s="11">
        <v>78</v>
      </c>
      <c r="G36" s="11">
        <v>140</v>
      </c>
      <c r="H36" s="11">
        <v>10</v>
      </c>
      <c r="I36" s="11">
        <f t="shared" si="42"/>
        <v>11961.07</v>
      </c>
      <c r="J36" s="11">
        <v>2912.61</v>
      </c>
      <c r="K36" s="11">
        <v>0</v>
      </c>
      <c r="L36" s="11">
        <f t="shared" si="43"/>
        <v>8948.4500000000007</v>
      </c>
      <c r="M36" s="11">
        <f>2579.29+4937.41+854.07</f>
        <v>8370.77</v>
      </c>
      <c r="N36" s="11">
        <v>70.27</v>
      </c>
      <c r="O36" s="11">
        <v>0</v>
      </c>
      <c r="P36" s="11">
        <v>107.89</v>
      </c>
      <c r="Q36" s="11">
        <v>284.77999999999997</v>
      </c>
      <c r="R36" s="11">
        <v>114.74</v>
      </c>
      <c r="S36" s="11">
        <v>587.73</v>
      </c>
      <c r="T36" s="33">
        <v>1</v>
      </c>
      <c r="U36" s="33">
        <v>43</v>
      </c>
      <c r="V36" s="11">
        <v>2283</v>
      </c>
      <c r="W36" s="11">
        <v>452</v>
      </c>
      <c r="X36" s="31">
        <f t="shared" si="44"/>
        <v>2.1199999999998909</v>
      </c>
      <c r="Y36" s="32">
        <f t="shared" si="45"/>
        <v>-30.009999999998399</v>
      </c>
      <c r="Z36" s="32">
        <f t="shared" si="46"/>
        <v>80</v>
      </c>
      <c r="AA36" s="32">
        <v>60</v>
      </c>
      <c r="AB36" s="33">
        <f t="shared" si="47"/>
        <v>0</v>
      </c>
      <c r="AC36" s="33">
        <v>10</v>
      </c>
      <c r="AD36" s="33"/>
      <c r="AE36" s="33">
        <f t="shared" si="48"/>
        <v>-10</v>
      </c>
      <c r="AH36">
        <v>602</v>
      </c>
    </row>
    <row r="37" spans="1:34" ht="20.25" customHeight="1">
      <c r="A37" s="9">
        <v>44924</v>
      </c>
      <c r="B37" s="10" t="s">
        <v>26</v>
      </c>
      <c r="C37" s="11">
        <v>9858.81</v>
      </c>
      <c r="D37" s="11">
        <v>3420.21</v>
      </c>
      <c r="E37" s="11">
        <v>22</v>
      </c>
      <c r="F37" s="11">
        <v>89</v>
      </c>
      <c r="G37" s="11">
        <v>77</v>
      </c>
      <c r="H37" s="11">
        <v>137</v>
      </c>
      <c r="I37" s="11">
        <f t="shared" si="42"/>
        <v>13604.02</v>
      </c>
      <c r="J37" s="11">
        <v>2848.12</v>
      </c>
      <c r="K37" s="11">
        <v>0</v>
      </c>
      <c r="L37" s="11">
        <f t="shared" si="43"/>
        <v>10540.81</v>
      </c>
      <c r="M37" s="11">
        <f>3118.34+6041.2+520.21+13.39</f>
        <v>9693.14</v>
      </c>
      <c r="N37" s="11">
        <v>79.36</v>
      </c>
      <c r="O37" s="11">
        <v>0</v>
      </c>
      <c r="P37" s="11">
        <v>167.89</v>
      </c>
      <c r="Q37" s="11">
        <v>397.23</v>
      </c>
      <c r="R37" s="11">
        <v>203.19</v>
      </c>
      <c r="S37" s="11">
        <v>0</v>
      </c>
      <c r="T37" s="33">
        <v>0</v>
      </c>
      <c r="U37" s="33">
        <v>54</v>
      </c>
      <c r="V37" s="11">
        <v>2790</v>
      </c>
      <c r="W37" s="11">
        <v>453</v>
      </c>
      <c r="X37" s="31">
        <f t="shared" si="44"/>
        <v>-4.1199999999998909</v>
      </c>
      <c r="Y37" s="32">
        <f t="shared" si="45"/>
        <v>-98.090000000000146</v>
      </c>
      <c r="Z37" s="32">
        <f t="shared" si="46"/>
        <v>77</v>
      </c>
      <c r="AA37" s="32">
        <v>0</v>
      </c>
      <c r="AB37" s="33">
        <f t="shared" si="47"/>
        <v>20</v>
      </c>
      <c r="AC37" s="33">
        <v>117</v>
      </c>
      <c r="AD37" s="33"/>
      <c r="AE37" s="33">
        <f t="shared" si="48"/>
        <v>-137</v>
      </c>
      <c r="AH37">
        <v>6.01</v>
      </c>
    </row>
    <row r="38" spans="1:34" ht="20.25" customHeight="1">
      <c r="A38" s="9">
        <v>44925</v>
      </c>
      <c r="B38" s="10" t="s">
        <v>20</v>
      </c>
      <c r="C38" s="11">
        <v>9976.19</v>
      </c>
      <c r="D38" s="11">
        <v>3630.04</v>
      </c>
      <c r="E38" s="11">
        <v>44.5</v>
      </c>
      <c r="F38" s="11">
        <v>130</v>
      </c>
      <c r="G38" s="11">
        <v>40</v>
      </c>
      <c r="H38" s="11">
        <v>148.46</v>
      </c>
      <c r="I38" s="11">
        <f t="shared" si="42"/>
        <v>13984.21</v>
      </c>
      <c r="J38" s="11">
        <v>2895.84</v>
      </c>
      <c r="K38" s="11">
        <v>0</v>
      </c>
      <c r="L38" s="11">
        <f t="shared" si="43"/>
        <v>10938.57</v>
      </c>
      <c r="M38" s="11">
        <f>6127.86+3001.2+790.42+376.47</f>
        <v>10295.949999999999</v>
      </c>
      <c r="N38" s="11">
        <v>39</v>
      </c>
      <c r="O38" s="11">
        <v>0</v>
      </c>
      <c r="P38" s="11">
        <v>175.45</v>
      </c>
      <c r="Q38" s="11">
        <v>326.64</v>
      </c>
      <c r="R38" s="11">
        <v>101.53</v>
      </c>
      <c r="S38" s="11">
        <v>0</v>
      </c>
      <c r="T38" s="33">
        <v>15.02</v>
      </c>
      <c r="U38" s="33">
        <v>54</v>
      </c>
      <c r="V38" s="11">
        <v>2723.7</v>
      </c>
      <c r="W38" s="11">
        <v>454</v>
      </c>
      <c r="X38" s="31">
        <f t="shared" si="44"/>
        <v>-103.12000000000035</v>
      </c>
      <c r="Y38" s="32">
        <f t="shared" si="45"/>
        <v>0.2000000000007276</v>
      </c>
      <c r="Z38" s="32">
        <f t="shared" si="46"/>
        <v>0</v>
      </c>
      <c r="AA38" s="32">
        <v>40</v>
      </c>
      <c r="AB38" s="33">
        <f t="shared" si="47"/>
        <v>38.460000000000008</v>
      </c>
      <c r="AC38" s="33">
        <v>110</v>
      </c>
      <c r="AD38" s="33"/>
      <c r="AE38" s="33">
        <f t="shared" si="48"/>
        <v>-148.46</v>
      </c>
      <c r="AH38">
        <v>90</v>
      </c>
    </row>
    <row r="39" spans="1:34" ht="20.25" customHeight="1">
      <c r="A39" s="9">
        <v>44926</v>
      </c>
      <c r="B39" s="10" t="s">
        <v>21</v>
      </c>
      <c r="C39" s="11">
        <v>7582.03</v>
      </c>
      <c r="D39" s="11">
        <v>6047.83</v>
      </c>
      <c r="E39" s="11">
        <v>29</v>
      </c>
      <c r="F39" s="11">
        <v>107</v>
      </c>
      <c r="G39" s="11">
        <v>15</v>
      </c>
      <c r="H39" s="11">
        <v>62.57</v>
      </c>
      <c r="I39" s="11">
        <f t="shared" si="42"/>
        <v>13908.43</v>
      </c>
      <c r="J39" s="11">
        <v>2812.13</v>
      </c>
      <c r="K39" s="11">
        <v>0</v>
      </c>
      <c r="L39" s="11">
        <f t="shared" si="43"/>
        <v>11092.3</v>
      </c>
      <c r="M39" s="11">
        <f>817.17+1241.45+2468.59+6103.25</f>
        <v>10630.46</v>
      </c>
      <c r="N39" s="11">
        <v>0</v>
      </c>
      <c r="O39" s="11">
        <v>0</v>
      </c>
      <c r="P39" s="11">
        <v>102.68</v>
      </c>
      <c r="Q39" s="11">
        <v>319.14999999999998</v>
      </c>
      <c r="R39" s="11">
        <v>40.01</v>
      </c>
      <c r="S39" s="11">
        <v>0</v>
      </c>
      <c r="T39" s="33">
        <v>65</v>
      </c>
      <c r="U39" s="33">
        <v>41.4</v>
      </c>
      <c r="V39" s="11">
        <v>2800.4</v>
      </c>
      <c r="W39" s="11">
        <v>455</v>
      </c>
      <c r="X39" s="31">
        <f t="shared" si="44"/>
        <v>94.670000000000073</v>
      </c>
      <c r="Y39" s="32">
        <f t="shared" si="45"/>
        <v>6</v>
      </c>
      <c r="Z39" s="32">
        <f t="shared" si="46"/>
        <v>15</v>
      </c>
      <c r="AA39" s="32">
        <v>0</v>
      </c>
      <c r="AB39" s="33">
        <f t="shared" si="47"/>
        <v>52.57</v>
      </c>
      <c r="AC39" s="33">
        <v>10</v>
      </c>
      <c r="AD39" s="33"/>
      <c r="AE39" s="33">
        <f t="shared" si="48"/>
        <v>-62.57</v>
      </c>
    </row>
    <row r="40" spans="1:34" ht="37.5" customHeight="1">
      <c r="A40" s="65" t="s">
        <v>27</v>
      </c>
      <c r="B40" s="66"/>
      <c r="C40" s="27">
        <f t="shared" ref="C40:AE40" si="49">SUM(C34:C39)</f>
        <v>39428.79</v>
      </c>
      <c r="D40" s="27">
        <f t="shared" si="49"/>
        <v>23874.18</v>
      </c>
      <c r="E40" s="27">
        <f t="shared" si="49"/>
        <v>111</v>
      </c>
      <c r="F40" s="27">
        <f t="shared" si="49"/>
        <v>559</v>
      </c>
      <c r="G40" s="27">
        <f t="shared" si="49"/>
        <v>597</v>
      </c>
      <c r="H40" s="27">
        <f t="shared" si="49"/>
        <v>468.03000000000003</v>
      </c>
      <c r="I40" s="27">
        <f t="shared" si="49"/>
        <v>65204.020000000004</v>
      </c>
      <c r="J40" s="27">
        <f t="shared" si="49"/>
        <v>15132.080000000002</v>
      </c>
      <c r="K40" s="27">
        <f t="shared" si="49"/>
        <v>0</v>
      </c>
      <c r="L40" s="27">
        <f t="shared" si="49"/>
        <v>49288.039999999994</v>
      </c>
      <c r="M40" s="27">
        <f t="shared" si="49"/>
        <v>46742.239999999998</v>
      </c>
      <c r="N40" s="27">
        <f t="shared" si="49"/>
        <v>204.62</v>
      </c>
      <c r="O40" s="27">
        <f t="shared" si="49"/>
        <v>0</v>
      </c>
      <c r="P40" s="27">
        <f t="shared" si="49"/>
        <v>553.91</v>
      </c>
      <c r="Q40" s="27">
        <f t="shared" si="49"/>
        <v>1327.8</v>
      </c>
      <c r="R40" s="27">
        <f t="shared" si="49"/>
        <v>459.47</v>
      </c>
      <c r="S40" s="27">
        <f t="shared" si="49"/>
        <v>587.73</v>
      </c>
      <c r="T40" s="27">
        <f t="shared" si="49"/>
        <v>166.01999999999998</v>
      </c>
      <c r="U40" s="27">
        <f t="shared" si="49"/>
        <v>266.39999999999998</v>
      </c>
      <c r="V40" s="27">
        <f t="shared" si="49"/>
        <v>14090.1</v>
      </c>
      <c r="W40" s="27">
        <f t="shared" si="49"/>
        <v>2715</v>
      </c>
      <c r="X40" s="27">
        <f t="shared" si="49"/>
        <v>-21.830000000000382</v>
      </c>
      <c r="Y40" s="27">
        <f t="shared" si="49"/>
        <v>-121.89999999999782</v>
      </c>
      <c r="Z40" s="27">
        <f t="shared" si="49"/>
        <v>282</v>
      </c>
      <c r="AA40" s="27">
        <f t="shared" si="49"/>
        <v>315</v>
      </c>
      <c r="AB40" s="27">
        <f t="shared" si="49"/>
        <v>121.03</v>
      </c>
      <c r="AC40" s="27">
        <f t="shared" si="49"/>
        <v>347</v>
      </c>
      <c r="AD40" s="27">
        <f t="shared" si="49"/>
        <v>0</v>
      </c>
      <c r="AE40" s="27">
        <f t="shared" si="49"/>
        <v>-468.03000000000003</v>
      </c>
    </row>
    <row r="41" spans="1:34" ht="51.75" customHeight="1">
      <c r="A41" s="67" t="s">
        <v>17</v>
      </c>
      <c r="B41" s="68"/>
      <c r="C41" s="30">
        <f t="shared" ref="C41:AE41" si="50">SUM(C40,C33,C25,C17,C9)</f>
        <v>302973.75999999995</v>
      </c>
      <c r="D41" s="30">
        <f t="shared" si="50"/>
        <v>139999.13</v>
      </c>
      <c r="E41" s="30">
        <f t="shared" si="50"/>
        <v>635</v>
      </c>
      <c r="F41" s="30">
        <f t="shared" si="50"/>
        <v>3487</v>
      </c>
      <c r="G41" s="30">
        <f t="shared" si="50"/>
        <v>5733.5</v>
      </c>
      <c r="H41" s="30">
        <f t="shared" si="50"/>
        <v>2796.3</v>
      </c>
      <c r="I41" s="30">
        <f t="shared" si="50"/>
        <v>456796.33999999997</v>
      </c>
      <c r="J41" s="30">
        <f t="shared" si="50"/>
        <v>89188.11</v>
      </c>
      <c r="K41" s="30">
        <f t="shared" si="50"/>
        <v>1.9</v>
      </c>
      <c r="L41" s="30">
        <f t="shared" si="50"/>
        <v>361873.63</v>
      </c>
      <c r="M41" s="30">
        <f t="shared" si="50"/>
        <v>337281.36</v>
      </c>
      <c r="N41" s="30">
        <f t="shared" si="50"/>
        <v>1142.1500000000001</v>
      </c>
      <c r="O41" s="30">
        <f t="shared" si="50"/>
        <v>45.93</v>
      </c>
      <c r="P41" s="30">
        <f t="shared" si="50"/>
        <v>5466.9800000000005</v>
      </c>
      <c r="Q41" s="30">
        <f t="shared" si="50"/>
        <v>10834.36</v>
      </c>
      <c r="R41" s="30">
        <f t="shared" si="50"/>
        <v>7102.8499999999995</v>
      </c>
      <c r="S41" s="30">
        <f t="shared" si="50"/>
        <v>5761.7199999999993</v>
      </c>
      <c r="T41" s="30">
        <f t="shared" si="50"/>
        <v>1171.6500000000001</v>
      </c>
      <c r="U41" s="30">
        <f t="shared" si="50"/>
        <v>1776.0000000000002</v>
      </c>
      <c r="V41" s="30">
        <f t="shared" si="50"/>
        <v>80383.98</v>
      </c>
      <c r="W41" s="30">
        <f t="shared" si="50"/>
        <v>15315</v>
      </c>
      <c r="X41" s="30">
        <f t="shared" si="50"/>
        <v>-94.760000000000787</v>
      </c>
      <c r="Y41" s="30">
        <f t="shared" si="50"/>
        <v>-625.96999999999753</v>
      </c>
      <c r="Z41" s="30">
        <f t="shared" si="50"/>
        <v>2325</v>
      </c>
      <c r="AA41" s="30">
        <f t="shared" si="50"/>
        <v>3408.5</v>
      </c>
      <c r="AB41" s="30">
        <f t="shared" si="50"/>
        <v>1098.07</v>
      </c>
      <c r="AC41" s="30">
        <f t="shared" si="50"/>
        <v>1698.23</v>
      </c>
      <c r="AD41" s="30">
        <f t="shared" si="50"/>
        <v>5670</v>
      </c>
      <c r="AE41" s="30">
        <f t="shared" si="50"/>
        <v>2939.1500000000005</v>
      </c>
    </row>
    <row r="43" spans="1:34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spans="1:34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</row>
    <row r="45" spans="1:34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4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</row>
    <row r="47" spans="1:34"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</row>
    <row r="49" spans="1:31" hidden="1"/>
    <row r="50" spans="1:31" ht="18.75" hidden="1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33"/>
      <c r="U50" s="33"/>
      <c r="V50" s="11"/>
      <c r="W50" s="11"/>
      <c r="X50" s="31"/>
      <c r="Y50" s="32"/>
      <c r="Z50" s="32"/>
      <c r="AA50" s="32"/>
      <c r="AB50" s="33"/>
      <c r="AC50" s="33"/>
      <c r="AD50" s="33"/>
      <c r="AE50" s="33"/>
    </row>
    <row r="51" spans="1:31" ht="18.75" hidden="1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33"/>
      <c r="U51" s="33"/>
      <c r="V51" s="11"/>
      <c r="W51" s="11"/>
      <c r="X51" s="31"/>
      <c r="Y51" s="32"/>
      <c r="Z51" s="32"/>
      <c r="AA51" s="32"/>
      <c r="AB51" s="33"/>
      <c r="AC51" s="33"/>
      <c r="AD51" s="33"/>
      <c r="AE51" s="33"/>
    </row>
    <row r="52" spans="1:31" s="28" customFormat="1" ht="18.75" hidden="1">
      <c r="A52"/>
      <c r="B5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33"/>
      <c r="U52" s="33"/>
      <c r="V52" s="11"/>
      <c r="W52" s="11"/>
      <c r="X52" s="31"/>
      <c r="Y52" s="32"/>
      <c r="Z52" s="32"/>
      <c r="AA52" s="32"/>
      <c r="AB52" s="33"/>
      <c r="AC52" s="33"/>
      <c r="AD52" s="33"/>
      <c r="AE52" s="33"/>
    </row>
    <row r="53" spans="1:31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s="28" customFormat="1" hidden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  <row r="55" spans="1:31" s="28" customFormat="1" hidden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</row>
  </sheetData>
  <sheetProtection password="CCFB" sheet="1" objects="1" scenarios="1"/>
  <mergeCells count="6">
    <mergeCell ref="A41:B41"/>
    <mergeCell ref="A9:B9"/>
    <mergeCell ref="A17:B17"/>
    <mergeCell ref="A25:B25"/>
    <mergeCell ref="A33:B33"/>
    <mergeCell ref="A40:B40"/>
  </mergeCells>
  <conditionalFormatting sqref="X50:AA52 X10:AA16 X18:Z24 X26:AA32 X2:AA8 X34:AA39">
    <cfRule type="cellIs" dxfId="183" priority="7" operator="lessThan">
      <formula>0</formula>
    </cfRule>
    <cfRule type="cellIs" dxfId="182" priority="8" operator="greaterThan">
      <formula>0</formula>
    </cfRule>
  </conditionalFormatting>
  <conditionalFormatting sqref="X50:AB52 AB18:AB24 X10:AB16 X18:Z24 X26:AB32 X2:AB8 X34:AB39">
    <cfRule type="cellIs" dxfId="181" priority="4" operator="equal">
      <formula>0</formula>
    </cfRule>
    <cfRule type="cellIs" dxfId="180" priority="5" operator="lessThan">
      <formula>0</formula>
    </cfRule>
    <cfRule type="cellIs" dxfId="179" priority="6" operator="greaterThan">
      <formula>0</formula>
    </cfRule>
  </conditionalFormatting>
  <conditionalFormatting sqref="AE10:AE16 AE26:AE32 AE2:AE8 AE34:AE39 AE18:AE24">
    <cfRule type="cellIs" dxfId="178" priority="1" operator="equal">
      <formula>0</formula>
    </cfRule>
    <cfRule type="cellIs" dxfId="177" priority="2" operator="lessThan">
      <formula>0</formula>
    </cfRule>
    <cfRule type="cellIs" dxfId="17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G53"/>
  <sheetViews>
    <sheetView topLeftCell="A10" zoomScale="60" zoomScaleNormal="60" workbookViewId="0">
      <selection activeCell="L27" sqref="L27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6.42578125" customWidth="1"/>
    <col min="17" max="18" width="15.5703125" customWidth="1"/>
    <col min="19" max="19" width="13.85546875" customWidth="1"/>
    <col min="20" max="20" width="13.5703125" customWidth="1"/>
    <col min="21" max="21" width="14.28515625" customWidth="1"/>
    <col min="22" max="22" width="13" customWidth="1"/>
    <col min="23" max="23" width="14.85546875" customWidth="1"/>
    <col min="24" max="24" width="15.85546875" customWidth="1"/>
    <col min="25" max="27" width="16.5703125" customWidth="1"/>
    <col min="28" max="28" width="14" customWidth="1"/>
    <col min="29" max="29" width="13" customWidth="1"/>
    <col min="30" max="30" width="14.85546875" customWidth="1"/>
    <col min="31" max="31" width="15.5703125" customWidth="1"/>
  </cols>
  <sheetData>
    <row r="1" spans="1:32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96</v>
      </c>
      <c r="P1" s="8" t="s">
        <v>8</v>
      </c>
      <c r="Q1" s="8" t="s">
        <v>28</v>
      </c>
      <c r="R1" s="8" t="s">
        <v>92</v>
      </c>
      <c r="S1" s="8" t="s">
        <v>9</v>
      </c>
      <c r="T1" s="8" t="s">
        <v>10</v>
      </c>
      <c r="U1" s="8" t="s">
        <v>11</v>
      </c>
      <c r="V1" s="8" t="s">
        <v>12</v>
      </c>
      <c r="W1" s="8" t="s">
        <v>13</v>
      </c>
      <c r="X1" s="8" t="s">
        <v>14</v>
      </c>
      <c r="Y1" s="8" t="s">
        <v>34</v>
      </c>
      <c r="Z1" s="23" t="s">
        <v>94</v>
      </c>
      <c r="AA1" s="23" t="s">
        <v>95</v>
      </c>
      <c r="AB1" s="23" t="s">
        <v>39</v>
      </c>
      <c r="AC1" s="23" t="s">
        <v>40</v>
      </c>
      <c r="AD1" s="23" t="s">
        <v>78</v>
      </c>
      <c r="AE1" s="23" t="s">
        <v>79</v>
      </c>
    </row>
    <row r="2" spans="1:32" ht="18.75">
      <c r="A2" s="9">
        <v>44927</v>
      </c>
      <c r="B2" s="10" t="s">
        <v>22</v>
      </c>
      <c r="C2" s="11">
        <v>4757.8599999999997</v>
      </c>
      <c r="D2" s="11">
        <v>3181.8</v>
      </c>
      <c r="E2" s="11">
        <v>5.5</v>
      </c>
      <c r="F2" s="11">
        <v>175</v>
      </c>
      <c r="G2" s="11">
        <v>155</v>
      </c>
      <c r="H2" s="11">
        <v>40</v>
      </c>
      <c r="I2" s="11">
        <f>SUM(C2:H2,T2)</f>
        <v>8315.16</v>
      </c>
      <c r="J2" s="48">
        <v>2263.2600000000002</v>
      </c>
      <c r="K2" s="11">
        <v>2</v>
      </c>
      <c r="L2" s="11">
        <f>SUM(M2:R2)</f>
        <v>5909.9</v>
      </c>
      <c r="M2" s="11">
        <v>5909.9</v>
      </c>
      <c r="N2" s="11">
        <v>0</v>
      </c>
      <c r="O2" s="11">
        <v>0</v>
      </c>
      <c r="P2" s="11">
        <v>0</v>
      </c>
      <c r="Q2" s="11">
        <v>0</v>
      </c>
      <c r="R2" s="11">
        <v>0</v>
      </c>
      <c r="S2" s="11">
        <v>0</v>
      </c>
      <c r="T2" s="33">
        <v>0</v>
      </c>
      <c r="U2" s="33">
        <v>120</v>
      </c>
      <c r="V2" s="11">
        <f>2127+20</f>
        <v>2147</v>
      </c>
      <c r="W2" s="11">
        <v>450</v>
      </c>
      <c r="X2" s="31">
        <f t="shared" ref="X2" si="0">SUM(S2,T2,U2,V2)-J2</f>
        <v>3.7399999999997817</v>
      </c>
      <c r="Y2" s="32">
        <f t="shared" ref="Y2" si="1">SUM(J2+K2+L2+AC2+AA2)-(I2)</f>
        <v>0</v>
      </c>
      <c r="Z2" s="32">
        <f t="shared" ref="Z2" si="2">SUM(G2-AA2)</f>
        <v>55</v>
      </c>
      <c r="AA2" s="32">
        <v>100</v>
      </c>
      <c r="AB2" s="33">
        <f t="shared" ref="AB2" si="3">SUM(H2-AC2)</f>
        <v>0</v>
      </c>
      <c r="AC2" s="33">
        <v>40</v>
      </c>
      <c r="AD2" s="33"/>
      <c r="AE2" s="33">
        <f t="shared" ref="AE2" si="4">SUM(AD2-H2)</f>
        <v>-40</v>
      </c>
    </row>
    <row r="3" spans="1:32" ht="37.5" customHeight="1">
      <c r="A3" s="65" t="s">
        <v>27</v>
      </c>
      <c r="B3" s="66"/>
      <c r="C3" s="27">
        <f t="shared" ref="C3:AE3" si="5">SUM(C2:C2)</f>
        <v>4757.8599999999997</v>
      </c>
      <c r="D3" s="27">
        <f t="shared" si="5"/>
        <v>3181.8</v>
      </c>
      <c r="E3" s="27">
        <f t="shared" si="5"/>
        <v>5.5</v>
      </c>
      <c r="F3" s="27">
        <f t="shared" si="5"/>
        <v>175</v>
      </c>
      <c r="G3" s="27">
        <f t="shared" si="5"/>
        <v>155</v>
      </c>
      <c r="H3" s="27">
        <f t="shared" si="5"/>
        <v>40</v>
      </c>
      <c r="I3" s="27">
        <f t="shared" si="5"/>
        <v>8315.16</v>
      </c>
      <c r="J3" s="27">
        <f t="shared" si="5"/>
        <v>2263.2600000000002</v>
      </c>
      <c r="K3" s="27">
        <f t="shared" si="5"/>
        <v>2</v>
      </c>
      <c r="L3" s="27">
        <f t="shared" si="5"/>
        <v>5909.9</v>
      </c>
      <c r="M3" s="27">
        <f t="shared" si="5"/>
        <v>5909.9</v>
      </c>
      <c r="N3" s="27">
        <f t="shared" si="5"/>
        <v>0</v>
      </c>
      <c r="O3" s="27">
        <f t="shared" si="5"/>
        <v>0</v>
      </c>
      <c r="P3" s="27">
        <f t="shared" si="5"/>
        <v>0</v>
      </c>
      <c r="Q3" s="27">
        <f t="shared" si="5"/>
        <v>0</v>
      </c>
      <c r="R3" s="27">
        <f t="shared" si="5"/>
        <v>0</v>
      </c>
      <c r="S3" s="27">
        <f t="shared" si="5"/>
        <v>0</v>
      </c>
      <c r="T3" s="27">
        <f t="shared" si="5"/>
        <v>0</v>
      </c>
      <c r="U3" s="27">
        <f t="shared" si="5"/>
        <v>120</v>
      </c>
      <c r="V3" s="27">
        <f t="shared" si="5"/>
        <v>2147</v>
      </c>
      <c r="W3" s="27">
        <f t="shared" si="5"/>
        <v>450</v>
      </c>
      <c r="X3" s="27">
        <f t="shared" si="5"/>
        <v>3.7399999999997817</v>
      </c>
      <c r="Y3" s="27">
        <f t="shared" si="5"/>
        <v>0</v>
      </c>
      <c r="Z3" s="27">
        <f t="shared" si="5"/>
        <v>55</v>
      </c>
      <c r="AA3" s="27">
        <f t="shared" si="5"/>
        <v>100</v>
      </c>
      <c r="AB3" s="27">
        <f t="shared" si="5"/>
        <v>0</v>
      </c>
      <c r="AC3" s="27">
        <f t="shared" si="5"/>
        <v>40</v>
      </c>
      <c r="AD3" s="27">
        <f t="shared" si="5"/>
        <v>0</v>
      </c>
      <c r="AE3" s="27">
        <f t="shared" si="5"/>
        <v>-40</v>
      </c>
    </row>
    <row r="4" spans="1:32" ht="18.75">
      <c r="A4" s="9">
        <v>44928</v>
      </c>
      <c r="B4" s="10" t="s">
        <v>23</v>
      </c>
      <c r="C4" s="11">
        <v>7986.84</v>
      </c>
      <c r="D4" s="11">
        <v>3192.84</v>
      </c>
      <c r="E4" s="11">
        <v>4</v>
      </c>
      <c r="F4" s="11">
        <v>44</v>
      </c>
      <c r="G4" s="11">
        <v>175</v>
      </c>
      <c r="H4" s="11">
        <v>65</v>
      </c>
      <c r="I4" s="11">
        <f t="shared" ref="I4:I10" si="6">SUM(C4:H4,T4)</f>
        <v>11467.68</v>
      </c>
      <c r="J4" s="48">
        <v>2017.76</v>
      </c>
      <c r="K4" s="11">
        <v>0</v>
      </c>
      <c r="L4" s="11">
        <f t="shared" ref="L4" si="7">SUM(M4:R4)</f>
        <v>9384.89</v>
      </c>
      <c r="M4" s="11">
        <f>4888.18+701.49+3460.4</f>
        <v>9050.07</v>
      </c>
      <c r="N4" s="11">
        <v>0</v>
      </c>
      <c r="O4" s="11">
        <v>0</v>
      </c>
      <c r="P4" s="11">
        <v>65.98</v>
      </c>
      <c r="Q4" s="11">
        <v>108.53</v>
      </c>
      <c r="R4" s="11">
        <v>160.31</v>
      </c>
      <c r="S4" s="11">
        <v>0</v>
      </c>
      <c r="T4" s="33">
        <v>0</v>
      </c>
      <c r="U4" s="33">
        <v>29</v>
      </c>
      <c r="V4" s="11">
        <v>2011</v>
      </c>
      <c r="W4" s="11">
        <v>450</v>
      </c>
      <c r="X4" s="31">
        <f t="shared" ref="X4:X10" si="8">SUM(S4,T4,U4,V4)-J4</f>
        <v>22.240000000000009</v>
      </c>
      <c r="Y4" s="32">
        <f t="shared" ref="Y4:Y28" si="9">SUM(J4+K4+L4+AC4+AA4)-(I4)</f>
        <v>-3.0000000000654836E-2</v>
      </c>
      <c r="Z4" s="32">
        <f t="shared" ref="Z4" si="10">SUM(G4-AA4)</f>
        <v>150</v>
      </c>
      <c r="AA4" s="32">
        <v>25</v>
      </c>
      <c r="AB4" s="33">
        <f t="shared" ref="AB4" si="11">SUM(H4-AC4)</f>
        <v>25</v>
      </c>
      <c r="AC4" s="33">
        <v>40</v>
      </c>
      <c r="AD4" s="33">
        <v>0</v>
      </c>
      <c r="AE4" s="33">
        <f t="shared" ref="AE4:AE10" si="12">SUM(AD4-H4)</f>
        <v>-65</v>
      </c>
    </row>
    <row r="5" spans="1:32" ht="18.75">
      <c r="A5" s="9">
        <v>44929</v>
      </c>
      <c r="B5" s="10" t="s">
        <v>24</v>
      </c>
      <c r="C5" s="11">
        <v>8271.11</v>
      </c>
      <c r="D5" s="11">
        <v>2943.69</v>
      </c>
      <c r="E5" s="11">
        <v>8</v>
      </c>
      <c r="F5" s="11">
        <v>68</v>
      </c>
      <c r="G5" s="11">
        <v>130</v>
      </c>
      <c r="H5" s="11">
        <v>26.5</v>
      </c>
      <c r="I5" s="11">
        <f t="shared" si="6"/>
        <v>11447.300000000001</v>
      </c>
      <c r="J5" s="11">
        <v>2534.8200000000002</v>
      </c>
      <c r="K5" s="11">
        <v>0</v>
      </c>
      <c r="L5" s="11">
        <f t="shared" ref="L5:L10" si="13">SUM(M5:R5)</f>
        <v>8872.48</v>
      </c>
      <c r="M5" s="11">
        <f>2090.62+4865.66+1001.82</f>
        <v>7958.0999999999995</v>
      </c>
      <c r="N5" s="11">
        <v>98.91</v>
      </c>
      <c r="O5" s="11">
        <v>0</v>
      </c>
      <c r="P5" s="11">
        <v>60.13</v>
      </c>
      <c r="Q5" s="11">
        <v>478.92</v>
      </c>
      <c r="R5" s="11">
        <v>276.42</v>
      </c>
      <c r="S5" s="11">
        <v>311</v>
      </c>
      <c r="T5" s="33">
        <v>0</v>
      </c>
      <c r="U5" s="33">
        <v>21.1</v>
      </c>
      <c r="V5" s="11">
        <v>2204</v>
      </c>
      <c r="W5" s="11">
        <v>450</v>
      </c>
      <c r="X5" s="31">
        <f t="shared" si="8"/>
        <v>1.2799999999997453</v>
      </c>
      <c r="Y5" s="32">
        <f t="shared" si="9"/>
        <v>0</v>
      </c>
      <c r="Z5" s="32">
        <f t="shared" ref="Z5:Z10" si="14">SUM(G5-AA5)</f>
        <v>90</v>
      </c>
      <c r="AA5" s="32">
        <v>40</v>
      </c>
      <c r="AB5" s="33">
        <f t="shared" ref="AB5:AB10" si="15">SUM(H5-AC5)</f>
        <v>26.5</v>
      </c>
      <c r="AC5" s="33">
        <v>0</v>
      </c>
      <c r="AD5" s="33">
        <v>0</v>
      </c>
      <c r="AE5" s="33">
        <f t="shared" si="12"/>
        <v>-26.5</v>
      </c>
    </row>
    <row r="6" spans="1:32" ht="18.75">
      <c r="A6" s="9">
        <v>44930</v>
      </c>
      <c r="B6" s="10" t="s">
        <v>25</v>
      </c>
      <c r="C6" s="11">
        <v>8499.58</v>
      </c>
      <c r="D6" s="11">
        <v>2933.38</v>
      </c>
      <c r="E6" s="11">
        <v>22</v>
      </c>
      <c r="F6" s="11">
        <v>66</v>
      </c>
      <c r="G6" s="11">
        <v>220</v>
      </c>
      <c r="H6" s="11">
        <v>50</v>
      </c>
      <c r="I6" s="11">
        <f t="shared" si="6"/>
        <v>11840.96</v>
      </c>
      <c r="J6" s="11">
        <v>2400.23</v>
      </c>
      <c r="K6" s="11">
        <v>0</v>
      </c>
      <c r="L6" s="11">
        <f t="shared" si="13"/>
        <v>9267.7199999999993</v>
      </c>
      <c r="M6" s="11">
        <f>719.02+2333.54+5216.43</f>
        <v>8268.99</v>
      </c>
      <c r="N6" s="11">
        <v>40.06</v>
      </c>
      <c r="O6" s="11">
        <v>0</v>
      </c>
      <c r="P6" s="11">
        <v>255.6</v>
      </c>
      <c r="Q6" s="11">
        <v>419.44</v>
      </c>
      <c r="R6" s="11">
        <v>283.63</v>
      </c>
      <c r="S6" s="11">
        <v>0</v>
      </c>
      <c r="T6" s="33">
        <v>50</v>
      </c>
      <c r="U6" s="33">
        <v>31</v>
      </c>
      <c r="V6" s="11">
        <v>2314</v>
      </c>
      <c r="W6" s="11">
        <v>450</v>
      </c>
      <c r="X6" s="31">
        <f t="shared" si="8"/>
        <v>-5.2300000000000182</v>
      </c>
      <c r="Y6" s="32">
        <f t="shared" si="9"/>
        <v>6.9899999999997817</v>
      </c>
      <c r="Z6" s="32">
        <f t="shared" si="14"/>
        <v>60</v>
      </c>
      <c r="AA6" s="32">
        <v>160</v>
      </c>
      <c r="AB6" s="33">
        <f t="shared" si="15"/>
        <v>30</v>
      </c>
      <c r="AC6" s="33">
        <v>20</v>
      </c>
      <c r="AD6" s="33">
        <v>520</v>
      </c>
      <c r="AE6" s="33">
        <f t="shared" si="12"/>
        <v>470</v>
      </c>
    </row>
    <row r="7" spans="1:32" ht="18.75">
      <c r="A7" s="9">
        <v>44931</v>
      </c>
      <c r="B7" s="10" t="s">
        <v>26</v>
      </c>
      <c r="C7" s="11">
        <v>8447.98</v>
      </c>
      <c r="D7" s="11">
        <v>2965.95</v>
      </c>
      <c r="E7" s="11">
        <v>14.5</v>
      </c>
      <c r="F7" s="11">
        <v>31</v>
      </c>
      <c r="G7" s="11">
        <v>120</v>
      </c>
      <c r="H7" s="11">
        <v>40</v>
      </c>
      <c r="I7" s="11">
        <f t="shared" si="6"/>
        <v>11694.44</v>
      </c>
      <c r="J7" s="11">
        <v>2493.0300000000002</v>
      </c>
      <c r="K7" s="11">
        <v>0</v>
      </c>
      <c r="L7" s="11">
        <f t="shared" si="13"/>
        <v>9121.41</v>
      </c>
      <c r="M7" s="11">
        <f>2551.69+841.34+5174.88</f>
        <v>8567.91</v>
      </c>
      <c r="N7" s="11">
        <v>30.26</v>
      </c>
      <c r="O7" s="11">
        <v>0</v>
      </c>
      <c r="P7" s="11">
        <v>111.63</v>
      </c>
      <c r="Q7" s="11">
        <v>336.07</v>
      </c>
      <c r="R7" s="11">
        <v>75.540000000000006</v>
      </c>
      <c r="S7" s="11">
        <v>0</v>
      </c>
      <c r="T7" s="33">
        <v>75.010000000000005</v>
      </c>
      <c r="U7" s="33">
        <v>7</v>
      </c>
      <c r="V7" s="11">
        <v>2410</v>
      </c>
      <c r="W7" s="11">
        <v>450</v>
      </c>
      <c r="X7" s="31">
        <f t="shared" si="8"/>
        <v>-1.0199999999999818</v>
      </c>
      <c r="Y7" s="32">
        <f t="shared" si="9"/>
        <v>0</v>
      </c>
      <c r="Z7" s="32">
        <f t="shared" si="14"/>
        <v>40</v>
      </c>
      <c r="AA7" s="32">
        <v>80</v>
      </c>
      <c r="AB7" s="33">
        <f t="shared" si="15"/>
        <v>40</v>
      </c>
      <c r="AC7" s="33">
        <v>0</v>
      </c>
      <c r="AD7" s="33">
        <v>450</v>
      </c>
      <c r="AE7" s="33">
        <f t="shared" si="12"/>
        <v>410</v>
      </c>
    </row>
    <row r="8" spans="1:32" ht="18.75">
      <c r="A8" s="9">
        <v>44932</v>
      </c>
      <c r="B8" s="10" t="s">
        <v>20</v>
      </c>
      <c r="C8" s="11">
        <v>8579.84</v>
      </c>
      <c r="D8" s="11">
        <v>4014.87</v>
      </c>
      <c r="E8" s="11">
        <v>24.5</v>
      </c>
      <c r="F8" s="11">
        <v>55</v>
      </c>
      <c r="G8" s="11">
        <v>35</v>
      </c>
      <c r="H8" s="11">
        <v>60</v>
      </c>
      <c r="I8" s="11">
        <f t="shared" si="6"/>
        <v>12769.21</v>
      </c>
      <c r="J8" s="11">
        <v>2672.79</v>
      </c>
      <c r="K8" s="11">
        <v>0</v>
      </c>
      <c r="L8" s="11">
        <f t="shared" si="13"/>
        <v>10066.42</v>
      </c>
      <c r="M8" s="11">
        <f>2995.35+197.92+5408.07+433.76</f>
        <v>9035.1</v>
      </c>
      <c r="N8" s="11">
        <v>0</v>
      </c>
      <c r="O8" s="11">
        <v>0</v>
      </c>
      <c r="P8" s="11">
        <v>317.04000000000002</v>
      </c>
      <c r="Q8" s="11">
        <v>367.47</v>
      </c>
      <c r="R8" s="11">
        <f>129.95+57.38+159.48</f>
        <v>346.80999999999995</v>
      </c>
      <c r="S8" s="11">
        <v>653.63</v>
      </c>
      <c r="T8" s="33">
        <v>0</v>
      </c>
      <c r="U8" s="33">
        <v>80</v>
      </c>
      <c r="V8" s="11">
        <v>2042</v>
      </c>
      <c r="W8" s="11">
        <v>450</v>
      </c>
      <c r="X8" s="31">
        <f t="shared" si="8"/>
        <v>102.84000000000015</v>
      </c>
      <c r="Y8" s="32">
        <f t="shared" si="9"/>
        <v>0</v>
      </c>
      <c r="Z8" s="32">
        <f t="shared" si="14"/>
        <v>25</v>
      </c>
      <c r="AA8" s="32">
        <v>10</v>
      </c>
      <c r="AB8" s="33">
        <f t="shared" si="15"/>
        <v>40</v>
      </c>
      <c r="AC8" s="33">
        <v>20</v>
      </c>
      <c r="AD8" s="33">
        <v>0</v>
      </c>
      <c r="AE8" s="33">
        <f t="shared" si="12"/>
        <v>-60</v>
      </c>
    </row>
    <row r="9" spans="1:32" ht="18.75">
      <c r="A9" s="9">
        <v>44933</v>
      </c>
      <c r="B9" s="10" t="s">
        <v>21</v>
      </c>
      <c r="C9" s="11">
        <v>8029.49</v>
      </c>
      <c r="D9" s="11">
        <v>3999.12</v>
      </c>
      <c r="E9" s="11">
        <v>28</v>
      </c>
      <c r="F9" s="11">
        <v>92</v>
      </c>
      <c r="G9" s="11">
        <v>30</v>
      </c>
      <c r="H9" s="11">
        <v>60</v>
      </c>
      <c r="I9" s="11">
        <f t="shared" si="6"/>
        <v>12270.61</v>
      </c>
      <c r="J9" s="11">
        <v>2741.57</v>
      </c>
      <c r="K9" s="11">
        <v>1.4</v>
      </c>
      <c r="L9" s="11">
        <f t="shared" si="13"/>
        <v>9497.64</v>
      </c>
      <c r="M9" s="11">
        <f>5428.11+451.83+2940.77</f>
        <v>8820.7099999999991</v>
      </c>
      <c r="N9" s="11">
        <v>0</v>
      </c>
      <c r="O9" s="11">
        <v>0</v>
      </c>
      <c r="P9" s="11">
        <v>369.35</v>
      </c>
      <c r="Q9" s="11">
        <v>131.86000000000001</v>
      </c>
      <c r="R9" s="11">
        <v>175.72</v>
      </c>
      <c r="S9" s="11">
        <v>0</v>
      </c>
      <c r="T9" s="33">
        <v>32</v>
      </c>
      <c r="U9" s="33">
        <v>45</v>
      </c>
      <c r="V9" s="11">
        <v>2567</v>
      </c>
      <c r="W9" s="11">
        <v>450</v>
      </c>
      <c r="X9" s="31">
        <f t="shared" si="8"/>
        <v>-97.570000000000164</v>
      </c>
      <c r="Y9" s="32">
        <f t="shared" si="9"/>
        <v>0</v>
      </c>
      <c r="Z9" s="32">
        <f t="shared" si="14"/>
        <v>30</v>
      </c>
      <c r="AA9" s="32">
        <v>0</v>
      </c>
      <c r="AB9" s="33">
        <f t="shared" si="15"/>
        <v>30</v>
      </c>
      <c r="AC9" s="33">
        <v>30</v>
      </c>
      <c r="AD9" s="33">
        <v>1570</v>
      </c>
      <c r="AE9" s="33">
        <f t="shared" si="12"/>
        <v>1510</v>
      </c>
    </row>
    <row r="10" spans="1:32" ht="18.75">
      <c r="A10" s="9">
        <v>44934</v>
      </c>
      <c r="B10" s="10" t="s">
        <v>22</v>
      </c>
      <c r="C10" s="11">
        <v>7056.79</v>
      </c>
      <c r="D10" s="11">
        <v>3415.67</v>
      </c>
      <c r="E10" s="11">
        <v>0</v>
      </c>
      <c r="F10" s="11">
        <v>52</v>
      </c>
      <c r="G10" s="11">
        <v>325</v>
      </c>
      <c r="H10" s="11">
        <v>20</v>
      </c>
      <c r="I10" s="11">
        <f t="shared" si="6"/>
        <v>10869.46</v>
      </c>
      <c r="J10" s="11">
        <v>2446.4299999999998</v>
      </c>
      <c r="K10" s="11">
        <v>2</v>
      </c>
      <c r="L10" s="11">
        <f t="shared" si="13"/>
        <v>8096.03</v>
      </c>
      <c r="M10" s="11">
        <f>4544.58+2336.48+817.35</f>
        <v>7698.41</v>
      </c>
      <c r="N10" s="11">
        <v>77.989999999999995</v>
      </c>
      <c r="O10" s="11">
        <v>0</v>
      </c>
      <c r="P10" s="11">
        <v>173.46</v>
      </c>
      <c r="Q10" s="11">
        <v>0</v>
      </c>
      <c r="R10" s="11">
        <v>146.16999999999999</v>
      </c>
      <c r="S10" s="11">
        <v>75</v>
      </c>
      <c r="T10" s="33">
        <v>0</v>
      </c>
      <c r="U10" s="33">
        <v>19</v>
      </c>
      <c r="V10" s="11">
        <v>2355</v>
      </c>
      <c r="W10" s="11">
        <v>450</v>
      </c>
      <c r="X10" s="31">
        <f t="shared" si="8"/>
        <v>2.5700000000001637</v>
      </c>
      <c r="Y10" s="32">
        <f t="shared" si="9"/>
        <v>0</v>
      </c>
      <c r="Z10" s="32">
        <f t="shared" si="14"/>
        <v>20</v>
      </c>
      <c r="AA10" s="32">
        <v>305</v>
      </c>
      <c r="AB10" s="33">
        <f t="shared" si="15"/>
        <v>0</v>
      </c>
      <c r="AC10" s="33">
        <v>20</v>
      </c>
      <c r="AD10" s="33">
        <v>530</v>
      </c>
      <c r="AE10" s="33">
        <f t="shared" si="12"/>
        <v>510</v>
      </c>
    </row>
    <row r="11" spans="1:32" ht="37.5" customHeight="1">
      <c r="A11" s="65" t="s">
        <v>27</v>
      </c>
      <c r="B11" s="66"/>
      <c r="C11" s="27">
        <f>SUM(C4:C10)</f>
        <v>56871.62999999999</v>
      </c>
      <c r="D11" s="27">
        <f t="shared" ref="D11:AE11" si="16">SUM(D4:D10)</f>
        <v>23465.519999999997</v>
      </c>
      <c r="E11" s="27">
        <f t="shared" si="16"/>
        <v>101</v>
      </c>
      <c r="F11" s="27">
        <f t="shared" si="16"/>
        <v>408</v>
      </c>
      <c r="G11" s="27">
        <f t="shared" si="16"/>
        <v>1035</v>
      </c>
      <c r="H11" s="27">
        <f t="shared" si="16"/>
        <v>321.5</v>
      </c>
      <c r="I11" s="27">
        <f t="shared" si="16"/>
        <v>82359.66</v>
      </c>
      <c r="J11" s="27">
        <f t="shared" si="16"/>
        <v>17306.63</v>
      </c>
      <c r="K11" s="27">
        <f t="shared" si="16"/>
        <v>3.4</v>
      </c>
      <c r="L11" s="27">
        <f t="shared" si="16"/>
        <v>64306.59</v>
      </c>
      <c r="M11" s="27">
        <f t="shared" si="16"/>
        <v>59399.289999999994</v>
      </c>
      <c r="N11" s="27">
        <f t="shared" si="16"/>
        <v>247.21999999999997</v>
      </c>
      <c r="O11" s="27">
        <f t="shared" si="16"/>
        <v>0</v>
      </c>
      <c r="P11" s="27">
        <f t="shared" si="16"/>
        <v>1353.19</v>
      </c>
      <c r="Q11" s="27">
        <f t="shared" si="16"/>
        <v>1842.29</v>
      </c>
      <c r="R11" s="27">
        <f t="shared" si="16"/>
        <v>1464.6000000000001</v>
      </c>
      <c r="S11" s="27">
        <f t="shared" si="16"/>
        <v>1039.6300000000001</v>
      </c>
      <c r="T11" s="27">
        <f t="shared" si="16"/>
        <v>157.01</v>
      </c>
      <c r="U11" s="27">
        <f t="shared" si="16"/>
        <v>232.1</v>
      </c>
      <c r="V11" s="27">
        <f t="shared" si="16"/>
        <v>15903</v>
      </c>
      <c r="W11" s="27">
        <f t="shared" si="16"/>
        <v>3150</v>
      </c>
      <c r="X11" s="27">
        <f t="shared" si="16"/>
        <v>25.1099999999999</v>
      </c>
      <c r="Y11" s="27">
        <f t="shared" si="16"/>
        <v>6.9599999999991269</v>
      </c>
      <c r="Z11" s="27">
        <f t="shared" si="16"/>
        <v>415</v>
      </c>
      <c r="AA11" s="27">
        <f t="shared" si="16"/>
        <v>620</v>
      </c>
      <c r="AB11" s="27">
        <f t="shared" si="16"/>
        <v>191.5</v>
      </c>
      <c r="AC11" s="27">
        <f t="shared" si="16"/>
        <v>130</v>
      </c>
      <c r="AD11" s="27">
        <f t="shared" si="16"/>
        <v>3070</v>
      </c>
      <c r="AE11" s="27">
        <f t="shared" si="16"/>
        <v>2748.5</v>
      </c>
    </row>
    <row r="12" spans="1:32" s="35" customFormat="1" ht="18.75">
      <c r="A12" s="9">
        <v>44935</v>
      </c>
      <c r="B12" s="10" t="s">
        <v>23</v>
      </c>
      <c r="C12" s="11">
        <v>10448.39</v>
      </c>
      <c r="D12" s="11">
        <v>3589.9</v>
      </c>
      <c r="E12" s="11">
        <v>20</v>
      </c>
      <c r="F12" s="11">
        <v>52</v>
      </c>
      <c r="G12" s="11">
        <v>185</v>
      </c>
      <c r="H12" s="11">
        <v>77.5</v>
      </c>
      <c r="I12" s="11">
        <f t="shared" ref="I12:I18" si="17">SUM(C12:H12,T12)</f>
        <v>14383.789999999999</v>
      </c>
      <c r="J12" s="11">
        <v>2478.13</v>
      </c>
      <c r="K12" s="11">
        <v>0</v>
      </c>
      <c r="L12" s="11">
        <f t="shared" ref="L12:L18" si="18">SUM(M12:R12)</f>
        <v>11673.159999999998</v>
      </c>
      <c r="M12" s="11">
        <f>3015.96+5818.69+1425.97</f>
        <v>10260.619999999999</v>
      </c>
      <c r="N12" s="11">
        <v>100.83</v>
      </c>
      <c r="O12" s="11">
        <v>0</v>
      </c>
      <c r="P12" s="11">
        <v>139.21</v>
      </c>
      <c r="Q12" s="11">
        <v>962.81</v>
      </c>
      <c r="R12" s="11">
        <v>209.69</v>
      </c>
      <c r="S12" s="11">
        <v>0</v>
      </c>
      <c r="T12" s="33">
        <v>11</v>
      </c>
      <c r="U12" s="33">
        <v>48.6</v>
      </c>
      <c r="V12" s="11">
        <v>2413</v>
      </c>
      <c r="W12" s="11">
        <v>450</v>
      </c>
      <c r="X12" s="31">
        <f t="shared" ref="X12:X18" si="19">SUM(S12,T12,U12,V12)-J12</f>
        <v>-5.5300000000002001</v>
      </c>
      <c r="Y12" s="32">
        <f t="shared" si="9"/>
        <v>0</v>
      </c>
      <c r="Z12" s="32">
        <f>SUM(G12-AA12)</f>
        <v>30</v>
      </c>
      <c r="AA12" s="33">
        <v>155</v>
      </c>
      <c r="AB12" s="33">
        <f>SUM(H12-AC12)</f>
        <v>0</v>
      </c>
      <c r="AC12" s="33">
        <v>77.5</v>
      </c>
      <c r="AD12" s="33"/>
      <c r="AE12" s="33">
        <f t="shared" ref="AE12:AE18" si="20">SUM(AD12-H12)</f>
        <v>-77.5</v>
      </c>
    </row>
    <row r="13" spans="1:32" s="35" customFormat="1" ht="18.75">
      <c r="A13" s="9">
        <v>44936</v>
      </c>
      <c r="B13" s="10" t="s">
        <v>24</v>
      </c>
      <c r="C13" s="11">
        <v>10044.709999999999</v>
      </c>
      <c r="D13" s="11">
        <v>3278.47</v>
      </c>
      <c r="E13" s="11">
        <v>30</v>
      </c>
      <c r="F13" s="11">
        <v>40</v>
      </c>
      <c r="G13" s="11">
        <v>125</v>
      </c>
      <c r="H13" s="11">
        <v>60</v>
      </c>
      <c r="I13" s="11">
        <f t="shared" si="17"/>
        <v>13594.179999999998</v>
      </c>
      <c r="J13" s="11">
        <v>2798.77</v>
      </c>
      <c r="K13" s="11">
        <v>0</v>
      </c>
      <c r="L13" s="11">
        <f t="shared" si="18"/>
        <v>10720.410000000002</v>
      </c>
      <c r="M13" s="11">
        <f>2771.52+5538.61+1109.39+75.87</f>
        <v>9495.39</v>
      </c>
      <c r="N13" s="11">
        <v>0</v>
      </c>
      <c r="O13" s="11">
        <v>80.36</v>
      </c>
      <c r="P13" s="11">
        <v>523.1</v>
      </c>
      <c r="Q13" s="11">
        <v>457.77</v>
      </c>
      <c r="R13" s="11">
        <v>163.79</v>
      </c>
      <c r="S13" s="11">
        <v>317.55</v>
      </c>
      <c r="T13" s="33">
        <v>16</v>
      </c>
      <c r="U13" s="33">
        <v>61.4</v>
      </c>
      <c r="V13" s="11">
        <v>2425</v>
      </c>
      <c r="W13" s="11">
        <v>450</v>
      </c>
      <c r="X13" s="31">
        <f t="shared" si="19"/>
        <v>21.179999999999836</v>
      </c>
      <c r="Y13" s="32">
        <f t="shared" si="9"/>
        <v>-19.999999999996362</v>
      </c>
      <c r="Z13" s="32">
        <f t="shared" ref="Z13:Z28" si="21">SUM(G13-AA13)</f>
        <v>100</v>
      </c>
      <c r="AA13" s="33">
        <v>25</v>
      </c>
      <c r="AB13" s="33">
        <f t="shared" ref="AB13:AB18" si="22">SUM(H13-AC13)</f>
        <v>30</v>
      </c>
      <c r="AC13" s="33">
        <v>30</v>
      </c>
      <c r="AD13" s="33"/>
      <c r="AE13" s="33">
        <f t="shared" si="20"/>
        <v>-60</v>
      </c>
    </row>
    <row r="14" spans="1:32" s="35" customFormat="1" ht="18.75">
      <c r="A14" s="9">
        <v>44937</v>
      </c>
      <c r="B14" s="10" t="s">
        <v>25</v>
      </c>
      <c r="C14" s="11">
        <v>9517.7800000000007</v>
      </c>
      <c r="D14" s="11">
        <v>3375.1</v>
      </c>
      <c r="E14" s="11">
        <v>23</v>
      </c>
      <c r="F14" s="11">
        <v>52</v>
      </c>
      <c r="G14" s="11">
        <v>25</v>
      </c>
      <c r="H14" s="11">
        <v>187.66</v>
      </c>
      <c r="I14" s="11">
        <f t="shared" si="17"/>
        <v>13180.54</v>
      </c>
      <c r="J14" s="11">
        <v>2568.75</v>
      </c>
      <c r="K14" s="11">
        <v>0</v>
      </c>
      <c r="L14" s="11">
        <f t="shared" si="18"/>
        <v>10336.950000000003</v>
      </c>
      <c r="M14" s="11">
        <f>2715.61+5145.82+1437.63</f>
        <v>9299.0600000000013</v>
      </c>
      <c r="N14" s="11">
        <v>30.6</v>
      </c>
      <c r="O14" s="11">
        <v>0</v>
      </c>
      <c r="P14" s="11">
        <v>272.43</v>
      </c>
      <c r="Q14" s="11">
        <v>380.26</v>
      </c>
      <c r="R14" s="11">
        <v>354.6</v>
      </c>
      <c r="S14" s="11">
        <v>0</v>
      </c>
      <c r="T14" s="33">
        <v>0</v>
      </c>
      <c r="U14" s="33">
        <v>35</v>
      </c>
      <c r="V14" s="11">
        <v>2537</v>
      </c>
      <c r="W14" s="11">
        <v>450</v>
      </c>
      <c r="X14" s="31">
        <f t="shared" si="19"/>
        <v>3.25</v>
      </c>
      <c r="Y14" s="32">
        <f t="shared" si="9"/>
        <v>-239.83999999999833</v>
      </c>
      <c r="Z14" s="32">
        <f t="shared" si="21"/>
        <v>0</v>
      </c>
      <c r="AA14" s="33">
        <v>25</v>
      </c>
      <c r="AB14" s="33">
        <f t="shared" si="22"/>
        <v>177.66</v>
      </c>
      <c r="AC14" s="33">
        <f>10</f>
        <v>10</v>
      </c>
      <c r="AD14" s="33"/>
      <c r="AE14" s="33">
        <v>4</v>
      </c>
      <c r="AF14" s="35" t="s">
        <v>105</v>
      </c>
    </row>
    <row r="15" spans="1:32" s="35" customFormat="1" ht="18.75">
      <c r="A15" s="9">
        <v>44938</v>
      </c>
      <c r="B15" s="10" t="s">
        <v>26</v>
      </c>
      <c r="C15" s="11">
        <v>8638.2199999999993</v>
      </c>
      <c r="D15" s="11">
        <v>3506.68</v>
      </c>
      <c r="E15" s="11">
        <v>8</v>
      </c>
      <c r="F15" s="11">
        <v>82</v>
      </c>
      <c r="G15" s="11">
        <v>60</v>
      </c>
      <c r="H15" s="11">
        <v>90</v>
      </c>
      <c r="I15" s="11">
        <f t="shared" si="17"/>
        <v>12384.9</v>
      </c>
      <c r="J15" s="11">
        <v>2485.25</v>
      </c>
      <c r="K15" s="11">
        <v>0</v>
      </c>
      <c r="L15" s="11">
        <f t="shared" si="18"/>
        <v>9859.65</v>
      </c>
      <c r="M15" s="11">
        <f>486.27+3101.69+5306.95</f>
        <v>8894.91</v>
      </c>
      <c r="N15" s="11">
        <v>0</v>
      </c>
      <c r="O15" s="11">
        <v>86.34</v>
      </c>
      <c r="P15" s="11">
        <v>212.22</v>
      </c>
      <c r="Q15" s="11">
        <v>476.41</v>
      </c>
      <c r="R15" s="11">
        <v>189.77</v>
      </c>
      <c r="S15" s="11">
        <v>380</v>
      </c>
      <c r="T15" s="33">
        <v>0</v>
      </c>
      <c r="U15" s="33">
        <v>71</v>
      </c>
      <c r="V15" s="11">
        <v>2005</v>
      </c>
      <c r="W15" s="11">
        <v>450</v>
      </c>
      <c r="X15" s="31">
        <f t="shared" si="19"/>
        <v>-29.25</v>
      </c>
      <c r="Y15" s="32">
        <f t="shared" si="9"/>
        <v>0</v>
      </c>
      <c r="Z15" s="32">
        <f t="shared" si="21"/>
        <v>60</v>
      </c>
      <c r="AA15" s="33">
        <v>0</v>
      </c>
      <c r="AB15" s="33">
        <f t="shared" si="22"/>
        <v>50</v>
      </c>
      <c r="AC15" s="33">
        <v>40</v>
      </c>
      <c r="AD15" s="33"/>
      <c r="AE15" s="33">
        <f t="shared" si="20"/>
        <v>-90</v>
      </c>
    </row>
    <row r="16" spans="1:32" s="35" customFormat="1" ht="18.75">
      <c r="A16" s="9">
        <v>44939</v>
      </c>
      <c r="B16" s="10" t="s">
        <v>20</v>
      </c>
      <c r="C16" s="11">
        <v>11608.44</v>
      </c>
      <c r="D16" s="11">
        <v>5183</v>
      </c>
      <c r="E16" s="11">
        <v>40</v>
      </c>
      <c r="F16" s="11">
        <v>71</v>
      </c>
      <c r="G16" s="11">
        <v>250</v>
      </c>
      <c r="H16" s="11">
        <v>370</v>
      </c>
      <c r="I16" s="11">
        <f t="shared" si="17"/>
        <v>17528.440000000002</v>
      </c>
      <c r="J16" s="43">
        <v>2951.32</v>
      </c>
      <c r="K16" s="43">
        <v>0</v>
      </c>
      <c r="L16" s="11">
        <f t="shared" si="18"/>
        <v>14037.12</v>
      </c>
      <c r="M16" s="11">
        <f>4262.53+7478.53+1148.12+151.99</f>
        <v>13041.17</v>
      </c>
      <c r="N16" s="11">
        <v>0</v>
      </c>
      <c r="O16" s="11">
        <v>0</v>
      </c>
      <c r="P16" s="11">
        <v>316.85000000000002</v>
      </c>
      <c r="Q16" s="11">
        <v>494.77</v>
      </c>
      <c r="R16" s="11">
        <v>184.33</v>
      </c>
      <c r="S16" s="11">
        <v>469.56</v>
      </c>
      <c r="T16" s="33">
        <v>6</v>
      </c>
      <c r="U16" s="33">
        <v>31</v>
      </c>
      <c r="V16" s="11">
        <v>2447.2800000000002</v>
      </c>
      <c r="W16" s="11">
        <v>450</v>
      </c>
      <c r="X16" s="31">
        <f t="shared" si="19"/>
        <v>2.5199999999999818</v>
      </c>
      <c r="Y16" s="32">
        <f t="shared" si="9"/>
        <v>-300</v>
      </c>
      <c r="Z16" s="32">
        <f t="shared" si="21"/>
        <v>80</v>
      </c>
      <c r="AA16" s="33">
        <v>170</v>
      </c>
      <c r="AB16" s="33">
        <f t="shared" si="22"/>
        <v>300</v>
      </c>
      <c r="AC16" s="33">
        <v>70</v>
      </c>
      <c r="AD16" s="33"/>
      <c r="AE16" s="33">
        <f t="shared" si="20"/>
        <v>-370</v>
      </c>
    </row>
    <row r="17" spans="1:33" s="35" customFormat="1" ht="18.75">
      <c r="A17" s="9">
        <v>44940</v>
      </c>
      <c r="B17" s="10" t="s">
        <v>21</v>
      </c>
      <c r="C17" s="11">
        <v>8719.81</v>
      </c>
      <c r="D17" s="11">
        <v>4397.9799999999996</v>
      </c>
      <c r="E17" s="11">
        <v>28</v>
      </c>
      <c r="F17" s="11">
        <v>130</v>
      </c>
      <c r="G17" s="11">
        <v>106</v>
      </c>
      <c r="H17" s="11">
        <v>16.2</v>
      </c>
      <c r="I17" s="11">
        <f t="shared" si="17"/>
        <v>13397.99</v>
      </c>
      <c r="J17" s="11">
        <v>3052.89</v>
      </c>
      <c r="K17" s="11">
        <v>0</v>
      </c>
      <c r="L17" s="11">
        <f t="shared" si="18"/>
        <v>10273.199999999999</v>
      </c>
      <c r="M17" s="11">
        <f>723.66+3141.94+5779.81+82.74</f>
        <v>9728.15</v>
      </c>
      <c r="N17" s="11">
        <v>100.61</v>
      </c>
      <c r="O17" s="11">
        <v>0</v>
      </c>
      <c r="P17" s="11">
        <v>202.65</v>
      </c>
      <c r="Q17" s="11">
        <v>151.33000000000001</v>
      </c>
      <c r="R17" s="11">
        <v>90.46</v>
      </c>
      <c r="S17" s="11">
        <v>0</v>
      </c>
      <c r="T17" s="33">
        <v>0</v>
      </c>
      <c r="U17" s="33">
        <v>17.3</v>
      </c>
      <c r="V17" s="11">
        <v>3030</v>
      </c>
      <c r="W17" s="11">
        <v>450</v>
      </c>
      <c r="X17" s="31">
        <f t="shared" si="19"/>
        <v>-5.5899999999996908</v>
      </c>
      <c r="Y17" s="32">
        <f t="shared" si="9"/>
        <v>5.2999999999992724</v>
      </c>
      <c r="Z17" s="32">
        <f t="shared" si="21"/>
        <v>45</v>
      </c>
      <c r="AA17" s="33">
        <v>61</v>
      </c>
      <c r="AB17" s="33">
        <f t="shared" si="22"/>
        <v>0</v>
      </c>
      <c r="AC17" s="33">
        <v>16.2</v>
      </c>
      <c r="AD17" s="33"/>
      <c r="AE17" s="33">
        <f t="shared" si="20"/>
        <v>-16.2</v>
      </c>
    </row>
    <row r="18" spans="1:33" s="35" customFormat="1" ht="18.75">
      <c r="A18" s="9">
        <v>44941</v>
      </c>
      <c r="B18" s="10" t="s">
        <v>22</v>
      </c>
      <c r="C18" s="11">
        <f>8568.02+30</f>
        <v>8598.02</v>
      </c>
      <c r="D18" s="11">
        <v>3422.32</v>
      </c>
      <c r="E18" s="11">
        <v>0</v>
      </c>
      <c r="F18" s="11">
        <v>129</v>
      </c>
      <c r="G18" s="11">
        <v>180</v>
      </c>
      <c r="H18" s="11">
        <v>10</v>
      </c>
      <c r="I18" s="11">
        <f t="shared" si="17"/>
        <v>12339.34</v>
      </c>
      <c r="J18" s="11">
        <v>2184.0500000000002</v>
      </c>
      <c r="K18" s="11">
        <v>0</v>
      </c>
      <c r="L18" s="11">
        <f t="shared" si="18"/>
        <v>10095.289999999997</v>
      </c>
      <c r="M18" s="11">
        <f>855.22+3050.19+5322.64</f>
        <v>9228.0499999999993</v>
      </c>
      <c r="N18" s="11">
        <v>138.76</v>
      </c>
      <c r="O18" s="11">
        <v>0</v>
      </c>
      <c r="P18" s="11">
        <v>204.21</v>
      </c>
      <c r="Q18" s="11">
        <v>294.55</v>
      </c>
      <c r="R18" s="11">
        <v>229.72</v>
      </c>
      <c r="S18" s="11">
        <v>97.1</v>
      </c>
      <c r="T18" s="33">
        <v>0</v>
      </c>
      <c r="U18" s="33">
        <v>93</v>
      </c>
      <c r="V18" s="11">
        <v>1996</v>
      </c>
      <c r="W18" s="11">
        <v>450</v>
      </c>
      <c r="X18" s="31">
        <f t="shared" si="19"/>
        <v>2.0499999999997272</v>
      </c>
      <c r="Y18" s="32">
        <f t="shared" si="9"/>
        <v>-30.000000000003638</v>
      </c>
      <c r="Z18" s="32">
        <f t="shared" si="21"/>
        <v>160</v>
      </c>
      <c r="AA18" s="33">
        <v>20</v>
      </c>
      <c r="AB18" s="33">
        <f t="shared" si="22"/>
        <v>0</v>
      </c>
      <c r="AC18" s="33">
        <v>10</v>
      </c>
      <c r="AD18" s="33"/>
      <c r="AE18" s="33">
        <f t="shared" si="20"/>
        <v>-10</v>
      </c>
    </row>
    <row r="19" spans="1:33" ht="37.5" customHeight="1">
      <c r="A19" s="65" t="s">
        <v>27</v>
      </c>
      <c r="B19" s="66"/>
      <c r="C19" s="27">
        <f>SUM(C12:C18)</f>
        <v>67575.37</v>
      </c>
      <c r="D19" s="27">
        <f t="shared" ref="D19:AE19" si="23">SUM(D12:D18)</f>
        <v>26753.45</v>
      </c>
      <c r="E19" s="27">
        <f t="shared" si="23"/>
        <v>149</v>
      </c>
      <c r="F19" s="27">
        <f t="shared" si="23"/>
        <v>556</v>
      </c>
      <c r="G19" s="27">
        <f t="shared" si="23"/>
        <v>931</v>
      </c>
      <c r="H19" s="27">
        <f t="shared" si="23"/>
        <v>811.36</v>
      </c>
      <c r="I19" s="27">
        <f t="shared" si="23"/>
        <v>96809.180000000008</v>
      </c>
      <c r="J19" s="27">
        <f t="shared" si="23"/>
        <v>18519.16</v>
      </c>
      <c r="K19" s="27">
        <f t="shared" si="23"/>
        <v>0</v>
      </c>
      <c r="L19" s="27">
        <f t="shared" si="23"/>
        <v>76995.78</v>
      </c>
      <c r="M19" s="27">
        <f t="shared" si="23"/>
        <v>69947.349999999991</v>
      </c>
      <c r="N19" s="27">
        <f t="shared" si="23"/>
        <v>370.8</v>
      </c>
      <c r="O19" s="27">
        <f t="shared" si="23"/>
        <v>166.7</v>
      </c>
      <c r="P19" s="27">
        <f t="shared" si="23"/>
        <v>1870.67</v>
      </c>
      <c r="Q19" s="27">
        <f t="shared" si="23"/>
        <v>3217.9</v>
      </c>
      <c r="R19" s="27">
        <f t="shared" si="23"/>
        <v>1422.3600000000001</v>
      </c>
      <c r="S19" s="27">
        <f t="shared" si="23"/>
        <v>1264.2099999999998</v>
      </c>
      <c r="T19" s="27">
        <f t="shared" si="23"/>
        <v>33</v>
      </c>
      <c r="U19" s="27">
        <f t="shared" si="23"/>
        <v>357.3</v>
      </c>
      <c r="V19" s="27">
        <f t="shared" si="23"/>
        <v>16853.28</v>
      </c>
      <c r="W19" s="27">
        <f t="shared" si="23"/>
        <v>3150</v>
      </c>
      <c r="X19" s="27">
        <f t="shared" si="23"/>
        <v>-11.370000000000346</v>
      </c>
      <c r="Y19" s="27">
        <f t="shared" si="23"/>
        <v>-584.53999999999905</v>
      </c>
      <c r="Z19" s="27">
        <f t="shared" si="23"/>
        <v>475</v>
      </c>
      <c r="AA19" s="27">
        <f t="shared" si="23"/>
        <v>456</v>
      </c>
      <c r="AB19" s="27">
        <f t="shared" si="23"/>
        <v>557.66</v>
      </c>
      <c r="AC19" s="27">
        <f t="shared" si="23"/>
        <v>253.7</v>
      </c>
      <c r="AD19" s="27">
        <f t="shared" si="23"/>
        <v>0</v>
      </c>
      <c r="AE19" s="27">
        <f t="shared" si="23"/>
        <v>-619.70000000000005</v>
      </c>
      <c r="AG19" s="49">
        <f>557.66-459</f>
        <v>98.659999999999968</v>
      </c>
    </row>
    <row r="20" spans="1:33" s="35" customFormat="1" ht="18.75">
      <c r="A20" s="9">
        <v>44942</v>
      </c>
      <c r="B20" s="10" t="s">
        <v>23</v>
      </c>
      <c r="C20" s="11">
        <v>10650.71</v>
      </c>
      <c r="D20" s="11">
        <v>3183.5</v>
      </c>
      <c r="E20" s="11">
        <v>9.5</v>
      </c>
      <c r="F20" s="11">
        <v>43</v>
      </c>
      <c r="G20" s="11">
        <v>215</v>
      </c>
      <c r="H20" s="11">
        <v>63</v>
      </c>
      <c r="I20" s="11">
        <f t="shared" ref="I20:I26" si="24">SUM(C20:H20,T20)</f>
        <v>14164.71</v>
      </c>
      <c r="J20" s="11">
        <v>2856.86</v>
      </c>
      <c r="K20" s="11">
        <v>0</v>
      </c>
      <c r="L20" s="11">
        <f t="shared" ref="L20:L26" si="25">SUM(M20:R20)</f>
        <v>11154.789999999999</v>
      </c>
      <c r="M20" s="11">
        <f>3097.57+799.7+6193.53</f>
        <v>10090.799999999999</v>
      </c>
      <c r="N20" s="11">
        <v>20</v>
      </c>
      <c r="O20" s="11">
        <v>0</v>
      </c>
      <c r="P20" s="11">
        <v>174.03</v>
      </c>
      <c r="Q20" s="11">
        <v>595.23</v>
      </c>
      <c r="R20" s="11">
        <v>274.73</v>
      </c>
      <c r="S20" s="11">
        <v>347.5</v>
      </c>
      <c r="T20" s="33">
        <v>0</v>
      </c>
      <c r="U20" s="33">
        <v>38.200000000000003</v>
      </c>
      <c r="V20" s="11">
        <v>2471</v>
      </c>
      <c r="W20" s="11">
        <v>450</v>
      </c>
      <c r="X20" s="31">
        <f t="shared" ref="X20:X26" si="26">SUM(S20,T20,U20,V20)-J20</f>
        <v>-0.16000000000030923</v>
      </c>
      <c r="Y20" s="32">
        <f t="shared" si="9"/>
        <v>-5.9999999999490683E-2</v>
      </c>
      <c r="Z20" s="32">
        <f t="shared" si="21"/>
        <v>125</v>
      </c>
      <c r="AA20" s="32">
        <v>90</v>
      </c>
      <c r="AB20" s="33">
        <f t="shared" ref="AB20:AB26" si="27">SUM(H20-AC20)</f>
        <v>0</v>
      </c>
      <c r="AC20" s="33">
        <v>63</v>
      </c>
      <c r="AD20" s="33"/>
      <c r="AE20" s="33">
        <f t="shared" ref="AE20:AE26" si="28">SUM(AD20-H20)</f>
        <v>-63</v>
      </c>
      <c r="AG20" s="35">
        <v>253.7</v>
      </c>
    </row>
    <row r="21" spans="1:33" s="35" customFormat="1" ht="18.75">
      <c r="A21" s="9">
        <v>44943</v>
      </c>
      <c r="B21" s="10" t="s">
        <v>24</v>
      </c>
      <c r="C21" s="11">
        <v>9822.61</v>
      </c>
      <c r="D21" s="11">
        <v>3003.38</v>
      </c>
      <c r="E21" s="11">
        <v>20.5</v>
      </c>
      <c r="F21" s="11">
        <v>62</v>
      </c>
      <c r="G21" s="11">
        <v>120</v>
      </c>
      <c r="H21" s="11">
        <v>10</v>
      </c>
      <c r="I21" s="11">
        <f t="shared" si="24"/>
        <v>13111.960000000001</v>
      </c>
      <c r="J21" s="11">
        <v>2185.15</v>
      </c>
      <c r="K21" s="11">
        <v>0</v>
      </c>
      <c r="L21" s="11">
        <f t="shared" si="25"/>
        <v>10796.810000000001</v>
      </c>
      <c r="M21" s="11">
        <f>5855.5+599.96+3399.48</f>
        <v>9854.94</v>
      </c>
      <c r="N21" s="11">
        <v>30.01</v>
      </c>
      <c r="O21" s="11">
        <v>0</v>
      </c>
      <c r="P21" s="11">
        <v>187.42</v>
      </c>
      <c r="Q21" s="11">
        <v>492.86</v>
      </c>
      <c r="R21" s="11">
        <v>231.58</v>
      </c>
      <c r="S21" s="11">
        <v>0</v>
      </c>
      <c r="T21" s="33">
        <v>73.47</v>
      </c>
      <c r="U21" s="33">
        <v>74.3</v>
      </c>
      <c r="V21" s="11">
        <v>2008</v>
      </c>
      <c r="W21" s="11">
        <v>450</v>
      </c>
      <c r="X21" s="31">
        <f t="shared" si="26"/>
        <v>-29.380000000000109</v>
      </c>
      <c r="Y21" s="32">
        <f t="shared" si="9"/>
        <v>0</v>
      </c>
      <c r="Z21" s="32">
        <f t="shared" si="21"/>
        <v>0</v>
      </c>
      <c r="AA21" s="32">
        <v>120</v>
      </c>
      <c r="AB21" s="33">
        <f t="shared" si="27"/>
        <v>0</v>
      </c>
      <c r="AC21" s="33">
        <v>10</v>
      </c>
      <c r="AD21" s="33"/>
      <c r="AE21" s="33">
        <f t="shared" si="28"/>
        <v>-10</v>
      </c>
      <c r="AG21" s="35">
        <v>459</v>
      </c>
    </row>
    <row r="22" spans="1:33" s="35" customFormat="1" ht="18.75">
      <c r="A22" s="9">
        <v>44944</v>
      </c>
      <c r="B22" s="10" t="s">
        <v>25</v>
      </c>
      <c r="C22" s="11">
        <v>8488.16</v>
      </c>
      <c r="D22" s="11">
        <v>3808.66</v>
      </c>
      <c r="E22" s="11">
        <v>2</v>
      </c>
      <c r="F22" s="11">
        <v>38</v>
      </c>
      <c r="G22" s="11">
        <v>185</v>
      </c>
      <c r="H22" s="11">
        <v>-27</v>
      </c>
      <c r="I22" s="11">
        <f t="shared" si="24"/>
        <v>12494.82</v>
      </c>
      <c r="J22" s="11">
        <f>2392.26-67</f>
        <v>2325.2600000000002</v>
      </c>
      <c r="K22" s="11">
        <v>0</v>
      </c>
      <c r="L22" s="11">
        <f t="shared" si="25"/>
        <v>10109.560000000001</v>
      </c>
      <c r="M22" s="11">
        <f>2639.59+5398.82+862.68</f>
        <v>8901.09</v>
      </c>
      <c r="N22" s="11">
        <v>47.48</v>
      </c>
      <c r="O22" s="11">
        <v>108.16</v>
      </c>
      <c r="P22" s="11">
        <v>253.03</v>
      </c>
      <c r="Q22" s="11">
        <v>580.27</v>
      </c>
      <c r="R22" s="11">
        <v>219.53</v>
      </c>
      <c r="S22" s="11">
        <v>0</v>
      </c>
      <c r="T22" s="33">
        <v>0</v>
      </c>
      <c r="U22" s="33">
        <v>8</v>
      </c>
      <c r="V22" s="11">
        <v>2298</v>
      </c>
      <c r="W22" s="11">
        <v>450</v>
      </c>
      <c r="X22" s="31">
        <f t="shared" si="26"/>
        <v>-19.260000000000218</v>
      </c>
      <c r="Y22" s="32">
        <f t="shared" si="9"/>
        <v>0</v>
      </c>
      <c r="Z22" s="32">
        <f t="shared" si="21"/>
        <v>125</v>
      </c>
      <c r="AA22" s="32">
        <v>60</v>
      </c>
      <c r="AB22" s="33">
        <f t="shared" si="27"/>
        <v>-27</v>
      </c>
      <c r="AC22" s="33">
        <v>0</v>
      </c>
      <c r="AD22" s="33"/>
      <c r="AE22" s="33">
        <f t="shared" si="28"/>
        <v>27</v>
      </c>
    </row>
    <row r="23" spans="1:33" s="35" customFormat="1" ht="18.75">
      <c r="A23" s="9">
        <v>44945</v>
      </c>
      <c r="B23" s="10" t="s">
        <v>26</v>
      </c>
      <c r="C23" s="11">
        <v>10504.7</v>
      </c>
      <c r="D23" s="11">
        <v>3851.18</v>
      </c>
      <c r="E23" s="11">
        <v>11</v>
      </c>
      <c r="F23" s="11">
        <v>91</v>
      </c>
      <c r="G23" s="11">
        <v>20</v>
      </c>
      <c r="H23" s="11">
        <v>85</v>
      </c>
      <c r="I23" s="11">
        <f t="shared" si="24"/>
        <v>14582.880000000001</v>
      </c>
      <c r="J23" s="11">
        <v>2958.67</v>
      </c>
      <c r="K23" s="11">
        <v>0</v>
      </c>
      <c r="L23" s="11">
        <f t="shared" si="25"/>
        <v>11479.670000000002</v>
      </c>
      <c r="M23" s="11">
        <f>6050.22+3267.34+1070.52</f>
        <v>10388.080000000002</v>
      </c>
      <c r="N23" s="11">
        <v>0</v>
      </c>
      <c r="O23" s="11">
        <v>0</v>
      </c>
      <c r="P23" s="11">
        <v>339.09</v>
      </c>
      <c r="Q23" s="11">
        <v>389.77</v>
      </c>
      <c r="R23" s="11">
        <v>362.73</v>
      </c>
      <c r="S23" s="11">
        <v>144.41</v>
      </c>
      <c r="T23" s="33">
        <v>20</v>
      </c>
      <c r="U23" s="33">
        <v>67</v>
      </c>
      <c r="V23" s="11">
        <v>2670</v>
      </c>
      <c r="W23" s="11">
        <v>450</v>
      </c>
      <c r="X23" s="31">
        <f t="shared" si="26"/>
        <v>-57.260000000000218</v>
      </c>
      <c r="Y23" s="32">
        <f t="shared" si="9"/>
        <v>-94.539999999999054</v>
      </c>
      <c r="Z23" s="32">
        <f t="shared" si="21"/>
        <v>0</v>
      </c>
      <c r="AA23" s="32">
        <v>20</v>
      </c>
      <c r="AB23" s="33">
        <f t="shared" si="27"/>
        <v>55</v>
      </c>
      <c r="AC23" s="33">
        <v>30</v>
      </c>
      <c r="AD23" s="33"/>
      <c r="AE23" s="33">
        <f t="shared" si="28"/>
        <v>-85</v>
      </c>
    </row>
    <row r="24" spans="1:33" s="35" customFormat="1" ht="18.75">
      <c r="A24" s="9">
        <v>44946</v>
      </c>
      <c r="B24" s="10" t="s">
        <v>20</v>
      </c>
      <c r="C24" s="11">
        <v>11460.95</v>
      </c>
      <c r="D24" s="11">
        <v>4954.5</v>
      </c>
      <c r="E24" s="11">
        <v>23.5</v>
      </c>
      <c r="F24" s="11">
        <v>64</v>
      </c>
      <c r="G24" s="11">
        <v>385</v>
      </c>
      <c r="H24" s="11">
        <v>50</v>
      </c>
      <c r="I24" s="11">
        <f t="shared" si="24"/>
        <v>16958.95</v>
      </c>
      <c r="J24" s="11">
        <v>3324.18</v>
      </c>
      <c r="K24" s="11">
        <v>0</v>
      </c>
      <c r="L24" s="11">
        <f t="shared" si="25"/>
        <v>13459.769999999999</v>
      </c>
      <c r="M24" s="11">
        <f>7515.23+1225.6+4052.16</f>
        <v>12792.99</v>
      </c>
      <c r="N24" s="11">
        <v>21.49</v>
      </c>
      <c r="O24" s="11">
        <v>0</v>
      </c>
      <c r="P24" s="11">
        <v>0</v>
      </c>
      <c r="Q24" s="11">
        <v>443.96</v>
      </c>
      <c r="R24" s="11">
        <v>201.33</v>
      </c>
      <c r="S24" s="11">
        <v>247.71</v>
      </c>
      <c r="T24" s="33">
        <v>21</v>
      </c>
      <c r="U24" s="33">
        <v>38</v>
      </c>
      <c r="V24" s="11">
        <v>3011</v>
      </c>
      <c r="W24" s="11">
        <v>450</v>
      </c>
      <c r="X24" s="31">
        <f t="shared" si="26"/>
        <v>-6.4699999999997999</v>
      </c>
      <c r="Y24" s="32">
        <f t="shared" si="9"/>
        <v>4.999999999996362</v>
      </c>
      <c r="Z24" s="32">
        <f t="shared" si="21"/>
        <v>245</v>
      </c>
      <c r="AA24" s="32">
        <v>140</v>
      </c>
      <c r="AB24" s="33">
        <f t="shared" si="27"/>
        <v>10</v>
      </c>
      <c r="AC24" s="33">
        <v>40</v>
      </c>
      <c r="AD24" s="33"/>
      <c r="AE24" s="33">
        <f t="shared" si="28"/>
        <v>-50</v>
      </c>
    </row>
    <row r="25" spans="1:33" s="35" customFormat="1" ht="18.75">
      <c r="A25" s="9">
        <v>44947</v>
      </c>
      <c r="B25" s="10" t="s">
        <v>21</v>
      </c>
      <c r="C25" s="11">
        <v>8606.83</v>
      </c>
      <c r="D25" s="11">
        <v>4435.84</v>
      </c>
      <c r="E25" s="11">
        <v>18.5</v>
      </c>
      <c r="F25" s="11">
        <v>39</v>
      </c>
      <c r="G25" s="11">
        <v>40</v>
      </c>
      <c r="H25" s="11">
        <v>20</v>
      </c>
      <c r="I25" s="11">
        <f t="shared" si="24"/>
        <v>13161.17</v>
      </c>
      <c r="J25" s="11">
        <v>3239.07</v>
      </c>
      <c r="K25" s="11">
        <v>0</v>
      </c>
      <c r="L25" s="11">
        <f t="shared" si="25"/>
        <v>9872.0999999999985</v>
      </c>
      <c r="M25" s="11">
        <f>2868.68+5730.76+845.04</f>
        <v>9444.48</v>
      </c>
      <c r="N25" s="11">
        <v>0</v>
      </c>
      <c r="O25" s="11">
        <v>0</v>
      </c>
      <c r="P25" s="11">
        <v>234.48</v>
      </c>
      <c r="Q25" s="11">
        <v>0</v>
      </c>
      <c r="R25" s="11">
        <v>193.14</v>
      </c>
      <c r="S25" s="11">
        <v>241.03</v>
      </c>
      <c r="T25" s="33">
        <v>1</v>
      </c>
      <c r="U25" s="33">
        <v>12.5</v>
      </c>
      <c r="V25" s="11">
        <v>2984</v>
      </c>
      <c r="W25" s="11">
        <v>450</v>
      </c>
      <c r="X25" s="31">
        <f t="shared" si="26"/>
        <v>-0.53999999999996362</v>
      </c>
      <c r="Y25" s="32">
        <f t="shared" si="9"/>
        <v>0</v>
      </c>
      <c r="Z25" s="32">
        <f t="shared" si="21"/>
        <v>10</v>
      </c>
      <c r="AA25" s="32">
        <v>30</v>
      </c>
      <c r="AB25" s="33">
        <f t="shared" si="27"/>
        <v>0</v>
      </c>
      <c r="AC25" s="33">
        <v>20</v>
      </c>
      <c r="AD25" s="33"/>
      <c r="AE25" s="33">
        <f t="shared" si="28"/>
        <v>-20</v>
      </c>
    </row>
    <row r="26" spans="1:33" s="35" customFormat="1" ht="18.75">
      <c r="A26" s="9">
        <v>44948</v>
      </c>
      <c r="B26" s="10" t="s">
        <v>22</v>
      </c>
      <c r="C26" s="11">
        <v>7804.69</v>
      </c>
      <c r="D26" s="11">
        <v>3369.08</v>
      </c>
      <c r="E26" s="11">
        <v>0</v>
      </c>
      <c r="F26" s="11">
        <v>153</v>
      </c>
      <c r="G26" s="11">
        <v>80</v>
      </c>
      <c r="H26" s="11">
        <v>30</v>
      </c>
      <c r="I26" s="11">
        <f t="shared" si="24"/>
        <v>11456.77</v>
      </c>
      <c r="J26" s="11">
        <v>2386.4</v>
      </c>
      <c r="K26" s="11">
        <v>1.9</v>
      </c>
      <c r="L26" s="11">
        <f t="shared" si="25"/>
        <v>9028.4699999999993</v>
      </c>
      <c r="M26" s="11">
        <f>2907.39+5073.7+559.36</f>
        <v>8540.4500000000007</v>
      </c>
      <c r="N26" s="11">
        <v>0</v>
      </c>
      <c r="O26" s="11">
        <v>0</v>
      </c>
      <c r="P26" s="11">
        <v>0</v>
      </c>
      <c r="Q26" s="11">
        <v>343.21</v>
      </c>
      <c r="R26" s="11">
        <v>144.81</v>
      </c>
      <c r="S26" s="11">
        <v>96.6</v>
      </c>
      <c r="T26" s="33">
        <v>20</v>
      </c>
      <c r="U26" s="33">
        <v>224</v>
      </c>
      <c r="V26" s="11">
        <v>2050</v>
      </c>
      <c r="W26" s="11">
        <v>450</v>
      </c>
      <c r="X26" s="31">
        <f t="shared" si="26"/>
        <v>4.1999999999998181</v>
      </c>
      <c r="Y26" s="32">
        <f t="shared" si="9"/>
        <v>0</v>
      </c>
      <c r="Z26" s="32">
        <f t="shared" si="21"/>
        <v>70</v>
      </c>
      <c r="AA26" s="32">
        <v>10</v>
      </c>
      <c r="AB26" s="33">
        <f t="shared" si="27"/>
        <v>0</v>
      </c>
      <c r="AC26" s="33">
        <v>30</v>
      </c>
      <c r="AD26" s="33"/>
      <c r="AE26" s="33">
        <f t="shared" si="28"/>
        <v>-30</v>
      </c>
    </row>
    <row r="27" spans="1:33" ht="37.5" customHeight="1">
      <c r="A27" s="65" t="s">
        <v>27</v>
      </c>
      <c r="B27" s="66"/>
      <c r="C27" s="27">
        <f>SUM(C20:C26)</f>
        <v>67338.650000000009</v>
      </c>
      <c r="D27" s="27">
        <f t="shared" ref="D27:AE27" si="29">SUM(D20:D26)</f>
        <v>26606.14</v>
      </c>
      <c r="E27" s="27">
        <f t="shared" si="29"/>
        <v>85</v>
      </c>
      <c r="F27" s="27">
        <f t="shared" si="29"/>
        <v>490</v>
      </c>
      <c r="G27" s="27">
        <f t="shared" si="29"/>
        <v>1045</v>
      </c>
      <c r="H27" s="27">
        <f t="shared" si="29"/>
        <v>231</v>
      </c>
      <c r="I27" s="27">
        <f t="shared" si="29"/>
        <v>95931.26</v>
      </c>
      <c r="J27" s="27">
        <f t="shared" si="29"/>
        <v>19275.590000000004</v>
      </c>
      <c r="K27" s="27">
        <f t="shared" si="29"/>
        <v>1.9</v>
      </c>
      <c r="L27" s="27">
        <f t="shared" si="29"/>
        <v>75901.17</v>
      </c>
      <c r="M27" s="27">
        <f t="shared" si="29"/>
        <v>70012.83</v>
      </c>
      <c r="N27" s="27">
        <f t="shared" si="29"/>
        <v>118.98</v>
      </c>
      <c r="O27" s="27">
        <f t="shared" si="29"/>
        <v>108.16</v>
      </c>
      <c r="P27" s="27">
        <f t="shared" si="29"/>
        <v>1188.05</v>
      </c>
      <c r="Q27" s="27">
        <f t="shared" si="29"/>
        <v>2845.3</v>
      </c>
      <c r="R27" s="27">
        <f t="shared" si="29"/>
        <v>1627.85</v>
      </c>
      <c r="S27" s="27">
        <f t="shared" si="29"/>
        <v>1077.25</v>
      </c>
      <c r="T27" s="27">
        <f t="shared" si="29"/>
        <v>135.47</v>
      </c>
      <c r="U27" s="27">
        <f t="shared" si="29"/>
        <v>462</v>
      </c>
      <c r="V27" s="27">
        <f t="shared" si="29"/>
        <v>17492</v>
      </c>
      <c r="W27" s="27">
        <f t="shared" si="29"/>
        <v>3150</v>
      </c>
      <c r="X27" s="27">
        <f t="shared" si="29"/>
        <v>-108.8700000000008</v>
      </c>
      <c r="Y27" s="27">
        <f t="shared" si="29"/>
        <v>-89.600000000002183</v>
      </c>
      <c r="Z27" s="27">
        <f t="shared" si="29"/>
        <v>575</v>
      </c>
      <c r="AA27" s="27">
        <f t="shared" si="29"/>
        <v>470</v>
      </c>
      <c r="AB27" s="27">
        <f t="shared" si="29"/>
        <v>38</v>
      </c>
      <c r="AC27" s="27">
        <f t="shared" si="29"/>
        <v>193</v>
      </c>
      <c r="AD27" s="27">
        <f t="shared" si="29"/>
        <v>0</v>
      </c>
      <c r="AE27" s="27">
        <f t="shared" si="29"/>
        <v>-231</v>
      </c>
    </row>
    <row r="28" spans="1:33" ht="20.25" customHeight="1">
      <c r="A28" s="9">
        <v>44949</v>
      </c>
      <c r="B28" s="10" t="s">
        <v>23</v>
      </c>
      <c r="C28" s="11">
        <v>10364.280000000001</v>
      </c>
      <c r="D28" s="11">
        <v>3604.21</v>
      </c>
      <c r="E28" s="11">
        <v>5.5</v>
      </c>
      <c r="F28" s="11">
        <v>45</v>
      </c>
      <c r="G28" s="11">
        <v>194</v>
      </c>
      <c r="H28" s="11">
        <v>191.2</v>
      </c>
      <c r="I28" s="11">
        <f t="shared" ref="I28:I34" si="30">SUM(C28:H28,T28)</f>
        <v>14445.190000000002</v>
      </c>
      <c r="J28" s="11">
        <v>2663.63</v>
      </c>
      <c r="K28" s="11">
        <v>0</v>
      </c>
      <c r="L28" s="11">
        <f>SUM(M28:R28)</f>
        <v>11501.36</v>
      </c>
      <c r="M28" s="11">
        <f>6795.48+2948.88+867.85</f>
        <v>10612.210000000001</v>
      </c>
      <c r="N28" s="11">
        <v>0</v>
      </c>
      <c r="O28" s="11">
        <v>0</v>
      </c>
      <c r="P28" s="11">
        <v>313.02</v>
      </c>
      <c r="Q28" s="11">
        <v>361.65</v>
      </c>
      <c r="R28" s="11">
        <v>214.48</v>
      </c>
      <c r="S28" s="11">
        <v>281.33999999999997</v>
      </c>
      <c r="T28" s="33">
        <v>41</v>
      </c>
      <c r="U28" s="33">
        <v>30</v>
      </c>
      <c r="V28" s="11">
        <v>2311</v>
      </c>
      <c r="W28" s="11">
        <v>450</v>
      </c>
      <c r="X28" s="31">
        <f t="shared" ref="X28:X34" si="31">SUM(S28,T28,U28,V28)-J28</f>
        <v>-0.28999999999996362</v>
      </c>
      <c r="Y28" s="32">
        <f t="shared" si="9"/>
        <v>0</v>
      </c>
      <c r="Z28" s="32">
        <f t="shared" si="21"/>
        <v>100</v>
      </c>
      <c r="AA28" s="32">
        <v>94</v>
      </c>
      <c r="AB28" s="33">
        <f t="shared" ref="AB28" si="32">SUM(H28-AC28)</f>
        <v>5</v>
      </c>
      <c r="AC28" s="33">
        <v>186.2</v>
      </c>
      <c r="AD28" s="33"/>
      <c r="AE28" s="33">
        <f>SUM(AD28-H28)</f>
        <v>-191.2</v>
      </c>
    </row>
    <row r="29" spans="1:33" ht="20.25" customHeight="1">
      <c r="A29" s="9">
        <v>44950</v>
      </c>
      <c r="B29" s="10" t="s">
        <v>24</v>
      </c>
      <c r="C29" s="11">
        <v>10586.74</v>
      </c>
      <c r="D29" s="11">
        <v>3562.69</v>
      </c>
      <c r="E29" s="11">
        <v>12</v>
      </c>
      <c r="F29" s="11">
        <v>78</v>
      </c>
      <c r="G29" s="11">
        <v>130</v>
      </c>
      <c r="H29" s="11">
        <v>196.26</v>
      </c>
      <c r="I29" s="11">
        <f t="shared" si="30"/>
        <v>14565.69</v>
      </c>
      <c r="J29" s="11">
        <v>3031.08</v>
      </c>
      <c r="K29" s="11">
        <v>0</v>
      </c>
      <c r="L29" s="11">
        <f t="shared" ref="L29:L34" si="33">SUM(M29:R29)</f>
        <v>11318.349999999999</v>
      </c>
      <c r="M29" s="11">
        <f>5812.09+3310.65+1224.34+30.98</f>
        <v>10378.06</v>
      </c>
      <c r="N29" s="11">
        <v>0</v>
      </c>
      <c r="O29" s="11">
        <v>0</v>
      </c>
      <c r="P29" s="11">
        <v>340.63</v>
      </c>
      <c r="Q29" s="11">
        <v>591.09</v>
      </c>
      <c r="R29" s="11">
        <v>8.57</v>
      </c>
      <c r="S29" s="11">
        <v>0</v>
      </c>
      <c r="T29" s="33">
        <v>0</v>
      </c>
      <c r="U29" s="33">
        <v>42</v>
      </c>
      <c r="V29" s="11">
        <v>2941.8</v>
      </c>
      <c r="W29" s="11">
        <v>450</v>
      </c>
      <c r="X29" s="31">
        <f t="shared" si="31"/>
        <v>-47.279999999999745</v>
      </c>
      <c r="Y29" s="32">
        <f t="shared" ref="Y29:Y34" si="34">SUM(J29+K29+L29+AC29+AA29)-(I29)</f>
        <v>0</v>
      </c>
      <c r="Z29" s="32">
        <f t="shared" ref="Z29:Z34" si="35">SUM(G29-AA29)</f>
        <v>110</v>
      </c>
      <c r="AA29" s="32">
        <v>20</v>
      </c>
      <c r="AB29" s="33">
        <f t="shared" ref="AB29:AB34" si="36">SUM(H29-AC29)</f>
        <v>0</v>
      </c>
      <c r="AC29" s="33">
        <v>196.26</v>
      </c>
      <c r="AD29" s="33"/>
      <c r="AE29" s="33">
        <f t="shared" ref="AE29:AE34" si="37">SUM(AD29-H29)</f>
        <v>-196.26</v>
      </c>
    </row>
    <row r="30" spans="1:33" ht="20.25" customHeight="1">
      <c r="A30" s="9">
        <v>44951</v>
      </c>
      <c r="B30" s="10" t="s">
        <v>25</v>
      </c>
      <c r="C30" s="11">
        <v>9275.16</v>
      </c>
      <c r="D30" s="11">
        <v>3324.21</v>
      </c>
      <c r="E30" s="11">
        <v>15.5</v>
      </c>
      <c r="F30" s="11">
        <v>26</v>
      </c>
      <c r="G30" s="11">
        <v>82</v>
      </c>
      <c r="H30" s="11">
        <v>30</v>
      </c>
      <c r="I30" s="11">
        <f t="shared" si="30"/>
        <v>12752.869999999999</v>
      </c>
      <c r="J30" s="11">
        <v>2053.42</v>
      </c>
      <c r="K30" s="11">
        <v>0</v>
      </c>
      <c r="L30" s="11">
        <f t="shared" si="33"/>
        <v>10547.64</v>
      </c>
      <c r="M30" s="11">
        <f>921.32+2720.89+5981.21</f>
        <v>9623.42</v>
      </c>
      <c r="N30" s="11">
        <v>0</v>
      </c>
      <c r="O30" s="11">
        <v>106.56</v>
      </c>
      <c r="P30" s="11">
        <v>218.6</v>
      </c>
      <c r="Q30" s="11">
        <v>307.08999999999997</v>
      </c>
      <c r="R30" s="11">
        <v>291.97000000000003</v>
      </c>
      <c r="S30" s="11">
        <v>0</v>
      </c>
      <c r="T30" s="33">
        <v>0</v>
      </c>
      <c r="U30" s="33">
        <v>0</v>
      </c>
      <c r="V30" s="11">
        <v>2038</v>
      </c>
      <c r="W30" s="11">
        <v>450</v>
      </c>
      <c r="X30" s="31">
        <f t="shared" si="31"/>
        <v>-15.420000000000073</v>
      </c>
      <c r="Y30" s="32">
        <f t="shared" si="34"/>
        <v>-61.809999999999491</v>
      </c>
      <c r="Z30" s="32">
        <f t="shared" si="35"/>
        <v>22</v>
      </c>
      <c r="AA30" s="32">
        <v>60</v>
      </c>
      <c r="AB30" s="33">
        <f t="shared" si="36"/>
        <v>0</v>
      </c>
      <c r="AC30" s="33">
        <v>30</v>
      </c>
      <c r="AD30" s="33"/>
      <c r="AE30" s="33">
        <f t="shared" si="37"/>
        <v>-30</v>
      </c>
    </row>
    <row r="31" spans="1:33" ht="20.25" customHeight="1">
      <c r="A31" s="9">
        <v>44952</v>
      </c>
      <c r="B31" s="10" t="s">
        <v>26</v>
      </c>
      <c r="C31" s="11">
        <v>10843.36</v>
      </c>
      <c r="D31" s="11">
        <v>4284.88</v>
      </c>
      <c r="E31" s="11">
        <v>4</v>
      </c>
      <c r="F31" s="11">
        <v>56</v>
      </c>
      <c r="G31" s="11">
        <v>169</v>
      </c>
      <c r="H31" s="11">
        <v>209.9</v>
      </c>
      <c r="I31" s="11">
        <f t="shared" si="30"/>
        <v>15607.210000000001</v>
      </c>
      <c r="J31" s="11">
        <v>3140.84</v>
      </c>
      <c r="K31" s="11">
        <v>0</v>
      </c>
      <c r="L31" s="11">
        <f t="shared" si="33"/>
        <v>12082.47</v>
      </c>
      <c r="M31" s="11">
        <f>1157.52+3365.47+6625.99</f>
        <v>11148.98</v>
      </c>
      <c r="N31" s="11">
        <v>13.44</v>
      </c>
      <c r="O31" s="11">
        <v>0</v>
      </c>
      <c r="P31" s="11">
        <v>269.93</v>
      </c>
      <c r="Q31" s="11">
        <v>407.99</v>
      </c>
      <c r="R31" s="11">
        <v>242.13</v>
      </c>
      <c r="S31" s="11">
        <v>223.73</v>
      </c>
      <c r="T31" s="33">
        <v>40.07</v>
      </c>
      <c r="U31" s="33">
        <v>39</v>
      </c>
      <c r="V31" s="11">
        <v>2890</v>
      </c>
      <c r="W31" s="11">
        <v>450</v>
      </c>
      <c r="X31" s="31">
        <f t="shared" si="31"/>
        <v>51.960000000000036</v>
      </c>
      <c r="Y31" s="32">
        <f t="shared" si="34"/>
        <v>-34.900000000001455</v>
      </c>
      <c r="Z31" s="32">
        <f t="shared" si="35"/>
        <v>30</v>
      </c>
      <c r="AA31" s="32">
        <v>139</v>
      </c>
      <c r="AB31" s="33">
        <f t="shared" si="36"/>
        <v>-9.9999999999994316E-2</v>
      </c>
      <c r="AC31" s="33">
        <v>210</v>
      </c>
      <c r="AD31" s="33"/>
      <c r="AE31" s="33">
        <f t="shared" si="37"/>
        <v>-209.9</v>
      </c>
    </row>
    <row r="32" spans="1:33" ht="20.25" customHeight="1">
      <c r="A32" s="9">
        <v>44953</v>
      </c>
      <c r="B32" s="10" t="s">
        <v>20</v>
      </c>
      <c r="C32" s="11">
        <v>10907.64</v>
      </c>
      <c r="D32" s="11">
        <v>5052.84</v>
      </c>
      <c r="E32" s="11">
        <v>22.5</v>
      </c>
      <c r="F32" s="11">
        <v>130</v>
      </c>
      <c r="G32" s="11">
        <v>259</v>
      </c>
      <c r="H32" s="11">
        <v>20</v>
      </c>
      <c r="I32" s="11">
        <f t="shared" si="30"/>
        <v>16391.98</v>
      </c>
      <c r="J32" s="11">
        <v>2624.92</v>
      </c>
      <c r="K32" s="11">
        <v>0</v>
      </c>
      <c r="L32" s="11">
        <f t="shared" si="33"/>
        <v>13557.06</v>
      </c>
      <c r="M32" s="11">
        <f>83.17+528.77+4420.3+7951.06</f>
        <v>12983.3</v>
      </c>
      <c r="N32" s="11">
        <v>0</v>
      </c>
      <c r="O32" s="11">
        <v>0</v>
      </c>
      <c r="P32" s="11">
        <v>72.12</v>
      </c>
      <c r="Q32" s="11">
        <v>313.81</v>
      </c>
      <c r="R32" s="11">
        <v>187.83</v>
      </c>
      <c r="S32" s="11">
        <f>227.61+20</f>
        <v>247.61</v>
      </c>
      <c r="T32" s="33">
        <v>0</v>
      </c>
      <c r="U32" s="33">
        <v>46</v>
      </c>
      <c r="V32" s="11">
        <v>2321.08</v>
      </c>
      <c r="W32" s="11">
        <v>450</v>
      </c>
      <c r="X32" s="31">
        <f t="shared" si="31"/>
        <v>-10.230000000000018</v>
      </c>
      <c r="Y32" s="32">
        <f t="shared" si="34"/>
        <v>0</v>
      </c>
      <c r="Z32" s="32">
        <f t="shared" si="35"/>
        <v>49</v>
      </c>
      <c r="AA32" s="32">
        <v>210</v>
      </c>
      <c r="AB32" s="33">
        <f t="shared" si="36"/>
        <v>20</v>
      </c>
      <c r="AC32" s="33">
        <v>0</v>
      </c>
      <c r="AD32" s="33"/>
      <c r="AE32" s="33">
        <f t="shared" si="37"/>
        <v>-20</v>
      </c>
    </row>
    <row r="33" spans="1:31" ht="20.25" customHeight="1">
      <c r="A33" s="9">
        <v>44954</v>
      </c>
      <c r="B33" s="10" t="s">
        <v>21</v>
      </c>
      <c r="C33" s="11">
        <f>7837.53+211.3</f>
        <v>8048.83</v>
      </c>
      <c r="D33" s="11">
        <v>4905.8100000000004</v>
      </c>
      <c r="E33" s="11">
        <v>51</v>
      </c>
      <c r="F33" s="11">
        <v>61</v>
      </c>
      <c r="G33" s="11">
        <v>170</v>
      </c>
      <c r="H33" s="11">
        <v>20</v>
      </c>
      <c r="I33" s="11">
        <f t="shared" si="30"/>
        <v>13256.64</v>
      </c>
      <c r="J33" s="11">
        <v>2680.59</v>
      </c>
      <c r="K33" s="11">
        <v>0</v>
      </c>
      <c r="L33" s="11">
        <v>10284.75</v>
      </c>
      <c r="M33" s="11">
        <f>58.4+899.25+3592.09+5577.54</f>
        <v>10127.279999999999</v>
      </c>
      <c r="N33" s="11">
        <v>20</v>
      </c>
      <c r="O33" s="11">
        <v>0</v>
      </c>
      <c r="P33" s="11">
        <v>39.42</v>
      </c>
      <c r="Q33" s="11">
        <v>98.05</v>
      </c>
      <c r="R33" s="11">
        <v>0</v>
      </c>
      <c r="S33" s="11">
        <v>60</v>
      </c>
      <c r="T33" s="33">
        <v>0</v>
      </c>
      <c r="U33" s="33">
        <v>77.5</v>
      </c>
      <c r="V33" s="11">
        <v>2545.61</v>
      </c>
      <c r="W33" s="11">
        <v>450</v>
      </c>
      <c r="X33" s="31">
        <f t="shared" si="31"/>
        <v>2.5199999999999818</v>
      </c>
      <c r="Y33" s="32">
        <f t="shared" si="34"/>
        <v>-211.29999999999927</v>
      </c>
      <c r="Z33" s="32">
        <f t="shared" si="35"/>
        <v>90</v>
      </c>
      <c r="AA33" s="32">
        <v>80</v>
      </c>
      <c r="AB33" s="33">
        <v>20</v>
      </c>
      <c r="AC33" s="33">
        <v>0</v>
      </c>
      <c r="AD33" s="33"/>
      <c r="AE33" s="33">
        <f t="shared" si="37"/>
        <v>-20</v>
      </c>
    </row>
    <row r="34" spans="1:31" ht="20.25" customHeight="1">
      <c r="A34" s="9">
        <v>44955</v>
      </c>
      <c r="B34" s="10" t="s">
        <v>22</v>
      </c>
      <c r="C34" s="11">
        <v>8974.6299999999992</v>
      </c>
      <c r="D34" s="11">
        <v>3702.42</v>
      </c>
      <c r="E34" s="11">
        <v>0</v>
      </c>
      <c r="F34" s="11">
        <v>26</v>
      </c>
      <c r="G34" s="11">
        <v>40</v>
      </c>
      <c r="H34" s="11">
        <v>30</v>
      </c>
      <c r="I34" s="11">
        <f t="shared" si="30"/>
        <v>12873.09</v>
      </c>
      <c r="J34" s="11">
        <v>1887.89</v>
      </c>
      <c r="K34" s="11">
        <v>0</v>
      </c>
      <c r="L34" s="11">
        <f t="shared" si="33"/>
        <v>10943.100000000002</v>
      </c>
      <c r="M34" s="11">
        <f>926.31+3508.02+5741</f>
        <v>10175.33</v>
      </c>
      <c r="N34" s="11">
        <v>37.61</v>
      </c>
      <c r="O34" s="11">
        <v>80</v>
      </c>
      <c r="P34" s="11">
        <v>169.52</v>
      </c>
      <c r="Q34" s="11">
        <v>419.77</v>
      </c>
      <c r="R34" s="11">
        <v>60.87</v>
      </c>
      <c r="S34" s="11">
        <v>102</v>
      </c>
      <c r="T34" s="33">
        <v>100.04</v>
      </c>
      <c r="U34" s="33">
        <v>98.2</v>
      </c>
      <c r="V34" s="11">
        <v>1556</v>
      </c>
      <c r="W34" s="11">
        <v>455</v>
      </c>
      <c r="X34" s="31">
        <f t="shared" si="31"/>
        <v>-31.650000000000091</v>
      </c>
      <c r="Y34" s="32">
        <f t="shared" si="34"/>
        <v>-12.099999999998545</v>
      </c>
      <c r="Z34" s="32">
        <f t="shared" si="35"/>
        <v>40</v>
      </c>
      <c r="AA34" s="32">
        <v>0</v>
      </c>
      <c r="AB34" s="33">
        <f t="shared" si="36"/>
        <v>0</v>
      </c>
      <c r="AC34" s="33">
        <v>30</v>
      </c>
      <c r="AD34" s="33"/>
      <c r="AE34" s="33">
        <f t="shared" si="37"/>
        <v>-30</v>
      </c>
    </row>
    <row r="35" spans="1:31" ht="37.5" customHeight="1">
      <c r="A35" s="65" t="s">
        <v>27</v>
      </c>
      <c r="B35" s="66"/>
      <c r="C35" s="27">
        <f t="shared" ref="C35:AE35" si="38">SUM(C28:C34)</f>
        <v>69000.639999999999</v>
      </c>
      <c r="D35" s="27">
        <f t="shared" si="38"/>
        <v>28437.060000000005</v>
      </c>
      <c r="E35" s="27">
        <f t="shared" si="38"/>
        <v>110.5</v>
      </c>
      <c r="F35" s="27">
        <f t="shared" si="38"/>
        <v>422</v>
      </c>
      <c r="G35" s="27">
        <f t="shared" si="38"/>
        <v>1044</v>
      </c>
      <c r="H35" s="27">
        <f t="shared" si="38"/>
        <v>697.36</v>
      </c>
      <c r="I35" s="27">
        <f t="shared" si="38"/>
        <v>99892.67</v>
      </c>
      <c r="J35" s="27">
        <f t="shared" si="38"/>
        <v>18082.370000000003</v>
      </c>
      <c r="K35" s="27">
        <f t="shared" si="38"/>
        <v>0</v>
      </c>
      <c r="L35" s="27">
        <f t="shared" si="38"/>
        <v>80234.73000000001</v>
      </c>
      <c r="M35" s="27">
        <f t="shared" si="38"/>
        <v>75048.58</v>
      </c>
      <c r="N35" s="27">
        <f t="shared" si="38"/>
        <v>71.05</v>
      </c>
      <c r="O35" s="27">
        <f t="shared" si="38"/>
        <v>186.56</v>
      </c>
      <c r="P35" s="27">
        <f t="shared" si="38"/>
        <v>1423.2400000000002</v>
      </c>
      <c r="Q35" s="27">
        <f t="shared" si="38"/>
        <v>2499.4499999999998</v>
      </c>
      <c r="R35" s="27">
        <f t="shared" si="38"/>
        <v>1005.85</v>
      </c>
      <c r="S35" s="27">
        <f t="shared" si="38"/>
        <v>914.68</v>
      </c>
      <c r="T35" s="27">
        <f t="shared" si="38"/>
        <v>181.11</v>
      </c>
      <c r="U35" s="27">
        <f t="shared" si="38"/>
        <v>332.7</v>
      </c>
      <c r="V35" s="27">
        <f t="shared" si="38"/>
        <v>16603.489999999998</v>
      </c>
      <c r="W35" s="27">
        <f t="shared" si="38"/>
        <v>3155</v>
      </c>
      <c r="X35" s="27">
        <f t="shared" si="38"/>
        <v>-50.389999999999873</v>
      </c>
      <c r="Y35" s="27">
        <f t="shared" si="38"/>
        <v>-320.10999999999876</v>
      </c>
      <c r="Z35" s="27">
        <f t="shared" si="38"/>
        <v>441</v>
      </c>
      <c r="AA35" s="27">
        <f t="shared" si="38"/>
        <v>603</v>
      </c>
      <c r="AB35" s="27">
        <f t="shared" si="38"/>
        <v>44.900000000000006</v>
      </c>
      <c r="AC35" s="27">
        <f t="shared" si="38"/>
        <v>652.46</v>
      </c>
      <c r="AD35" s="27">
        <f t="shared" si="38"/>
        <v>0</v>
      </c>
      <c r="AE35" s="27">
        <f t="shared" si="38"/>
        <v>-697.36</v>
      </c>
    </row>
    <row r="36" spans="1:31" s="35" customFormat="1" ht="18.75">
      <c r="A36" s="9">
        <v>44956</v>
      </c>
      <c r="B36" s="10" t="s">
        <v>23</v>
      </c>
      <c r="C36" s="11">
        <v>9449.98</v>
      </c>
      <c r="D36" s="11">
        <v>3161.71</v>
      </c>
      <c r="E36" s="11">
        <v>5</v>
      </c>
      <c r="F36" s="11">
        <v>26</v>
      </c>
      <c r="G36" s="11">
        <v>35</v>
      </c>
      <c r="H36" s="11">
        <v>100</v>
      </c>
      <c r="I36" s="11">
        <f t="shared" ref="I36:I37" si="39">SUM(C36:H36,T36)</f>
        <v>12827.689999999999</v>
      </c>
      <c r="J36" s="11">
        <v>2558.64</v>
      </c>
      <c r="K36" s="11">
        <v>0</v>
      </c>
      <c r="L36" s="11">
        <f t="shared" ref="L36:L37" si="40">SUM(M36:R36)</f>
        <v>10164.050000000001</v>
      </c>
      <c r="M36" s="11">
        <f>779.69+2738.83+4904.71</f>
        <v>8423.23</v>
      </c>
      <c r="N36" s="11">
        <v>92.04</v>
      </c>
      <c r="O36" s="11">
        <v>0</v>
      </c>
      <c r="P36" s="11">
        <v>305.86</v>
      </c>
      <c r="Q36" s="11">
        <v>883.34</v>
      </c>
      <c r="R36" s="11">
        <v>459.58</v>
      </c>
      <c r="S36" s="11">
        <v>158.97</v>
      </c>
      <c r="T36" s="33">
        <v>50</v>
      </c>
      <c r="U36" s="33">
        <v>25</v>
      </c>
      <c r="V36" s="11">
        <v>2362</v>
      </c>
      <c r="W36" s="11">
        <v>450</v>
      </c>
      <c r="X36" s="31">
        <f t="shared" ref="X36:X37" si="41">SUM(S36,T36,U36,V36)-J36</f>
        <v>37.329999999999927</v>
      </c>
      <c r="Y36" s="32">
        <f t="shared" ref="Y36:Y37" si="42">SUM(J36+K36+L36+AC36+AA36)-(I36)</f>
        <v>0</v>
      </c>
      <c r="Z36" s="32">
        <f t="shared" ref="Z36:Z37" si="43">SUM(G36-AA36)</f>
        <v>30</v>
      </c>
      <c r="AA36" s="32">
        <v>5</v>
      </c>
      <c r="AB36" s="33">
        <f t="shared" ref="AB36:AB37" si="44">SUM(H36-AC36)</f>
        <v>0</v>
      </c>
      <c r="AC36" s="33">
        <v>100</v>
      </c>
      <c r="AD36" s="33"/>
      <c r="AE36" s="33">
        <f t="shared" ref="AE36:AE37" si="45">SUM(AD36-H36)</f>
        <v>-100</v>
      </c>
    </row>
    <row r="37" spans="1:31" s="35" customFormat="1" ht="18.75">
      <c r="A37" s="9">
        <v>44957</v>
      </c>
      <c r="B37" s="10" t="s">
        <v>24</v>
      </c>
      <c r="C37" s="11">
        <v>8746.92</v>
      </c>
      <c r="D37" s="11">
        <v>3551.3</v>
      </c>
      <c r="E37" s="11">
        <v>5</v>
      </c>
      <c r="F37" s="11">
        <v>61</v>
      </c>
      <c r="G37" s="11">
        <v>95</v>
      </c>
      <c r="H37" s="11">
        <v>63.6</v>
      </c>
      <c r="I37" s="11">
        <f t="shared" si="39"/>
        <v>12522.820000000002</v>
      </c>
      <c r="J37" s="11">
        <v>2619.4899999999998</v>
      </c>
      <c r="K37" s="11">
        <v>0</v>
      </c>
      <c r="L37" s="11">
        <f t="shared" si="40"/>
        <v>9819.73</v>
      </c>
      <c r="M37" s="11">
        <f>656.4+2713.23+5407.29</f>
        <v>8776.92</v>
      </c>
      <c r="N37" s="11">
        <v>0</v>
      </c>
      <c r="O37" s="11">
        <v>72.150000000000006</v>
      </c>
      <c r="P37" s="11">
        <v>567.03</v>
      </c>
      <c r="Q37" s="11">
        <v>403.63</v>
      </c>
      <c r="R37" s="11">
        <v>0</v>
      </c>
      <c r="S37" s="11">
        <v>629.09</v>
      </c>
      <c r="T37" s="33">
        <v>0</v>
      </c>
      <c r="U37" s="33">
        <v>65</v>
      </c>
      <c r="V37" s="11">
        <v>1915</v>
      </c>
      <c r="W37" s="11">
        <v>400</v>
      </c>
      <c r="X37" s="31">
        <f t="shared" si="41"/>
        <v>-10.399999999999636</v>
      </c>
      <c r="Y37" s="32">
        <f t="shared" si="42"/>
        <v>0</v>
      </c>
      <c r="Z37" s="32">
        <f t="shared" si="43"/>
        <v>75</v>
      </c>
      <c r="AA37" s="32">
        <v>20</v>
      </c>
      <c r="AB37" s="33">
        <f t="shared" si="44"/>
        <v>0</v>
      </c>
      <c r="AC37" s="33">
        <v>63.6</v>
      </c>
      <c r="AD37" s="33"/>
      <c r="AE37" s="33">
        <f t="shared" si="45"/>
        <v>-63.6</v>
      </c>
    </row>
    <row r="38" spans="1:31" ht="37.5" customHeight="1">
      <c r="A38" s="65" t="s">
        <v>27</v>
      </c>
      <c r="B38" s="66"/>
      <c r="C38" s="27">
        <f>SUM(C36:C37)</f>
        <v>18196.900000000001</v>
      </c>
      <c r="D38" s="27">
        <f t="shared" ref="D38:AE38" si="46">SUM(D36:D37)</f>
        <v>6713.01</v>
      </c>
      <c r="E38" s="27">
        <f t="shared" si="46"/>
        <v>10</v>
      </c>
      <c r="F38" s="27">
        <f t="shared" si="46"/>
        <v>87</v>
      </c>
      <c r="G38" s="27">
        <f t="shared" si="46"/>
        <v>130</v>
      </c>
      <c r="H38" s="27">
        <f t="shared" si="46"/>
        <v>163.6</v>
      </c>
      <c r="I38" s="27">
        <f t="shared" si="46"/>
        <v>25350.510000000002</v>
      </c>
      <c r="J38" s="27">
        <f t="shared" si="46"/>
        <v>5178.1299999999992</v>
      </c>
      <c r="K38" s="27">
        <f t="shared" si="46"/>
        <v>0</v>
      </c>
      <c r="L38" s="27">
        <f t="shared" si="46"/>
        <v>19983.78</v>
      </c>
      <c r="M38" s="27">
        <f t="shared" si="46"/>
        <v>17200.150000000001</v>
      </c>
      <c r="N38" s="27">
        <f t="shared" si="46"/>
        <v>92.04</v>
      </c>
      <c r="O38" s="27">
        <f t="shared" si="46"/>
        <v>72.150000000000006</v>
      </c>
      <c r="P38" s="27">
        <f t="shared" si="46"/>
        <v>872.89</v>
      </c>
      <c r="Q38" s="27">
        <f t="shared" si="46"/>
        <v>1286.97</v>
      </c>
      <c r="R38" s="27">
        <f t="shared" si="46"/>
        <v>459.58</v>
      </c>
      <c r="S38" s="27">
        <f t="shared" si="46"/>
        <v>788.06000000000006</v>
      </c>
      <c r="T38" s="27">
        <f t="shared" si="46"/>
        <v>50</v>
      </c>
      <c r="U38" s="27">
        <f t="shared" si="46"/>
        <v>90</v>
      </c>
      <c r="V38" s="27">
        <f t="shared" si="46"/>
        <v>4277</v>
      </c>
      <c r="W38" s="27">
        <f t="shared" si="46"/>
        <v>850</v>
      </c>
      <c r="X38" s="27">
        <f t="shared" si="46"/>
        <v>26.930000000000291</v>
      </c>
      <c r="Y38" s="27">
        <f t="shared" si="46"/>
        <v>0</v>
      </c>
      <c r="Z38" s="27">
        <f t="shared" si="46"/>
        <v>105</v>
      </c>
      <c r="AA38" s="27">
        <f t="shared" si="46"/>
        <v>25</v>
      </c>
      <c r="AB38" s="27">
        <f t="shared" si="46"/>
        <v>0</v>
      </c>
      <c r="AC38" s="27">
        <f t="shared" si="46"/>
        <v>163.6</v>
      </c>
      <c r="AD38" s="27">
        <f t="shared" si="46"/>
        <v>0</v>
      </c>
      <c r="AE38" s="27">
        <f t="shared" si="46"/>
        <v>-163.6</v>
      </c>
    </row>
    <row r="39" spans="1:31" ht="51.75" customHeight="1">
      <c r="A39" s="67" t="s">
        <v>17</v>
      </c>
      <c r="B39" s="68"/>
      <c r="C39" s="30">
        <f>SUM(C38,C35,C27,C19,C11,C3)</f>
        <v>283741.05</v>
      </c>
      <c r="D39" s="30">
        <f t="shared" ref="D39:AE39" si="47">SUM(D38,D35,D27,D19,D11,D3)</f>
        <v>115156.98</v>
      </c>
      <c r="E39" s="30">
        <f t="shared" si="47"/>
        <v>461</v>
      </c>
      <c r="F39" s="30">
        <f t="shared" si="47"/>
        <v>2138</v>
      </c>
      <c r="G39" s="30">
        <f t="shared" si="47"/>
        <v>4340</v>
      </c>
      <c r="H39" s="30">
        <f t="shared" si="47"/>
        <v>2264.8200000000002</v>
      </c>
      <c r="I39" s="30">
        <f t="shared" si="47"/>
        <v>408658.44</v>
      </c>
      <c r="J39" s="30">
        <f t="shared" si="47"/>
        <v>80625.14</v>
      </c>
      <c r="K39" s="30">
        <f t="shared" si="47"/>
        <v>7.3</v>
      </c>
      <c r="L39" s="30">
        <f t="shared" si="47"/>
        <v>323331.95</v>
      </c>
      <c r="M39" s="30">
        <f t="shared" si="47"/>
        <v>297518.09999999998</v>
      </c>
      <c r="N39" s="30">
        <f t="shared" si="47"/>
        <v>900.08999999999992</v>
      </c>
      <c r="O39" s="30">
        <f t="shared" si="47"/>
        <v>533.56999999999994</v>
      </c>
      <c r="P39" s="30">
        <f t="shared" si="47"/>
        <v>6708.0400000000009</v>
      </c>
      <c r="Q39" s="30">
        <f t="shared" si="47"/>
        <v>11691.91</v>
      </c>
      <c r="R39" s="30">
        <f t="shared" si="47"/>
        <v>5980.24</v>
      </c>
      <c r="S39" s="30">
        <f t="shared" si="47"/>
        <v>5083.83</v>
      </c>
      <c r="T39" s="30">
        <f t="shared" si="47"/>
        <v>556.59</v>
      </c>
      <c r="U39" s="30">
        <f t="shared" si="47"/>
        <v>1594.1</v>
      </c>
      <c r="V39" s="30">
        <f t="shared" si="47"/>
        <v>73275.76999999999</v>
      </c>
      <c r="W39" s="30">
        <f t="shared" si="47"/>
        <v>13905</v>
      </c>
      <c r="X39" s="30">
        <f t="shared" si="47"/>
        <v>-114.85000000000105</v>
      </c>
      <c r="Y39" s="30">
        <f t="shared" si="47"/>
        <v>-987.29000000000087</v>
      </c>
      <c r="Z39" s="30">
        <f t="shared" si="47"/>
        <v>2066</v>
      </c>
      <c r="AA39" s="30">
        <f t="shared" si="47"/>
        <v>2274</v>
      </c>
      <c r="AB39" s="30">
        <f t="shared" si="47"/>
        <v>832.06</v>
      </c>
      <c r="AC39" s="30">
        <f t="shared" si="47"/>
        <v>1432.76</v>
      </c>
      <c r="AD39" s="30">
        <f t="shared" si="47"/>
        <v>3070</v>
      </c>
      <c r="AE39" s="30">
        <f t="shared" si="47"/>
        <v>996.83999999999992</v>
      </c>
    </row>
    <row r="41" spans="1:31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</row>
    <row r="42" spans="1:31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</row>
    <row r="43" spans="1:31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</row>
    <row r="44" spans="1:31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</row>
    <row r="47" spans="1:31" hidden="1"/>
    <row r="48" spans="1:31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33"/>
      <c r="U48" s="33"/>
      <c r="V48" s="11"/>
      <c r="W48" s="11"/>
      <c r="X48" s="31"/>
      <c r="Y48" s="32"/>
      <c r="Z48" s="32"/>
      <c r="AA48" s="32"/>
      <c r="AB48" s="33"/>
      <c r="AC48" s="33"/>
      <c r="AD48" s="33"/>
      <c r="AE48" s="33"/>
    </row>
    <row r="49" spans="1:31" ht="18.75" hidden="1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33"/>
      <c r="U49" s="33"/>
      <c r="V49" s="11"/>
      <c r="W49" s="11"/>
      <c r="X49" s="31"/>
      <c r="Y49" s="32"/>
      <c r="Z49" s="32"/>
      <c r="AA49" s="32"/>
      <c r="AB49" s="33"/>
      <c r="AC49" s="33"/>
      <c r="AD49" s="33"/>
      <c r="AE49" s="33"/>
    </row>
    <row r="50" spans="1:31" s="28" customFormat="1" ht="18.75" hidden="1">
      <c r="A50"/>
      <c r="B5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33"/>
      <c r="U50" s="33"/>
      <c r="V50" s="11"/>
      <c r="W50" s="11"/>
      <c r="X50" s="31"/>
      <c r="Y50" s="32"/>
      <c r="Z50" s="32"/>
      <c r="AA50" s="32"/>
      <c r="AB50" s="33"/>
      <c r="AC50" s="33"/>
      <c r="AD50" s="33"/>
      <c r="AE50" s="33"/>
    </row>
    <row r="51" spans="1:31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  <row r="52" spans="1:31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</sheetData>
  <sheetProtection password="CCFB" sheet="1" objects="1" scenarios="1"/>
  <mergeCells count="7">
    <mergeCell ref="A39:B39"/>
    <mergeCell ref="A38:B38"/>
    <mergeCell ref="A3:B3"/>
    <mergeCell ref="A11:B11"/>
    <mergeCell ref="A19:B19"/>
    <mergeCell ref="A27:B27"/>
    <mergeCell ref="A35:B35"/>
  </mergeCells>
  <conditionalFormatting sqref="X48:AA50 X4:AA10 X12:Z18 X20:AA26 X36:AA37 X28:AA34 X2:AA2">
    <cfRule type="cellIs" dxfId="175" priority="39" operator="lessThan">
      <formula>0</formula>
    </cfRule>
    <cfRule type="cellIs" dxfId="174" priority="40" operator="greaterThan">
      <formula>0</formula>
    </cfRule>
  </conditionalFormatting>
  <conditionalFormatting sqref="X48:AB50 AB12:AB18 X4:AB10 X12:Z18 X20:AB26 X36:AB37 X28:AB34 X2:AB2">
    <cfRule type="cellIs" dxfId="173" priority="36" operator="equal">
      <formula>0</formula>
    </cfRule>
    <cfRule type="cellIs" dxfId="172" priority="37" operator="lessThan">
      <formula>0</formula>
    </cfRule>
    <cfRule type="cellIs" dxfId="171" priority="38" operator="greaterThan">
      <formula>0</formula>
    </cfRule>
  </conditionalFormatting>
  <conditionalFormatting sqref="AE4:AE10 AE20:AE26 AE28:AE34 AE12:AE18 AE36:AE37 AE2">
    <cfRule type="cellIs" dxfId="170" priority="33" operator="equal">
      <formula>0</formula>
    </cfRule>
    <cfRule type="cellIs" dxfId="169" priority="34" operator="lessThan">
      <formula>0</formula>
    </cfRule>
    <cfRule type="cellIs" dxfId="168" priority="35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I51"/>
  <sheetViews>
    <sheetView topLeftCell="A10" zoomScale="60" zoomScaleNormal="60" workbookViewId="0">
      <selection activeCell="J29" sqref="J29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6.42578125" customWidth="1"/>
    <col min="17" max="18" width="15.5703125" customWidth="1"/>
    <col min="19" max="19" width="13.85546875" customWidth="1"/>
    <col min="20" max="20" width="13.5703125" customWidth="1"/>
    <col min="21" max="21" width="14.28515625" customWidth="1"/>
    <col min="22" max="22" width="13" customWidth="1"/>
    <col min="23" max="23" width="14.85546875" customWidth="1"/>
    <col min="24" max="24" width="15.85546875" customWidth="1"/>
    <col min="25" max="27" width="16.5703125" customWidth="1"/>
    <col min="28" max="28" width="14" customWidth="1"/>
    <col min="29" max="29" width="13" customWidth="1"/>
    <col min="30" max="30" width="14.85546875" customWidth="1"/>
    <col min="31" max="31" width="15.5703125" customWidth="1"/>
  </cols>
  <sheetData>
    <row r="1" spans="1:31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96</v>
      </c>
      <c r="P1" s="8" t="s">
        <v>8</v>
      </c>
      <c r="Q1" s="8" t="s">
        <v>28</v>
      </c>
      <c r="R1" s="8" t="s">
        <v>92</v>
      </c>
      <c r="S1" s="8" t="s">
        <v>9</v>
      </c>
      <c r="T1" s="8" t="s">
        <v>10</v>
      </c>
      <c r="U1" s="8" t="s">
        <v>11</v>
      </c>
      <c r="V1" s="8" t="s">
        <v>12</v>
      </c>
      <c r="W1" s="8" t="s">
        <v>13</v>
      </c>
      <c r="X1" s="8" t="s">
        <v>14</v>
      </c>
      <c r="Y1" s="8" t="s">
        <v>34</v>
      </c>
      <c r="Z1" s="23" t="s">
        <v>94</v>
      </c>
      <c r="AA1" s="23" t="s">
        <v>95</v>
      </c>
      <c r="AB1" s="23" t="s">
        <v>39</v>
      </c>
      <c r="AC1" s="23" t="s">
        <v>40</v>
      </c>
      <c r="AD1" s="23" t="s">
        <v>78</v>
      </c>
      <c r="AE1" s="23" t="s">
        <v>79</v>
      </c>
    </row>
    <row r="2" spans="1:31" s="35" customFormat="1" ht="18.75">
      <c r="A2" s="9">
        <v>44956</v>
      </c>
      <c r="B2" s="10" t="s">
        <v>23</v>
      </c>
      <c r="C2" s="11">
        <v>9449.98</v>
      </c>
      <c r="D2" s="11">
        <v>3161.71</v>
      </c>
      <c r="E2" s="11">
        <v>5</v>
      </c>
      <c r="F2" s="11">
        <v>26</v>
      </c>
      <c r="G2" s="11">
        <v>35</v>
      </c>
      <c r="H2" s="11">
        <v>100</v>
      </c>
      <c r="I2" s="11">
        <f t="shared" ref="I2:I3" si="0">SUM(C2:H2,T2)</f>
        <v>12827.689999999999</v>
      </c>
      <c r="J2" s="11">
        <v>2558.64</v>
      </c>
      <c r="K2" s="11">
        <v>0</v>
      </c>
      <c r="L2" s="11">
        <f t="shared" ref="L2:L3" si="1">SUM(M2:R2)</f>
        <v>10164.050000000001</v>
      </c>
      <c r="M2" s="11">
        <f>779.69+2738.83+4904.71</f>
        <v>8423.23</v>
      </c>
      <c r="N2" s="11">
        <v>92.04</v>
      </c>
      <c r="O2" s="11">
        <v>0</v>
      </c>
      <c r="P2" s="11">
        <v>305.86</v>
      </c>
      <c r="Q2" s="11">
        <v>883.34</v>
      </c>
      <c r="R2" s="11">
        <v>459.58</v>
      </c>
      <c r="S2" s="11">
        <v>158.97</v>
      </c>
      <c r="T2" s="33">
        <v>50</v>
      </c>
      <c r="U2" s="33">
        <v>25</v>
      </c>
      <c r="V2" s="11">
        <v>2362</v>
      </c>
      <c r="W2" s="11">
        <v>450</v>
      </c>
      <c r="X2" s="31">
        <f t="shared" ref="X2:X3" si="2">SUM(S2,T2,U2,V2)-J2</f>
        <v>37.329999999999927</v>
      </c>
      <c r="Y2" s="32">
        <f t="shared" ref="Y2:Y3" si="3">SUM(J2+K2+L2+AC2+AA2)-(I2)</f>
        <v>0</v>
      </c>
      <c r="Z2" s="32">
        <f t="shared" ref="Z2:Z3" si="4">SUM(G2-AA2)</f>
        <v>30</v>
      </c>
      <c r="AA2" s="32">
        <v>5</v>
      </c>
      <c r="AB2" s="33">
        <f t="shared" ref="AB2:AB3" si="5">SUM(H2-AC2)</f>
        <v>0</v>
      </c>
      <c r="AC2" s="33">
        <v>100</v>
      </c>
      <c r="AD2" s="33"/>
      <c r="AE2" s="33">
        <f t="shared" ref="AE2:AE3" si="6">SUM(AD2-H2)</f>
        <v>-100</v>
      </c>
    </row>
    <row r="3" spans="1:31" s="35" customFormat="1" ht="18.75">
      <c r="A3" s="9">
        <v>44957</v>
      </c>
      <c r="B3" s="10" t="s">
        <v>24</v>
      </c>
      <c r="C3" s="11">
        <v>8746.92</v>
      </c>
      <c r="D3" s="11">
        <v>3551.3</v>
      </c>
      <c r="E3" s="11">
        <v>5</v>
      </c>
      <c r="F3" s="11">
        <v>61</v>
      </c>
      <c r="G3" s="11">
        <v>95</v>
      </c>
      <c r="H3" s="11">
        <v>63.6</v>
      </c>
      <c r="I3" s="11">
        <f t="shared" si="0"/>
        <v>12522.820000000002</v>
      </c>
      <c r="J3" s="11">
        <v>2619.4899999999998</v>
      </c>
      <c r="K3" s="11">
        <v>0</v>
      </c>
      <c r="L3" s="11">
        <f t="shared" si="1"/>
        <v>9819.73</v>
      </c>
      <c r="M3" s="11">
        <f>656.4+2713.23+5407.29</f>
        <v>8776.92</v>
      </c>
      <c r="N3" s="11">
        <v>0</v>
      </c>
      <c r="O3" s="11">
        <v>72.150000000000006</v>
      </c>
      <c r="P3" s="11">
        <v>567.03</v>
      </c>
      <c r="Q3" s="11">
        <v>403.63</v>
      </c>
      <c r="R3" s="11">
        <v>0</v>
      </c>
      <c r="S3" s="11">
        <v>629.09</v>
      </c>
      <c r="T3" s="33">
        <v>0</v>
      </c>
      <c r="U3" s="33">
        <v>65</v>
      </c>
      <c r="V3" s="11">
        <v>1915</v>
      </c>
      <c r="W3" s="11">
        <v>400</v>
      </c>
      <c r="X3" s="31">
        <f t="shared" si="2"/>
        <v>-10.399999999999636</v>
      </c>
      <c r="Y3" s="32">
        <f t="shared" si="3"/>
        <v>0</v>
      </c>
      <c r="Z3" s="32">
        <f t="shared" si="4"/>
        <v>75</v>
      </c>
      <c r="AA3" s="32">
        <v>20</v>
      </c>
      <c r="AB3" s="33">
        <f t="shared" si="5"/>
        <v>0</v>
      </c>
      <c r="AC3" s="33">
        <v>63.6</v>
      </c>
      <c r="AD3" s="33"/>
      <c r="AE3" s="33">
        <f t="shared" si="6"/>
        <v>-63.6</v>
      </c>
    </row>
    <row r="4" spans="1:31" ht="18.75">
      <c r="A4" s="9">
        <v>44958</v>
      </c>
      <c r="B4" s="10" t="s">
        <v>25</v>
      </c>
      <c r="C4" s="11">
        <v>9215.14</v>
      </c>
      <c r="D4" s="11">
        <v>3221.15</v>
      </c>
      <c r="E4" s="11">
        <v>26</v>
      </c>
      <c r="F4" s="11">
        <v>35</v>
      </c>
      <c r="G4" s="11">
        <f>55+78</f>
        <v>133</v>
      </c>
      <c r="H4" s="11">
        <v>384.18</v>
      </c>
      <c r="I4" s="11">
        <f t="shared" ref="I4:I8" si="7">SUM(C4:H4,T4)</f>
        <v>13014.47</v>
      </c>
      <c r="J4" s="11">
        <v>2446.4899999999998</v>
      </c>
      <c r="K4" s="11">
        <v>0</v>
      </c>
      <c r="L4" s="11">
        <f t="shared" ref="L4:L8" si="8">SUM(M4:R4)</f>
        <v>10460.010000000002</v>
      </c>
      <c r="M4" s="11">
        <f>625.41+3082.72+5323.86</f>
        <v>9031.99</v>
      </c>
      <c r="N4" s="11">
        <v>11.45</v>
      </c>
      <c r="O4" s="11">
        <v>0</v>
      </c>
      <c r="P4" s="11">
        <v>122.29</v>
      </c>
      <c r="Q4" s="11">
        <v>659.67</v>
      </c>
      <c r="R4" s="11">
        <v>634.61</v>
      </c>
      <c r="S4" s="11">
        <v>0</v>
      </c>
      <c r="T4" s="33">
        <v>0</v>
      </c>
      <c r="U4" s="33">
        <v>90</v>
      </c>
      <c r="V4" s="11">
        <v>2372</v>
      </c>
      <c r="W4" s="11">
        <v>450</v>
      </c>
      <c r="X4" s="31">
        <f t="shared" ref="X4:X8" si="9">SUM(S4,T4,U4,V4)-J4</f>
        <v>15.510000000000218</v>
      </c>
      <c r="Y4" s="32">
        <f t="shared" ref="Y4:Y32" si="10">SUM(J4+K4+L4+AC4+AA4)-(I4)</f>
        <v>3.0000000002473826E-2</v>
      </c>
      <c r="Z4" s="32">
        <f t="shared" ref="Z4:Z8" si="11">SUM(G4-AA4)</f>
        <v>55</v>
      </c>
      <c r="AA4" s="32">
        <v>78</v>
      </c>
      <c r="AB4" s="33">
        <f t="shared" ref="AB4:AB8" si="12">SUM(H4-AC4)</f>
        <v>354.18</v>
      </c>
      <c r="AC4" s="33">
        <v>30</v>
      </c>
      <c r="AD4" s="33"/>
      <c r="AE4" s="33">
        <f t="shared" ref="AE4:AE8" si="13">SUM(AD4-H4)</f>
        <v>-384.18</v>
      </c>
    </row>
    <row r="5" spans="1:31" ht="18.75">
      <c r="A5" s="9">
        <v>44959</v>
      </c>
      <c r="B5" s="10" t="s">
        <v>26</v>
      </c>
      <c r="C5" s="11">
        <v>11177.46</v>
      </c>
      <c r="D5" s="11">
        <v>4095.41</v>
      </c>
      <c r="E5" s="11">
        <v>21.5</v>
      </c>
      <c r="F5" s="11">
        <v>92</v>
      </c>
      <c r="G5" s="11">
        <v>170</v>
      </c>
      <c r="H5" s="11">
        <v>385.39</v>
      </c>
      <c r="I5" s="11">
        <f t="shared" si="7"/>
        <v>15992.779999999999</v>
      </c>
      <c r="J5" s="11">
        <v>2646.16</v>
      </c>
      <c r="K5" s="11">
        <v>0</v>
      </c>
      <c r="L5" s="11">
        <f t="shared" si="8"/>
        <v>12872.230000000001</v>
      </c>
      <c r="M5" s="11">
        <f>854.94+3808.28+7007.01</f>
        <v>11670.23</v>
      </c>
      <c r="N5" s="11">
        <v>0</v>
      </c>
      <c r="O5" s="11">
        <v>0</v>
      </c>
      <c r="P5" s="11">
        <v>319.02</v>
      </c>
      <c r="Q5" s="11">
        <v>613.36</v>
      </c>
      <c r="R5" s="11">
        <v>269.62</v>
      </c>
      <c r="S5" s="11">
        <v>0</v>
      </c>
      <c r="T5" s="33">
        <v>51.02</v>
      </c>
      <c r="U5" s="33">
        <v>88</v>
      </c>
      <c r="V5" s="11">
        <v>2508</v>
      </c>
      <c r="W5" s="11">
        <v>450</v>
      </c>
      <c r="X5" s="31">
        <f t="shared" si="9"/>
        <v>0.86000000000012733</v>
      </c>
      <c r="Y5" s="32">
        <f t="shared" si="10"/>
        <v>-134.3899999999976</v>
      </c>
      <c r="Z5" s="32">
        <f t="shared" si="11"/>
        <v>50</v>
      </c>
      <c r="AA5" s="32">
        <v>120</v>
      </c>
      <c r="AB5" s="33">
        <f t="shared" si="12"/>
        <v>165.39</v>
      </c>
      <c r="AC5" s="33">
        <f>220</f>
        <v>220</v>
      </c>
      <c r="AD5" s="33"/>
      <c r="AE5" s="33">
        <f t="shared" si="13"/>
        <v>-385.39</v>
      </c>
    </row>
    <row r="6" spans="1:31" ht="18.75">
      <c r="A6" s="9">
        <v>44960</v>
      </c>
      <c r="B6" s="10" t="s">
        <v>20</v>
      </c>
      <c r="C6" s="11">
        <v>11771.12</v>
      </c>
      <c r="D6" s="11">
        <v>5152.4399999999996</v>
      </c>
      <c r="E6" s="11">
        <v>104</v>
      </c>
      <c r="F6" s="11">
        <v>78</v>
      </c>
      <c r="G6" s="11">
        <v>75</v>
      </c>
      <c r="H6" s="11">
        <v>219</v>
      </c>
      <c r="I6" s="11">
        <f t="shared" si="7"/>
        <v>17449.560000000001</v>
      </c>
      <c r="J6" s="11">
        <v>2487.5100000000002</v>
      </c>
      <c r="K6" s="11">
        <v>0</v>
      </c>
      <c r="L6" s="11">
        <f t="shared" si="8"/>
        <v>14753.400000000001</v>
      </c>
      <c r="M6" s="11">
        <f>193.75+830.17+4169.27+8379.63</f>
        <v>13572.82</v>
      </c>
      <c r="N6" s="11">
        <v>30.98</v>
      </c>
      <c r="O6" s="11">
        <v>254.94</v>
      </c>
      <c r="P6" s="11">
        <v>232.54</v>
      </c>
      <c r="Q6" s="11">
        <v>459.94</v>
      </c>
      <c r="R6" s="11">
        <v>202.18</v>
      </c>
      <c r="S6" s="11">
        <v>271.74</v>
      </c>
      <c r="T6" s="33">
        <v>50</v>
      </c>
      <c r="U6" s="33">
        <v>53.5</v>
      </c>
      <c r="V6" s="11">
        <v>2109</v>
      </c>
      <c r="W6" s="11">
        <v>450</v>
      </c>
      <c r="X6" s="31">
        <f t="shared" si="9"/>
        <v>-3.2700000000004366</v>
      </c>
      <c r="Y6" s="32">
        <f t="shared" si="10"/>
        <v>-4.6499999999978172</v>
      </c>
      <c r="Z6" s="32">
        <f t="shared" si="11"/>
        <v>60</v>
      </c>
      <c r="AA6" s="32">
        <v>15</v>
      </c>
      <c r="AB6" s="33">
        <f t="shared" si="12"/>
        <v>30</v>
      </c>
      <c r="AC6" s="33">
        <v>189</v>
      </c>
      <c r="AD6" s="33">
        <v>3980</v>
      </c>
      <c r="AE6" s="33">
        <f t="shared" si="13"/>
        <v>3761</v>
      </c>
    </row>
    <row r="7" spans="1:31" ht="18.75">
      <c r="A7" s="9">
        <v>44961</v>
      </c>
      <c r="B7" s="10" t="s">
        <v>21</v>
      </c>
      <c r="C7" s="11">
        <v>9295.86</v>
      </c>
      <c r="D7" s="11">
        <v>4464.33</v>
      </c>
      <c r="E7" s="11">
        <v>15</v>
      </c>
      <c r="F7" s="11">
        <v>78</v>
      </c>
      <c r="G7" s="11">
        <v>35</v>
      </c>
      <c r="H7" s="11">
        <v>20</v>
      </c>
      <c r="I7" s="11">
        <f t="shared" si="7"/>
        <v>13953.19</v>
      </c>
      <c r="J7" s="11">
        <v>3004.33</v>
      </c>
      <c r="K7" s="11">
        <v>0</v>
      </c>
      <c r="L7" s="11">
        <f t="shared" si="8"/>
        <v>10911.76</v>
      </c>
      <c r="M7" s="11">
        <f>108.15+831.87+3555.51+6215.96</f>
        <v>10711.490000000002</v>
      </c>
      <c r="N7" s="11">
        <v>42.21</v>
      </c>
      <c r="O7" s="11">
        <v>0</v>
      </c>
      <c r="P7" s="11">
        <v>26.9</v>
      </c>
      <c r="Q7" s="11">
        <v>0</v>
      </c>
      <c r="R7" s="11">
        <v>131.16</v>
      </c>
      <c r="S7" s="11">
        <v>0</v>
      </c>
      <c r="T7" s="33">
        <v>45</v>
      </c>
      <c r="U7" s="33">
        <v>17.100000000000001</v>
      </c>
      <c r="V7" s="11">
        <v>2947.5</v>
      </c>
      <c r="W7" s="11">
        <v>450</v>
      </c>
      <c r="X7" s="31">
        <f t="shared" si="9"/>
        <v>5.2699999999999818</v>
      </c>
      <c r="Y7" s="32">
        <f t="shared" si="10"/>
        <v>-2.1000000000003638</v>
      </c>
      <c r="Z7" s="32">
        <f t="shared" si="11"/>
        <v>20</v>
      </c>
      <c r="AA7" s="32">
        <v>15</v>
      </c>
      <c r="AB7" s="33">
        <f t="shared" si="12"/>
        <v>0</v>
      </c>
      <c r="AC7" s="33">
        <v>20</v>
      </c>
      <c r="AD7" s="33"/>
      <c r="AE7" s="33">
        <f t="shared" si="13"/>
        <v>-20</v>
      </c>
    </row>
    <row r="8" spans="1:31" ht="18.75">
      <c r="A8" s="9">
        <v>44962</v>
      </c>
      <c r="B8" s="10" t="s">
        <v>22</v>
      </c>
      <c r="C8" s="11">
        <v>8259.1299999999992</v>
      </c>
      <c r="D8" s="11">
        <v>4233.6499999999996</v>
      </c>
      <c r="E8" s="11">
        <v>5</v>
      </c>
      <c r="F8" s="11">
        <v>66</v>
      </c>
      <c r="G8" s="11">
        <v>280</v>
      </c>
      <c r="H8" s="11">
        <v>20</v>
      </c>
      <c r="I8" s="11">
        <f t="shared" si="7"/>
        <v>12873.779999999999</v>
      </c>
      <c r="J8" s="11">
        <v>2506.8200000000002</v>
      </c>
      <c r="K8" s="11">
        <v>2</v>
      </c>
      <c r="L8" s="11">
        <f t="shared" si="8"/>
        <v>10304.960000000001</v>
      </c>
      <c r="M8" s="11">
        <f>24.53+336.37+3667.57+5788.41</f>
        <v>9816.880000000001</v>
      </c>
      <c r="N8" s="11">
        <v>71.06</v>
      </c>
      <c r="O8" s="11">
        <v>0</v>
      </c>
      <c r="P8" s="11">
        <v>67.349999999999994</v>
      </c>
      <c r="Q8" s="11">
        <v>158.55000000000001</v>
      </c>
      <c r="R8" s="11">
        <v>191.12</v>
      </c>
      <c r="S8" s="11">
        <v>115.9</v>
      </c>
      <c r="T8" s="33">
        <v>10</v>
      </c>
      <c r="U8" s="33">
        <v>28.3</v>
      </c>
      <c r="V8" s="11">
        <v>2354</v>
      </c>
      <c r="W8" s="11">
        <v>450</v>
      </c>
      <c r="X8" s="31">
        <f t="shared" si="9"/>
        <v>1.3799999999996544</v>
      </c>
      <c r="Y8" s="32">
        <f t="shared" si="10"/>
        <v>0</v>
      </c>
      <c r="Z8" s="32">
        <f t="shared" si="11"/>
        <v>220</v>
      </c>
      <c r="AA8" s="32">
        <v>60</v>
      </c>
      <c r="AB8" s="33">
        <f t="shared" si="12"/>
        <v>20</v>
      </c>
      <c r="AC8" s="33">
        <v>0</v>
      </c>
      <c r="AD8" s="33"/>
      <c r="AE8" s="33">
        <f t="shared" si="13"/>
        <v>-20</v>
      </c>
    </row>
    <row r="9" spans="1:31" ht="37.5" customHeight="1">
      <c r="A9" s="65" t="s">
        <v>27</v>
      </c>
      <c r="B9" s="66"/>
      <c r="C9" s="27">
        <f t="shared" ref="C9:AE9" si="14">SUM(C2:C8)</f>
        <v>67915.61</v>
      </c>
      <c r="D9" s="27">
        <f t="shared" si="14"/>
        <v>27879.989999999998</v>
      </c>
      <c r="E9" s="27">
        <f t="shared" si="14"/>
        <v>181.5</v>
      </c>
      <c r="F9" s="27">
        <f t="shared" si="14"/>
        <v>436</v>
      </c>
      <c r="G9" s="27">
        <f t="shared" si="14"/>
        <v>823</v>
      </c>
      <c r="H9" s="27">
        <f t="shared" si="14"/>
        <v>1192.17</v>
      </c>
      <c r="I9" s="27">
        <f t="shared" si="14"/>
        <v>98634.290000000008</v>
      </c>
      <c r="J9" s="27">
        <f t="shared" si="14"/>
        <v>18269.439999999999</v>
      </c>
      <c r="K9" s="27">
        <f t="shared" si="14"/>
        <v>2</v>
      </c>
      <c r="L9" s="27">
        <f t="shared" si="14"/>
        <v>79286.140000000014</v>
      </c>
      <c r="M9" s="27">
        <f t="shared" si="14"/>
        <v>72003.56</v>
      </c>
      <c r="N9" s="27">
        <f t="shared" si="14"/>
        <v>247.74</v>
      </c>
      <c r="O9" s="27">
        <f t="shared" si="14"/>
        <v>327.09000000000003</v>
      </c>
      <c r="P9" s="27">
        <f t="shared" si="14"/>
        <v>1640.9899999999998</v>
      </c>
      <c r="Q9" s="27">
        <f t="shared" si="14"/>
        <v>3178.4900000000002</v>
      </c>
      <c r="R9" s="27">
        <f t="shared" si="14"/>
        <v>1888.27</v>
      </c>
      <c r="S9" s="27">
        <f t="shared" si="14"/>
        <v>1175.7000000000003</v>
      </c>
      <c r="T9" s="27">
        <f t="shared" si="14"/>
        <v>206.02</v>
      </c>
      <c r="U9" s="27">
        <f t="shared" si="14"/>
        <v>366.90000000000003</v>
      </c>
      <c r="V9" s="27">
        <f t="shared" si="14"/>
        <v>16567.5</v>
      </c>
      <c r="W9" s="27">
        <f t="shared" si="14"/>
        <v>3100</v>
      </c>
      <c r="X9" s="27">
        <f t="shared" si="14"/>
        <v>46.679999999999836</v>
      </c>
      <c r="Y9" s="27">
        <f t="shared" si="14"/>
        <v>-141.10999999999331</v>
      </c>
      <c r="Z9" s="27">
        <f t="shared" si="14"/>
        <v>510</v>
      </c>
      <c r="AA9" s="27">
        <f t="shared" si="14"/>
        <v>313</v>
      </c>
      <c r="AB9" s="27">
        <f t="shared" si="14"/>
        <v>569.56999999999994</v>
      </c>
      <c r="AC9" s="27">
        <f t="shared" si="14"/>
        <v>622.6</v>
      </c>
      <c r="AD9" s="27">
        <f t="shared" si="14"/>
        <v>3980</v>
      </c>
      <c r="AE9" s="27">
        <f t="shared" si="14"/>
        <v>2787.83</v>
      </c>
    </row>
    <row r="10" spans="1:31" s="35" customFormat="1" ht="18.75">
      <c r="A10" s="9">
        <v>44963</v>
      </c>
      <c r="B10" s="10" t="s">
        <v>23</v>
      </c>
      <c r="C10" s="11">
        <f>9369.03+20.02</f>
        <v>9389.0500000000011</v>
      </c>
      <c r="D10" s="11">
        <v>3476.89</v>
      </c>
      <c r="E10" s="11">
        <v>2.5</v>
      </c>
      <c r="F10" s="11">
        <v>44</v>
      </c>
      <c r="G10" s="11">
        <v>154</v>
      </c>
      <c r="H10" s="11">
        <v>37.5</v>
      </c>
      <c r="I10" s="11">
        <f t="shared" ref="I10:I16" si="15">SUM(C10:H10,T10)</f>
        <v>13188.94</v>
      </c>
      <c r="J10" s="11">
        <v>2382.69</v>
      </c>
      <c r="K10" s="11">
        <v>0</v>
      </c>
      <c r="L10" s="11">
        <f t="shared" ref="L10:L16" si="16">SUM(M10:R10)</f>
        <v>10673.73</v>
      </c>
      <c r="M10" s="11">
        <f>31.47+921.02+3107.74+5238.25</f>
        <v>9298.48</v>
      </c>
      <c r="N10" s="11">
        <v>0</v>
      </c>
      <c r="O10" s="11">
        <v>85.03</v>
      </c>
      <c r="P10" s="11">
        <v>182.57</v>
      </c>
      <c r="Q10" s="11">
        <v>814.09</v>
      </c>
      <c r="R10" s="11">
        <v>293.56</v>
      </c>
      <c r="S10" s="11">
        <v>285.98</v>
      </c>
      <c r="T10" s="33">
        <v>85</v>
      </c>
      <c r="U10" s="33">
        <v>5</v>
      </c>
      <c r="V10" s="11">
        <v>2006</v>
      </c>
      <c r="W10" s="11">
        <v>450</v>
      </c>
      <c r="X10" s="31">
        <f t="shared" ref="X10:X16" si="17">SUM(S10,T10,U10,V10)-J10</f>
        <v>-0.71000000000003638</v>
      </c>
      <c r="Y10" s="32">
        <f t="shared" si="10"/>
        <v>-20.020000000000437</v>
      </c>
      <c r="Z10" s="32">
        <f>SUM(G10-AA10)</f>
        <v>64</v>
      </c>
      <c r="AA10" s="33">
        <v>90</v>
      </c>
      <c r="AB10" s="33">
        <f>SUM(H10-AC10)</f>
        <v>15</v>
      </c>
      <c r="AC10" s="33">
        <v>22.5</v>
      </c>
      <c r="AD10" s="33"/>
      <c r="AE10" s="33">
        <f>SUM(AD10-H10)</f>
        <v>-37.5</v>
      </c>
    </row>
    <row r="11" spans="1:31" s="35" customFormat="1" ht="18.75">
      <c r="A11" s="9">
        <v>44964</v>
      </c>
      <c r="B11" s="10" t="s">
        <v>24</v>
      </c>
      <c r="C11" s="11">
        <v>9319.4599999999991</v>
      </c>
      <c r="D11" s="11">
        <v>3354.18</v>
      </c>
      <c r="E11" s="11">
        <v>41</v>
      </c>
      <c r="F11" s="11">
        <v>36</v>
      </c>
      <c r="G11" s="11">
        <v>63.56</v>
      </c>
      <c r="H11" s="11">
        <v>108.82</v>
      </c>
      <c r="I11" s="11">
        <f t="shared" si="15"/>
        <v>12943.039999999999</v>
      </c>
      <c r="J11" s="11">
        <v>2296.69</v>
      </c>
      <c r="K11" s="11">
        <v>0</v>
      </c>
      <c r="L11" s="11">
        <f t="shared" si="16"/>
        <v>10551.79</v>
      </c>
      <c r="M11" s="11">
        <f>61.11+42.19+690.67+3125.16+5793.67</f>
        <v>9712.7999999999993</v>
      </c>
      <c r="N11" s="11">
        <v>20.010000000000002</v>
      </c>
      <c r="O11" s="11">
        <v>0</v>
      </c>
      <c r="P11" s="11">
        <v>283.83999999999997</v>
      </c>
      <c r="Q11" s="11">
        <v>365.69</v>
      </c>
      <c r="R11" s="11">
        <v>169.45</v>
      </c>
      <c r="S11" s="11">
        <v>699.7</v>
      </c>
      <c r="T11" s="33">
        <v>20.02</v>
      </c>
      <c r="U11" s="33">
        <v>8</v>
      </c>
      <c r="V11" s="11">
        <v>1570</v>
      </c>
      <c r="W11" s="11">
        <v>450</v>
      </c>
      <c r="X11" s="31">
        <f t="shared" si="17"/>
        <v>1.0300000000002001</v>
      </c>
      <c r="Y11" s="32">
        <f t="shared" si="10"/>
        <v>-39.999999999998181</v>
      </c>
      <c r="Z11" s="32">
        <f t="shared" ref="Z11:Z26" si="18">SUM(G11-AA11)</f>
        <v>10</v>
      </c>
      <c r="AA11" s="33">
        <v>53.56</v>
      </c>
      <c r="AB11" s="33">
        <f t="shared" ref="AB11:AB15" si="19">SUM(H11-AC11)</f>
        <v>107.82</v>
      </c>
      <c r="AC11" s="33">
        <v>1</v>
      </c>
      <c r="AD11" s="33"/>
      <c r="AE11" s="33">
        <f t="shared" ref="AE11:AE15" si="20">SUM(AD11-H11)</f>
        <v>-108.82</v>
      </c>
    </row>
    <row r="12" spans="1:31" s="35" customFormat="1" ht="18.75">
      <c r="A12" s="9">
        <v>44965</v>
      </c>
      <c r="B12" s="10" t="s">
        <v>25</v>
      </c>
      <c r="C12" s="11">
        <v>10245.41</v>
      </c>
      <c r="D12" s="11">
        <v>3285.65</v>
      </c>
      <c r="E12" s="11">
        <v>20</v>
      </c>
      <c r="F12" s="11">
        <v>168</v>
      </c>
      <c r="G12" s="11">
        <v>220</v>
      </c>
      <c r="H12" s="11">
        <v>30</v>
      </c>
      <c r="I12" s="11">
        <f t="shared" si="15"/>
        <v>14009.06</v>
      </c>
      <c r="J12" s="11">
        <v>2679.58</v>
      </c>
      <c r="K12" s="11">
        <v>0</v>
      </c>
      <c r="L12" s="11">
        <f t="shared" si="16"/>
        <v>11159.480000000001</v>
      </c>
      <c r="M12" s="11">
        <f>75.53+427.29+3076.62+6333.6</f>
        <v>9913.0400000000009</v>
      </c>
      <c r="N12" s="11">
        <v>0</v>
      </c>
      <c r="O12" s="11">
        <v>0</v>
      </c>
      <c r="P12" s="11">
        <v>376.94</v>
      </c>
      <c r="Q12" s="11">
        <v>602.33000000000004</v>
      </c>
      <c r="R12" s="11">
        <v>267.17</v>
      </c>
      <c r="S12" s="11">
        <v>0</v>
      </c>
      <c r="T12" s="33">
        <v>40</v>
      </c>
      <c r="U12" s="33">
        <v>137</v>
      </c>
      <c r="V12" s="11">
        <v>2505</v>
      </c>
      <c r="W12" s="11">
        <v>450</v>
      </c>
      <c r="X12" s="31">
        <f t="shared" si="17"/>
        <v>2.4200000000000728</v>
      </c>
      <c r="Y12" s="32">
        <f t="shared" si="10"/>
        <v>0</v>
      </c>
      <c r="Z12" s="32">
        <f t="shared" si="18"/>
        <v>60</v>
      </c>
      <c r="AA12" s="33">
        <v>160</v>
      </c>
      <c r="AB12" s="33">
        <f t="shared" si="19"/>
        <v>20</v>
      </c>
      <c r="AC12" s="33">
        <v>10</v>
      </c>
      <c r="AD12" s="33"/>
      <c r="AE12" s="33">
        <f t="shared" si="20"/>
        <v>-30</v>
      </c>
    </row>
    <row r="13" spans="1:31" s="35" customFormat="1" ht="18.75">
      <c r="A13" s="9">
        <v>44966</v>
      </c>
      <c r="B13" s="10" t="s">
        <v>26</v>
      </c>
      <c r="C13" s="11">
        <v>9978.69</v>
      </c>
      <c r="D13" s="11">
        <v>3802.48</v>
      </c>
      <c r="E13" s="11">
        <v>23</v>
      </c>
      <c r="F13" s="11">
        <v>214</v>
      </c>
      <c r="G13" s="11">
        <v>125</v>
      </c>
      <c r="H13" s="11">
        <v>10</v>
      </c>
      <c r="I13" s="11">
        <f t="shared" si="15"/>
        <v>14178.18</v>
      </c>
      <c r="J13" s="11">
        <v>2556.73</v>
      </c>
      <c r="K13" s="11">
        <v>0</v>
      </c>
      <c r="L13" s="11">
        <f t="shared" si="16"/>
        <v>11595.15</v>
      </c>
      <c r="M13" s="11">
        <f>297.27+1263.37+3454.31+5421.34</f>
        <v>10436.290000000001</v>
      </c>
      <c r="N13" s="11">
        <v>92.57</v>
      </c>
      <c r="O13" s="11">
        <v>64.22</v>
      </c>
      <c r="P13" s="11">
        <v>207.79</v>
      </c>
      <c r="Q13" s="11">
        <v>494.39</v>
      </c>
      <c r="R13" s="11">
        <v>299.89</v>
      </c>
      <c r="S13" s="11">
        <v>1165.43</v>
      </c>
      <c r="T13" s="33">
        <v>25.01</v>
      </c>
      <c r="U13" s="33">
        <v>94.3</v>
      </c>
      <c r="V13" s="11">
        <v>1302</v>
      </c>
      <c r="W13" s="11">
        <v>450</v>
      </c>
      <c r="X13" s="31">
        <f t="shared" si="17"/>
        <v>30.009999999999764</v>
      </c>
      <c r="Y13" s="32">
        <f t="shared" si="10"/>
        <v>-26.300000000001091</v>
      </c>
      <c r="Z13" s="32">
        <f t="shared" si="18"/>
        <v>125</v>
      </c>
      <c r="AA13" s="33">
        <v>0</v>
      </c>
      <c r="AB13" s="33">
        <f t="shared" si="19"/>
        <v>10</v>
      </c>
      <c r="AC13" s="33">
        <v>0</v>
      </c>
      <c r="AD13" s="33"/>
      <c r="AE13" s="33">
        <f t="shared" si="20"/>
        <v>-10</v>
      </c>
    </row>
    <row r="14" spans="1:31" s="35" customFormat="1" ht="18.75">
      <c r="A14" s="9">
        <v>44967</v>
      </c>
      <c r="B14" s="10" t="s">
        <v>20</v>
      </c>
      <c r="C14" s="11">
        <v>10629.3</v>
      </c>
      <c r="D14" s="11">
        <v>5011.3100000000004</v>
      </c>
      <c r="E14" s="11">
        <v>44.5</v>
      </c>
      <c r="F14" s="11">
        <v>149</v>
      </c>
      <c r="G14" s="11">
        <v>220</v>
      </c>
      <c r="H14" s="11">
        <v>55</v>
      </c>
      <c r="I14" s="11">
        <f t="shared" si="15"/>
        <v>16160.11</v>
      </c>
      <c r="J14" s="43">
        <v>3397.57</v>
      </c>
      <c r="K14" s="43">
        <v>0</v>
      </c>
      <c r="L14" s="11">
        <f t="shared" si="16"/>
        <v>12587.539999999999</v>
      </c>
      <c r="M14" s="11">
        <f>1279.33+389.39+3615.42+6508.78</f>
        <v>11792.919999999998</v>
      </c>
      <c r="N14" s="11">
        <v>0</v>
      </c>
      <c r="O14" s="11">
        <v>0</v>
      </c>
      <c r="P14" s="11">
        <v>60.01</v>
      </c>
      <c r="Q14" s="11">
        <v>361.5</v>
      </c>
      <c r="R14" s="11">
        <v>373.11</v>
      </c>
      <c r="S14" s="11">
        <v>385.53</v>
      </c>
      <c r="T14" s="33">
        <v>51</v>
      </c>
      <c r="U14" s="33">
        <v>236.1</v>
      </c>
      <c r="V14" s="11">
        <v>2582.5</v>
      </c>
      <c r="W14" s="11">
        <v>450</v>
      </c>
      <c r="X14" s="31">
        <f t="shared" si="17"/>
        <v>-142.44000000000005</v>
      </c>
      <c r="Y14" s="32">
        <f t="shared" si="10"/>
        <v>-5.000000000001819</v>
      </c>
      <c r="Z14" s="32">
        <f t="shared" si="18"/>
        <v>50</v>
      </c>
      <c r="AA14" s="33">
        <v>170</v>
      </c>
      <c r="AB14" s="33">
        <f t="shared" si="19"/>
        <v>55</v>
      </c>
      <c r="AC14" s="33">
        <v>0</v>
      </c>
      <c r="AD14" s="33"/>
      <c r="AE14" s="33">
        <f t="shared" si="20"/>
        <v>-55</v>
      </c>
    </row>
    <row r="15" spans="1:31" s="35" customFormat="1" ht="18.75">
      <c r="A15" s="9">
        <v>44968</v>
      </c>
      <c r="B15" s="10" t="s">
        <v>21</v>
      </c>
      <c r="C15" s="11">
        <v>8483.76</v>
      </c>
      <c r="D15" s="11">
        <v>4407.26</v>
      </c>
      <c r="E15" s="11">
        <v>24</v>
      </c>
      <c r="F15" s="11">
        <v>57</v>
      </c>
      <c r="G15" s="11">
        <v>55</v>
      </c>
      <c r="H15" s="11">
        <v>226.27</v>
      </c>
      <c r="I15" s="11">
        <f t="shared" si="15"/>
        <v>13253.29</v>
      </c>
      <c r="J15" s="11">
        <v>2549.71</v>
      </c>
      <c r="K15" s="11">
        <v>0</v>
      </c>
      <c r="L15" s="11">
        <f t="shared" si="16"/>
        <v>10504.9</v>
      </c>
      <c r="M15" s="11">
        <f>273.33+622.03+2950.02+6121.42</f>
        <v>9966.7999999999993</v>
      </c>
      <c r="N15" s="11">
        <v>39.869999999999997</v>
      </c>
      <c r="O15" s="11">
        <v>0</v>
      </c>
      <c r="P15" s="11">
        <v>0</v>
      </c>
      <c r="Q15" s="11">
        <v>388.71</v>
      </c>
      <c r="R15" s="11">
        <v>109.52</v>
      </c>
      <c r="S15" s="11">
        <v>54.99</v>
      </c>
      <c r="T15" s="33">
        <v>0</v>
      </c>
      <c r="U15" s="33">
        <v>88</v>
      </c>
      <c r="V15" s="11">
        <v>2407</v>
      </c>
      <c r="W15" s="11">
        <v>450</v>
      </c>
      <c r="X15" s="31">
        <f t="shared" si="17"/>
        <v>0.27999999999974534</v>
      </c>
      <c r="Y15" s="32">
        <f t="shared" si="10"/>
        <v>72.590000000000146</v>
      </c>
      <c r="Z15" s="32">
        <f t="shared" si="18"/>
        <v>0</v>
      </c>
      <c r="AA15" s="33">
        <v>55</v>
      </c>
      <c r="AB15" s="33">
        <f t="shared" si="19"/>
        <v>10</v>
      </c>
      <c r="AC15" s="33">
        <v>216.27</v>
      </c>
      <c r="AD15" s="33"/>
      <c r="AE15" s="33">
        <f t="shared" si="20"/>
        <v>-226.27</v>
      </c>
    </row>
    <row r="16" spans="1:31" s="35" customFormat="1" ht="18.75">
      <c r="A16" s="9">
        <v>44969</v>
      </c>
      <c r="B16" s="10" t="s">
        <v>22</v>
      </c>
      <c r="C16" s="11">
        <v>8115.76</v>
      </c>
      <c r="D16" s="11">
        <v>3557.86</v>
      </c>
      <c r="E16" s="11">
        <v>0</v>
      </c>
      <c r="F16" s="11">
        <v>97</v>
      </c>
      <c r="G16" s="11">
        <v>85</v>
      </c>
      <c r="H16" s="11">
        <v>0</v>
      </c>
      <c r="I16" s="11">
        <f t="shared" si="15"/>
        <v>11855.62</v>
      </c>
      <c r="J16" s="11">
        <v>2799.89</v>
      </c>
      <c r="K16" s="11">
        <v>0</v>
      </c>
      <c r="L16" s="11">
        <f t="shared" si="16"/>
        <v>9022.7300000000014</v>
      </c>
      <c r="M16" s="11">
        <f>49.41+528.43+2623.16+5417.75</f>
        <v>8618.75</v>
      </c>
      <c r="N16" s="11">
        <v>84.42</v>
      </c>
      <c r="O16" s="11">
        <v>0</v>
      </c>
      <c r="P16" s="11">
        <v>261.44</v>
      </c>
      <c r="Q16" s="11">
        <v>58.12</v>
      </c>
      <c r="R16" s="11">
        <v>0</v>
      </c>
      <c r="S16" s="11">
        <v>124.06</v>
      </c>
      <c r="T16" s="33">
        <v>0</v>
      </c>
      <c r="U16" s="33">
        <v>85.1</v>
      </c>
      <c r="V16" s="11">
        <v>2747</v>
      </c>
      <c r="W16" s="11">
        <v>450</v>
      </c>
      <c r="X16" s="31">
        <f t="shared" si="17"/>
        <v>156.26999999999998</v>
      </c>
      <c r="Y16" s="32">
        <f t="shared" si="10"/>
        <v>-3</v>
      </c>
      <c r="Z16" s="32">
        <f t="shared" si="18"/>
        <v>55</v>
      </c>
      <c r="AA16" s="33">
        <v>30</v>
      </c>
      <c r="AB16" s="33">
        <v>0</v>
      </c>
      <c r="AC16" s="33">
        <v>0</v>
      </c>
      <c r="AD16" s="33">
        <v>4920</v>
      </c>
      <c r="AE16" s="33">
        <f>SUM(AD16-H16)</f>
        <v>4920</v>
      </c>
    </row>
    <row r="17" spans="1:35" ht="37.5" customHeight="1">
      <c r="A17" s="65" t="s">
        <v>27</v>
      </c>
      <c r="B17" s="66"/>
      <c r="C17" s="27">
        <f>SUM(C10:C16)</f>
        <v>66161.430000000008</v>
      </c>
      <c r="D17" s="27">
        <f t="shared" ref="D17:AE17" si="21">SUM(D10:D16)</f>
        <v>26895.629999999997</v>
      </c>
      <c r="E17" s="27">
        <f t="shared" si="21"/>
        <v>155</v>
      </c>
      <c r="F17" s="27">
        <f t="shared" si="21"/>
        <v>765</v>
      </c>
      <c r="G17" s="27">
        <f t="shared" si="21"/>
        <v>922.56</v>
      </c>
      <c r="H17" s="27">
        <f t="shared" si="21"/>
        <v>467.59000000000003</v>
      </c>
      <c r="I17" s="27">
        <f t="shared" si="21"/>
        <v>95588.239999999991</v>
      </c>
      <c r="J17" s="27">
        <f t="shared" si="21"/>
        <v>18662.86</v>
      </c>
      <c r="K17" s="27">
        <f t="shared" si="21"/>
        <v>0</v>
      </c>
      <c r="L17" s="27">
        <f t="shared" si="21"/>
        <v>76095.319999999992</v>
      </c>
      <c r="M17" s="27">
        <f t="shared" si="21"/>
        <v>69739.08</v>
      </c>
      <c r="N17" s="27">
        <f t="shared" si="21"/>
        <v>236.87</v>
      </c>
      <c r="O17" s="27">
        <f t="shared" si="21"/>
        <v>149.25</v>
      </c>
      <c r="P17" s="27">
        <f t="shared" si="21"/>
        <v>1372.59</v>
      </c>
      <c r="Q17" s="27">
        <f t="shared" si="21"/>
        <v>3084.83</v>
      </c>
      <c r="R17" s="27">
        <f t="shared" si="21"/>
        <v>1512.7000000000003</v>
      </c>
      <c r="S17" s="27">
        <f t="shared" si="21"/>
        <v>2715.69</v>
      </c>
      <c r="T17" s="27">
        <f t="shared" si="21"/>
        <v>221.02999999999997</v>
      </c>
      <c r="U17" s="27">
        <f t="shared" si="21"/>
        <v>653.5</v>
      </c>
      <c r="V17" s="27">
        <f t="shared" si="21"/>
        <v>15119.5</v>
      </c>
      <c r="W17" s="27">
        <f t="shared" si="21"/>
        <v>3150</v>
      </c>
      <c r="X17" s="27">
        <f t="shared" si="21"/>
        <v>46.859999999999673</v>
      </c>
      <c r="Y17" s="27">
        <f t="shared" si="21"/>
        <v>-21.730000000001382</v>
      </c>
      <c r="Z17" s="27">
        <f t="shared" si="21"/>
        <v>364</v>
      </c>
      <c r="AA17" s="27">
        <f t="shared" si="21"/>
        <v>558.55999999999995</v>
      </c>
      <c r="AB17" s="27">
        <f t="shared" si="21"/>
        <v>217.82</v>
      </c>
      <c r="AC17" s="27">
        <f t="shared" si="21"/>
        <v>249.77</v>
      </c>
      <c r="AD17" s="27">
        <f>SUM(AD10:AD16)</f>
        <v>4920</v>
      </c>
      <c r="AE17" s="27">
        <f t="shared" si="21"/>
        <v>4452.41</v>
      </c>
      <c r="AG17" s="49"/>
    </row>
    <row r="18" spans="1:35" s="35" customFormat="1" ht="18.75">
      <c r="A18" s="9">
        <v>44970</v>
      </c>
      <c r="B18" s="10" t="s">
        <v>23</v>
      </c>
      <c r="C18" s="11">
        <v>8944.91</v>
      </c>
      <c r="D18" s="11">
        <v>3529.68</v>
      </c>
      <c r="E18" s="11">
        <v>10.5</v>
      </c>
      <c r="F18" s="11">
        <v>43</v>
      </c>
      <c r="G18" s="11">
        <v>165</v>
      </c>
      <c r="H18" s="11">
        <v>91</v>
      </c>
      <c r="I18" s="11">
        <f t="shared" ref="I18:I24" si="22">SUM(C18:H18,T18)</f>
        <v>12850.09</v>
      </c>
      <c r="J18" s="11">
        <v>2629.62</v>
      </c>
      <c r="K18" s="11">
        <v>0</v>
      </c>
      <c r="L18" s="11">
        <f t="shared" ref="L18:L24" si="23">SUM(M18:R18)</f>
        <v>10034.470000000001</v>
      </c>
      <c r="M18" s="11">
        <f>29.97+504.52+2325.16+6035.35</f>
        <v>8895</v>
      </c>
      <c r="N18" s="11">
        <v>0</v>
      </c>
      <c r="O18" s="11">
        <v>0</v>
      </c>
      <c r="P18" s="11">
        <v>330.26</v>
      </c>
      <c r="Q18" s="11">
        <v>606.69000000000005</v>
      </c>
      <c r="R18" s="11">
        <v>202.52</v>
      </c>
      <c r="S18" s="11">
        <v>642.67999999999995</v>
      </c>
      <c r="T18" s="33">
        <v>66</v>
      </c>
      <c r="U18" s="33">
        <v>10</v>
      </c>
      <c r="V18" s="11">
        <v>1913</v>
      </c>
      <c r="W18" s="11">
        <v>450</v>
      </c>
      <c r="X18" s="31">
        <f t="shared" ref="X18:X24" si="24">SUM(S18,T18,U18,V18)-J18</f>
        <v>2.0599999999999454</v>
      </c>
      <c r="Y18" s="32">
        <f t="shared" si="10"/>
        <v>0</v>
      </c>
      <c r="Z18" s="32">
        <f t="shared" si="18"/>
        <v>10</v>
      </c>
      <c r="AA18" s="32">
        <v>155</v>
      </c>
      <c r="AB18" s="33">
        <f t="shared" ref="AB18:AB24" si="25">SUM(H18-AC18)</f>
        <v>60</v>
      </c>
      <c r="AC18" s="33">
        <v>31</v>
      </c>
      <c r="AD18" s="33"/>
      <c r="AE18" s="33">
        <f t="shared" ref="AE18:AE24" si="26">SUM(AD18-H18)</f>
        <v>-91</v>
      </c>
    </row>
    <row r="19" spans="1:35" s="35" customFormat="1" ht="18.75">
      <c r="A19" s="9">
        <v>44971</v>
      </c>
      <c r="B19" s="10" t="s">
        <v>24</v>
      </c>
      <c r="C19" s="11">
        <v>9491.24</v>
      </c>
      <c r="D19" s="11">
        <v>3500.3</v>
      </c>
      <c r="E19" s="11">
        <v>12</v>
      </c>
      <c r="F19" s="11">
        <v>16</v>
      </c>
      <c r="G19" s="11">
        <v>80</v>
      </c>
      <c r="H19" s="11">
        <v>115</v>
      </c>
      <c r="I19" s="11">
        <f t="shared" si="22"/>
        <v>13214.54</v>
      </c>
      <c r="J19" s="11">
        <v>2482.09</v>
      </c>
      <c r="K19" s="11">
        <v>0</v>
      </c>
      <c r="L19" s="11">
        <f t="shared" si="23"/>
        <v>10647.45</v>
      </c>
      <c r="M19" s="11">
        <f>701.12+3363.25+5859.74</f>
        <v>9924.11</v>
      </c>
      <c r="N19" s="11">
        <v>25.65</v>
      </c>
      <c r="O19" s="11">
        <v>0</v>
      </c>
      <c r="P19" s="11">
        <v>190.88</v>
      </c>
      <c r="Q19" s="11">
        <v>410.11</v>
      </c>
      <c r="R19" s="11">
        <v>96.7</v>
      </c>
      <c r="S19" s="11">
        <v>172.9</v>
      </c>
      <c r="T19" s="33">
        <v>0</v>
      </c>
      <c r="U19" s="33">
        <v>10</v>
      </c>
      <c r="V19" s="11">
        <v>2300</v>
      </c>
      <c r="W19" s="11">
        <v>450</v>
      </c>
      <c r="X19" s="31">
        <f t="shared" si="24"/>
        <v>0.80999999999994543</v>
      </c>
      <c r="Y19" s="32">
        <f t="shared" si="10"/>
        <v>0</v>
      </c>
      <c r="Z19" s="32">
        <f t="shared" si="18"/>
        <v>55</v>
      </c>
      <c r="AA19" s="32">
        <v>25</v>
      </c>
      <c r="AB19" s="33">
        <f t="shared" si="25"/>
        <v>55</v>
      </c>
      <c r="AC19" s="33">
        <v>60</v>
      </c>
      <c r="AD19" s="33"/>
      <c r="AE19" s="33">
        <f t="shared" si="26"/>
        <v>-115</v>
      </c>
      <c r="AI19" s="35">
        <f>3980-1192.17</f>
        <v>2787.83</v>
      </c>
    </row>
    <row r="20" spans="1:35" s="35" customFormat="1" ht="18.75">
      <c r="A20" s="9">
        <v>44972</v>
      </c>
      <c r="B20" s="10" t="s">
        <v>25</v>
      </c>
      <c r="C20" s="11">
        <v>9446.0400000000009</v>
      </c>
      <c r="D20" s="11">
        <v>3758.09</v>
      </c>
      <c r="E20" s="11">
        <v>35</v>
      </c>
      <c r="F20" s="11">
        <v>53</v>
      </c>
      <c r="G20" s="11">
        <v>145</v>
      </c>
      <c r="H20" s="11">
        <v>326.74</v>
      </c>
      <c r="I20" s="11">
        <f t="shared" si="22"/>
        <v>13794.87</v>
      </c>
      <c r="J20" s="11">
        <v>2181.5700000000002</v>
      </c>
      <c r="K20" s="11">
        <v>0.9</v>
      </c>
      <c r="L20" s="11">
        <f t="shared" si="23"/>
        <v>11200.660000000002</v>
      </c>
      <c r="M20" s="11">
        <f>31.41+1055.61+3029.16+18.48+6398.45</f>
        <v>10533.11</v>
      </c>
      <c r="N20" s="11">
        <v>0</v>
      </c>
      <c r="O20" s="11">
        <v>0</v>
      </c>
      <c r="P20" s="11">
        <v>202.1</v>
      </c>
      <c r="Q20" s="11">
        <v>206.11</v>
      </c>
      <c r="R20" s="11">
        <v>259.33999999999997</v>
      </c>
      <c r="S20" s="11">
        <v>0</v>
      </c>
      <c r="T20" s="33">
        <v>31</v>
      </c>
      <c r="U20" s="33">
        <v>41</v>
      </c>
      <c r="V20" s="11">
        <v>2112</v>
      </c>
      <c r="W20" s="11">
        <v>450</v>
      </c>
      <c r="X20" s="31">
        <f t="shared" si="24"/>
        <v>2.4299999999998363</v>
      </c>
      <c r="Y20" s="32">
        <f t="shared" si="10"/>
        <v>0</v>
      </c>
      <c r="Z20" s="32">
        <f t="shared" si="18"/>
        <v>60</v>
      </c>
      <c r="AA20" s="32">
        <v>85</v>
      </c>
      <c r="AB20" s="33">
        <f t="shared" si="25"/>
        <v>0</v>
      </c>
      <c r="AC20" s="33">
        <v>326.74</v>
      </c>
      <c r="AD20" s="33"/>
      <c r="AE20" s="33">
        <f t="shared" si="26"/>
        <v>-326.74</v>
      </c>
    </row>
    <row r="21" spans="1:35" s="35" customFormat="1" ht="18.75">
      <c r="A21" s="9">
        <v>44973</v>
      </c>
      <c r="B21" s="10" t="s">
        <v>26</v>
      </c>
      <c r="C21" s="11">
        <v>10068.49</v>
      </c>
      <c r="D21" s="11">
        <v>3999.11</v>
      </c>
      <c r="E21" s="11">
        <v>4.5</v>
      </c>
      <c r="F21" s="11">
        <v>60</v>
      </c>
      <c r="G21" s="11">
        <v>50</v>
      </c>
      <c r="H21" s="11">
        <v>10</v>
      </c>
      <c r="I21" s="11">
        <f t="shared" si="22"/>
        <v>14192.1</v>
      </c>
      <c r="J21" s="11">
        <v>2201.71</v>
      </c>
      <c r="K21" s="11">
        <v>0</v>
      </c>
      <c r="L21" s="11">
        <f t="shared" si="23"/>
        <v>11973.630000000001</v>
      </c>
      <c r="M21" s="11">
        <f>73.08+996.29+3305.75+6577.08</f>
        <v>10952.2</v>
      </c>
      <c r="N21" s="11">
        <v>121.89</v>
      </c>
      <c r="O21" s="11">
        <v>0</v>
      </c>
      <c r="P21" s="11">
        <v>78.41</v>
      </c>
      <c r="Q21" s="11">
        <v>646.45000000000005</v>
      </c>
      <c r="R21" s="11">
        <v>174.68</v>
      </c>
      <c r="S21" s="11">
        <v>471.34</v>
      </c>
      <c r="T21" s="33">
        <v>0</v>
      </c>
      <c r="U21" s="33">
        <v>38</v>
      </c>
      <c r="V21" s="11">
        <v>1680</v>
      </c>
      <c r="W21" s="11">
        <v>450</v>
      </c>
      <c r="X21" s="31">
        <f t="shared" si="24"/>
        <v>-12.369999999999891</v>
      </c>
      <c r="Y21" s="32">
        <f t="shared" si="10"/>
        <v>13.239999999999782</v>
      </c>
      <c r="Z21" s="32">
        <f t="shared" si="18"/>
        <v>20</v>
      </c>
      <c r="AA21" s="32">
        <v>30</v>
      </c>
      <c r="AB21" s="33">
        <f t="shared" si="25"/>
        <v>10</v>
      </c>
      <c r="AC21" s="33">
        <v>0</v>
      </c>
      <c r="AD21" s="33"/>
      <c r="AE21" s="33">
        <f t="shared" si="26"/>
        <v>-10</v>
      </c>
    </row>
    <row r="22" spans="1:35" s="35" customFormat="1" ht="18.75">
      <c r="A22" s="9">
        <v>44974</v>
      </c>
      <c r="B22" s="10" t="s">
        <v>20</v>
      </c>
      <c r="C22" s="11">
        <v>10339.24</v>
      </c>
      <c r="D22" s="11">
        <v>4743.18</v>
      </c>
      <c r="E22" s="11">
        <v>40</v>
      </c>
      <c r="F22" s="11">
        <v>60</v>
      </c>
      <c r="G22" s="11">
        <v>0</v>
      </c>
      <c r="H22" s="11">
        <v>70</v>
      </c>
      <c r="I22" s="11">
        <f t="shared" si="22"/>
        <v>15292.98</v>
      </c>
      <c r="J22" s="11">
        <v>2508.0500000000002</v>
      </c>
      <c r="K22" s="11">
        <v>0</v>
      </c>
      <c r="L22" s="11">
        <f t="shared" si="23"/>
        <v>12842.55</v>
      </c>
      <c r="M22" s="11">
        <f>168.59+810.07+4026.58+7195.72</f>
        <v>12200.96</v>
      </c>
      <c r="N22" s="11">
        <v>0</v>
      </c>
      <c r="O22" s="11">
        <v>0</v>
      </c>
      <c r="P22" s="11">
        <v>359.23</v>
      </c>
      <c r="Q22" s="11">
        <v>282.36</v>
      </c>
      <c r="R22" s="11">
        <v>0</v>
      </c>
      <c r="S22" s="11">
        <v>302.39</v>
      </c>
      <c r="T22" s="33">
        <v>40.56</v>
      </c>
      <c r="U22" s="33">
        <v>55</v>
      </c>
      <c r="V22" s="11">
        <v>2165.92</v>
      </c>
      <c r="W22" s="11">
        <v>450</v>
      </c>
      <c r="X22" s="31">
        <f t="shared" si="24"/>
        <v>55.819999999999709</v>
      </c>
      <c r="Y22" s="32">
        <f t="shared" si="10"/>
        <v>97.619999999998981</v>
      </c>
      <c r="Z22" s="32">
        <f t="shared" si="18"/>
        <v>0</v>
      </c>
      <c r="AA22" s="32">
        <v>0</v>
      </c>
      <c r="AB22" s="33">
        <f t="shared" si="25"/>
        <v>30</v>
      </c>
      <c r="AC22" s="33">
        <v>40</v>
      </c>
      <c r="AD22" s="33"/>
      <c r="AE22" s="33">
        <f t="shared" si="26"/>
        <v>-70</v>
      </c>
    </row>
    <row r="23" spans="1:35" s="35" customFormat="1" ht="18.75">
      <c r="A23" s="9">
        <v>44975</v>
      </c>
      <c r="B23" s="10" t="s">
        <v>21</v>
      </c>
      <c r="C23" s="11">
        <v>8852.7099999999991</v>
      </c>
      <c r="D23" s="11">
        <v>4247.4799999999996</v>
      </c>
      <c r="E23" s="11">
        <v>33</v>
      </c>
      <c r="F23" s="11">
        <v>163</v>
      </c>
      <c r="G23" s="11">
        <v>40</v>
      </c>
      <c r="H23" s="11">
        <v>111.5</v>
      </c>
      <c r="I23" s="11">
        <f t="shared" si="22"/>
        <v>13477.689999999999</v>
      </c>
      <c r="J23" s="11">
        <v>2922.41</v>
      </c>
      <c r="K23" s="11">
        <v>0</v>
      </c>
      <c r="L23" s="11">
        <f t="shared" si="23"/>
        <v>10515.279999999999</v>
      </c>
      <c r="M23" s="11">
        <f>29.93+598.74+3132.7+6114.95</f>
        <v>9876.32</v>
      </c>
      <c r="N23" s="11">
        <v>101.25</v>
      </c>
      <c r="O23" s="11">
        <v>0</v>
      </c>
      <c r="P23" s="11">
        <v>114.65</v>
      </c>
      <c r="Q23" s="11">
        <v>103.26</v>
      </c>
      <c r="R23" s="11">
        <v>319.8</v>
      </c>
      <c r="S23" s="11">
        <v>115</v>
      </c>
      <c r="T23" s="33">
        <v>30</v>
      </c>
      <c r="U23" s="33">
        <v>181</v>
      </c>
      <c r="V23" s="11">
        <v>2628.38</v>
      </c>
      <c r="W23" s="11">
        <v>450</v>
      </c>
      <c r="X23" s="31">
        <f t="shared" si="24"/>
        <v>31.970000000000255</v>
      </c>
      <c r="Y23" s="32">
        <f t="shared" si="10"/>
        <v>-30</v>
      </c>
      <c r="Z23" s="32">
        <f t="shared" si="18"/>
        <v>40</v>
      </c>
      <c r="AA23" s="32">
        <v>0</v>
      </c>
      <c r="AB23" s="33">
        <f t="shared" si="25"/>
        <v>101.5</v>
      </c>
      <c r="AC23" s="33">
        <v>10</v>
      </c>
      <c r="AD23" s="33">
        <v>4330</v>
      </c>
      <c r="AE23" s="33">
        <f t="shared" si="26"/>
        <v>4218.5</v>
      </c>
    </row>
    <row r="24" spans="1:35" s="35" customFormat="1" ht="18.75">
      <c r="A24" s="9">
        <v>44976</v>
      </c>
      <c r="B24" s="10" t="s">
        <v>22</v>
      </c>
      <c r="C24" s="11">
        <v>7435.34</v>
      </c>
      <c r="D24" s="11">
        <v>3736.09</v>
      </c>
      <c r="E24" s="11">
        <v>0</v>
      </c>
      <c r="F24" s="11">
        <v>31</v>
      </c>
      <c r="G24" s="11">
        <v>235</v>
      </c>
      <c r="H24" s="11">
        <v>135</v>
      </c>
      <c r="I24" s="11">
        <f t="shared" si="22"/>
        <v>11633.43</v>
      </c>
      <c r="J24" s="11">
        <v>2423.44</v>
      </c>
      <c r="K24" s="11">
        <v>4</v>
      </c>
      <c r="L24" s="11">
        <f t="shared" si="23"/>
        <v>9146.49</v>
      </c>
      <c r="M24" s="11">
        <f>255.16+954.97+2736.82+5044.77</f>
        <v>8991.7200000000012</v>
      </c>
      <c r="N24" s="11">
        <v>0</v>
      </c>
      <c r="O24" s="11">
        <v>0</v>
      </c>
      <c r="P24" s="11">
        <v>48.38</v>
      </c>
      <c r="Q24" s="11">
        <v>106.39</v>
      </c>
      <c r="R24" s="11">
        <v>0</v>
      </c>
      <c r="S24" s="11">
        <v>0</v>
      </c>
      <c r="T24" s="33">
        <v>61</v>
      </c>
      <c r="U24" s="33">
        <v>59</v>
      </c>
      <c r="V24" s="11">
        <v>2075</v>
      </c>
      <c r="W24" s="11">
        <v>450</v>
      </c>
      <c r="X24" s="31">
        <f t="shared" si="24"/>
        <v>-228.44000000000005</v>
      </c>
      <c r="Y24" s="32">
        <f t="shared" si="10"/>
        <v>-19.5</v>
      </c>
      <c r="Z24" s="32">
        <f t="shared" si="18"/>
        <v>230</v>
      </c>
      <c r="AA24" s="32">
        <v>5</v>
      </c>
      <c r="AB24" s="33">
        <f t="shared" si="25"/>
        <v>100</v>
      </c>
      <c r="AC24" s="33">
        <v>35</v>
      </c>
      <c r="AD24" s="33"/>
      <c r="AE24" s="33">
        <f t="shared" si="26"/>
        <v>-135</v>
      </c>
    </row>
    <row r="25" spans="1:35" ht="37.5" customHeight="1">
      <c r="A25" s="65" t="s">
        <v>27</v>
      </c>
      <c r="B25" s="66"/>
      <c r="C25" s="27">
        <f>SUM(C18:C24)</f>
        <v>64577.97</v>
      </c>
      <c r="D25" s="27">
        <f t="shared" ref="D25:AE25" si="27">SUM(D18:D24)</f>
        <v>27513.93</v>
      </c>
      <c r="E25" s="27">
        <f t="shared" si="27"/>
        <v>135</v>
      </c>
      <c r="F25" s="27">
        <f t="shared" si="27"/>
        <v>426</v>
      </c>
      <c r="G25" s="27">
        <f t="shared" si="27"/>
        <v>715</v>
      </c>
      <c r="H25" s="27">
        <f t="shared" si="27"/>
        <v>859.24</v>
      </c>
      <c r="I25" s="27">
        <f t="shared" si="27"/>
        <v>94455.700000000012</v>
      </c>
      <c r="J25" s="27">
        <f t="shared" si="27"/>
        <v>17348.89</v>
      </c>
      <c r="K25" s="27">
        <f t="shared" si="27"/>
        <v>4.9000000000000004</v>
      </c>
      <c r="L25" s="27">
        <f t="shared" si="27"/>
        <v>76360.530000000013</v>
      </c>
      <c r="M25" s="27">
        <f t="shared" si="27"/>
        <v>71373.42</v>
      </c>
      <c r="N25" s="27">
        <f t="shared" si="27"/>
        <v>248.79</v>
      </c>
      <c r="O25" s="27">
        <f t="shared" si="27"/>
        <v>0</v>
      </c>
      <c r="P25" s="27">
        <f t="shared" si="27"/>
        <v>1323.9100000000003</v>
      </c>
      <c r="Q25" s="27">
        <f t="shared" si="27"/>
        <v>2361.3700000000003</v>
      </c>
      <c r="R25" s="27">
        <f t="shared" si="27"/>
        <v>1053.04</v>
      </c>
      <c r="S25" s="27">
        <f t="shared" si="27"/>
        <v>1704.31</v>
      </c>
      <c r="T25" s="27">
        <f t="shared" si="27"/>
        <v>228.56</v>
      </c>
      <c r="U25" s="27">
        <f t="shared" si="27"/>
        <v>394</v>
      </c>
      <c r="V25" s="27">
        <f t="shared" si="27"/>
        <v>14874.3</v>
      </c>
      <c r="W25" s="27">
        <f t="shared" si="27"/>
        <v>3150</v>
      </c>
      <c r="X25" s="27">
        <f t="shared" si="27"/>
        <v>-147.72000000000025</v>
      </c>
      <c r="Y25" s="27">
        <f t="shared" si="27"/>
        <v>61.359999999998763</v>
      </c>
      <c r="Z25" s="27">
        <f t="shared" si="27"/>
        <v>415</v>
      </c>
      <c r="AA25" s="27">
        <f t="shared" si="27"/>
        <v>300</v>
      </c>
      <c r="AB25" s="27">
        <f t="shared" si="27"/>
        <v>356.5</v>
      </c>
      <c r="AC25" s="27">
        <f t="shared" si="27"/>
        <v>502.74</v>
      </c>
      <c r="AD25" s="27">
        <f t="shared" si="27"/>
        <v>4330</v>
      </c>
      <c r="AE25" s="27">
        <f t="shared" si="27"/>
        <v>3470.76</v>
      </c>
    </row>
    <row r="26" spans="1:35" ht="20.25" customHeight="1">
      <c r="A26" s="9">
        <v>44977</v>
      </c>
      <c r="B26" s="10" t="s">
        <v>23</v>
      </c>
      <c r="C26" s="11">
        <f>8780.18+32.03</f>
        <v>8812.2100000000009</v>
      </c>
      <c r="D26" s="11">
        <v>3920.71</v>
      </c>
      <c r="E26" s="11">
        <v>12.5</v>
      </c>
      <c r="F26" s="11">
        <v>59</v>
      </c>
      <c r="G26" s="11">
        <v>190</v>
      </c>
      <c r="H26" s="11">
        <v>20</v>
      </c>
      <c r="I26" s="11">
        <f t="shared" ref="I26:I32" si="28">SUM(C26:H26,T26)</f>
        <v>13014.420000000002</v>
      </c>
      <c r="J26" s="11">
        <v>2757.26</v>
      </c>
      <c r="K26" s="11">
        <v>0</v>
      </c>
      <c r="L26" s="11">
        <f>SUM(M26:R26)</f>
        <v>10017.859999999999</v>
      </c>
      <c r="M26" s="11">
        <f>82.12+746.15+2861.52+5213.33</f>
        <v>8903.119999999999</v>
      </c>
      <c r="N26" s="11">
        <v>0</v>
      </c>
      <c r="O26" s="11">
        <v>0</v>
      </c>
      <c r="P26" s="11">
        <v>241.54</v>
      </c>
      <c r="Q26" s="11">
        <v>429.14</v>
      </c>
      <c r="R26" s="11">
        <v>444.06</v>
      </c>
      <c r="S26" s="11">
        <v>0</v>
      </c>
      <c r="T26" s="33">
        <v>0</v>
      </c>
      <c r="U26" s="33">
        <v>25</v>
      </c>
      <c r="V26" s="11">
        <v>2732</v>
      </c>
      <c r="W26" s="11">
        <v>450</v>
      </c>
      <c r="X26" s="31">
        <f t="shared" ref="X26:X32" si="29">SUM(S26,T26,U26,V26)-J26</f>
        <v>-0.26000000000021828</v>
      </c>
      <c r="Y26" s="32">
        <f t="shared" si="10"/>
        <v>-79.30000000000291</v>
      </c>
      <c r="Z26" s="32">
        <f t="shared" si="18"/>
        <v>40</v>
      </c>
      <c r="AA26" s="32">
        <v>150</v>
      </c>
      <c r="AB26" s="33">
        <f t="shared" ref="AB26" si="30">SUM(H26-AC26)</f>
        <v>10</v>
      </c>
      <c r="AC26" s="33">
        <v>10</v>
      </c>
      <c r="AD26" s="33"/>
      <c r="AE26" s="33">
        <f>SUM(AD26-H26)</f>
        <v>-20</v>
      </c>
      <c r="AF26" t="s">
        <v>106</v>
      </c>
    </row>
    <row r="27" spans="1:35" ht="20.25" customHeight="1">
      <c r="A27" s="9">
        <v>44978</v>
      </c>
      <c r="B27" s="10" t="s">
        <v>24</v>
      </c>
      <c r="C27" s="11">
        <v>8765.75</v>
      </c>
      <c r="D27" s="11">
        <v>3564.87</v>
      </c>
      <c r="E27" s="11">
        <v>45</v>
      </c>
      <c r="F27" s="11">
        <v>94</v>
      </c>
      <c r="G27" s="11">
        <v>62.5</v>
      </c>
      <c r="H27" s="11">
        <v>47.02</v>
      </c>
      <c r="I27" s="11">
        <f t="shared" si="28"/>
        <v>12867.14</v>
      </c>
      <c r="J27" s="11">
        <v>2360.5500000000002</v>
      </c>
      <c r="K27" s="11">
        <v>0</v>
      </c>
      <c r="L27" s="11">
        <f t="shared" ref="L27:L32" si="31">SUM(M27:R27)</f>
        <v>10402.07</v>
      </c>
      <c r="M27" s="11">
        <f>791.8+2450.56+5925.92</f>
        <v>9168.2799999999988</v>
      </c>
      <c r="N27" s="11">
        <v>48.57</v>
      </c>
      <c r="O27" s="11">
        <v>71.27</v>
      </c>
      <c r="P27" s="11">
        <v>259.85000000000002</v>
      </c>
      <c r="Q27" s="11">
        <v>779.87</v>
      </c>
      <c r="R27" s="11">
        <v>74.23</v>
      </c>
      <c r="S27" s="11">
        <v>0</v>
      </c>
      <c r="T27" s="33">
        <v>288</v>
      </c>
      <c r="U27" s="33">
        <v>80</v>
      </c>
      <c r="V27" s="11">
        <v>2008</v>
      </c>
      <c r="W27" s="11">
        <v>450</v>
      </c>
      <c r="X27" s="31">
        <f t="shared" si="29"/>
        <v>15.449999999999818</v>
      </c>
      <c r="Y27" s="32">
        <f t="shared" si="10"/>
        <v>-10</v>
      </c>
      <c r="Z27" s="32">
        <f t="shared" ref="Z27:Z32" si="32">SUM(G27-AA27)</f>
        <v>15</v>
      </c>
      <c r="AA27" s="32">
        <v>47.5</v>
      </c>
      <c r="AB27" s="33">
        <f t="shared" ref="AB27:AB32" si="33">SUM(H27-AC27)</f>
        <v>0</v>
      </c>
      <c r="AC27" s="33">
        <v>47.02</v>
      </c>
      <c r="AD27" s="33"/>
      <c r="AE27" s="33">
        <f t="shared" ref="AE27:AE32" si="34">SUM(AD27-H27)</f>
        <v>-47.02</v>
      </c>
    </row>
    <row r="28" spans="1:35" ht="20.25" customHeight="1">
      <c r="A28" s="9">
        <v>44979</v>
      </c>
      <c r="B28" s="10" t="s">
        <v>25</v>
      </c>
      <c r="C28" s="11">
        <v>9344.4599999999991</v>
      </c>
      <c r="D28" s="11">
        <v>3260.34</v>
      </c>
      <c r="E28" s="11">
        <v>19</v>
      </c>
      <c r="F28" s="11">
        <v>27</v>
      </c>
      <c r="G28" s="11">
        <v>70</v>
      </c>
      <c r="H28" s="11">
        <v>333.92</v>
      </c>
      <c r="I28" s="11">
        <f>SUM(C28:H28,T28)</f>
        <v>13070.72</v>
      </c>
      <c r="J28" s="11">
        <v>2777.46</v>
      </c>
      <c r="K28" s="11">
        <v>0</v>
      </c>
      <c r="L28" s="11">
        <f t="shared" si="31"/>
        <v>10009.34</v>
      </c>
      <c r="M28" s="11">
        <f>927.94+2607.14+5059.43</f>
        <v>8594.51</v>
      </c>
      <c r="N28" s="11">
        <v>0</v>
      </c>
      <c r="O28" s="11">
        <v>96.19</v>
      </c>
      <c r="P28" s="11">
        <v>213.94</v>
      </c>
      <c r="Q28" s="11">
        <v>831.73</v>
      </c>
      <c r="R28" s="11">
        <v>272.97000000000003</v>
      </c>
      <c r="S28" s="11">
        <v>86.4</v>
      </c>
      <c r="T28" s="33">
        <v>16</v>
      </c>
      <c r="U28" s="33">
        <v>10</v>
      </c>
      <c r="V28" s="11">
        <f>2628+40</f>
        <v>2668</v>
      </c>
      <c r="W28" s="11">
        <v>450</v>
      </c>
      <c r="X28" s="31">
        <f t="shared" si="29"/>
        <v>2.9400000000000546</v>
      </c>
      <c r="Y28" s="32">
        <f t="shared" si="10"/>
        <v>0</v>
      </c>
      <c r="Z28" s="32">
        <f t="shared" si="32"/>
        <v>70</v>
      </c>
      <c r="AA28" s="32">
        <v>0</v>
      </c>
      <c r="AB28" s="33">
        <f t="shared" si="33"/>
        <v>50</v>
      </c>
      <c r="AC28" s="33">
        <f>323.92-40</f>
        <v>283.92</v>
      </c>
      <c r="AD28" s="33"/>
      <c r="AE28" s="33">
        <f t="shared" si="34"/>
        <v>-333.92</v>
      </c>
    </row>
    <row r="29" spans="1:35" ht="20.25" customHeight="1">
      <c r="A29" s="9">
        <v>44980</v>
      </c>
      <c r="B29" s="10" t="s">
        <v>26</v>
      </c>
      <c r="C29" s="11">
        <v>10551.75</v>
      </c>
      <c r="D29" s="11">
        <v>3754.15</v>
      </c>
      <c r="E29" s="11">
        <v>0</v>
      </c>
      <c r="F29" s="11">
        <v>73</v>
      </c>
      <c r="G29" s="11">
        <v>140</v>
      </c>
      <c r="H29" s="11">
        <v>5</v>
      </c>
      <c r="I29" s="11">
        <f t="shared" si="28"/>
        <v>14551.58</v>
      </c>
      <c r="J29" s="11">
        <v>2758.17</v>
      </c>
      <c r="K29" s="11">
        <v>0</v>
      </c>
      <c r="L29" s="11">
        <f t="shared" si="31"/>
        <v>11751.7</v>
      </c>
      <c r="M29" s="11">
        <f>14.99+1117.78+3301.11+27.21+6508.64</f>
        <v>10969.73</v>
      </c>
      <c r="N29" s="11">
        <v>70.19</v>
      </c>
      <c r="O29" s="11">
        <v>0</v>
      </c>
      <c r="P29" s="11">
        <v>150</v>
      </c>
      <c r="Q29" s="11">
        <v>293.52999999999997</v>
      </c>
      <c r="R29" s="11">
        <v>268.25</v>
      </c>
      <c r="S29" s="11">
        <v>1136.83</v>
      </c>
      <c r="T29" s="33">
        <v>27.68</v>
      </c>
      <c r="U29" s="33">
        <v>84</v>
      </c>
      <c r="V29" s="11">
        <v>1547</v>
      </c>
      <c r="W29" s="11">
        <v>450</v>
      </c>
      <c r="X29" s="31">
        <f t="shared" si="29"/>
        <v>37.340000000000146</v>
      </c>
      <c r="Y29" s="32">
        <f t="shared" si="10"/>
        <v>-41.709999999999127</v>
      </c>
      <c r="Z29" s="32">
        <f t="shared" si="32"/>
        <v>140</v>
      </c>
      <c r="AA29" s="32">
        <v>0</v>
      </c>
      <c r="AB29" s="33">
        <f t="shared" si="33"/>
        <v>5</v>
      </c>
      <c r="AC29" s="33">
        <v>0</v>
      </c>
      <c r="AD29" s="33"/>
      <c r="AE29" s="33">
        <f t="shared" si="34"/>
        <v>-5</v>
      </c>
    </row>
    <row r="30" spans="1:35" ht="20.25" customHeight="1">
      <c r="A30" s="9">
        <v>44981</v>
      </c>
      <c r="B30" s="10" t="s">
        <v>20</v>
      </c>
      <c r="C30" s="11">
        <v>12072.72</v>
      </c>
      <c r="D30" s="11">
        <v>5441.29</v>
      </c>
      <c r="E30" s="11">
        <v>50</v>
      </c>
      <c r="F30" s="11">
        <v>117</v>
      </c>
      <c r="G30" s="11">
        <v>155</v>
      </c>
      <c r="H30" s="11">
        <v>40</v>
      </c>
      <c r="I30" s="11">
        <f t="shared" si="28"/>
        <v>17876.009999999998</v>
      </c>
      <c r="J30" s="11">
        <v>3348.02</v>
      </c>
      <c r="K30" s="11">
        <v>0</v>
      </c>
      <c r="L30" s="11">
        <f t="shared" si="31"/>
        <v>13964.949999999999</v>
      </c>
      <c r="M30" s="11">
        <f>123.86+846.11+3807.12+8201.1</f>
        <v>12978.19</v>
      </c>
      <c r="N30" s="11">
        <v>173.31</v>
      </c>
      <c r="O30" s="11">
        <v>0</v>
      </c>
      <c r="P30" s="11">
        <v>131.9</v>
      </c>
      <c r="Q30" s="11">
        <v>347.22</v>
      </c>
      <c r="R30" s="11">
        <v>334.33</v>
      </c>
      <c r="S30" s="11">
        <v>116.09</v>
      </c>
      <c r="T30" s="33">
        <v>0</v>
      </c>
      <c r="U30" s="33">
        <v>72.599999999999994</v>
      </c>
      <c r="V30" s="11">
        <v>3170</v>
      </c>
      <c r="W30" s="11">
        <v>450</v>
      </c>
      <c r="X30" s="31">
        <f t="shared" si="29"/>
        <v>10.670000000000073</v>
      </c>
      <c r="Y30" s="32">
        <f t="shared" si="10"/>
        <v>-533.04000000000087</v>
      </c>
      <c r="Z30" s="32">
        <f t="shared" si="32"/>
        <v>125</v>
      </c>
      <c r="AA30" s="32">
        <v>30</v>
      </c>
      <c r="AB30" s="33">
        <f t="shared" si="33"/>
        <v>40</v>
      </c>
      <c r="AC30" s="33">
        <v>0</v>
      </c>
      <c r="AD30" s="33"/>
      <c r="AE30" s="33">
        <f t="shared" si="34"/>
        <v>-40</v>
      </c>
    </row>
    <row r="31" spans="1:35" ht="20.25" customHeight="1">
      <c r="A31" s="9">
        <v>44982</v>
      </c>
      <c r="B31" s="10" t="s">
        <v>21</v>
      </c>
      <c r="C31" s="11">
        <v>8510.7800000000007</v>
      </c>
      <c r="D31" s="11">
        <v>4708.4799999999996</v>
      </c>
      <c r="E31" s="11">
        <v>38</v>
      </c>
      <c r="F31" s="11">
        <v>26</v>
      </c>
      <c r="G31" s="11">
        <v>70</v>
      </c>
      <c r="H31" s="11">
        <v>50</v>
      </c>
      <c r="I31" s="11">
        <f t="shared" si="28"/>
        <v>13403.26</v>
      </c>
      <c r="J31" s="11">
        <v>2640.88</v>
      </c>
      <c r="K31" s="11">
        <v>0</v>
      </c>
      <c r="L31" s="11">
        <f t="shared" si="31"/>
        <v>10727.380000000001</v>
      </c>
      <c r="M31" s="11">
        <f>88.93+572.5+3466.65+6413.14</f>
        <v>10541.220000000001</v>
      </c>
      <c r="N31" s="11">
        <v>52.84</v>
      </c>
      <c r="O31" s="11">
        <v>0</v>
      </c>
      <c r="P31" s="11">
        <v>49.65</v>
      </c>
      <c r="Q31" s="11">
        <v>83.67</v>
      </c>
      <c r="R31" s="11">
        <v>0</v>
      </c>
      <c r="S31" s="11">
        <v>0</v>
      </c>
      <c r="T31" s="33">
        <v>0</v>
      </c>
      <c r="U31" s="33">
        <v>25</v>
      </c>
      <c r="V31" s="11">
        <f>523+2100</f>
        <v>2623</v>
      </c>
      <c r="W31" s="11">
        <v>450</v>
      </c>
      <c r="X31" s="31">
        <f t="shared" si="29"/>
        <v>7.1199999999998909</v>
      </c>
      <c r="Y31" s="32">
        <f t="shared" si="10"/>
        <v>0</v>
      </c>
      <c r="Z31" s="32">
        <f t="shared" si="32"/>
        <v>60</v>
      </c>
      <c r="AA31" s="32">
        <v>10</v>
      </c>
      <c r="AB31" s="33">
        <f t="shared" si="33"/>
        <v>25</v>
      </c>
      <c r="AC31" s="33">
        <v>25</v>
      </c>
      <c r="AD31" s="33"/>
      <c r="AE31" s="33">
        <f t="shared" si="34"/>
        <v>-50</v>
      </c>
    </row>
    <row r="32" spans="1:35" ht="20.25" customHeight="1">
      <c r="A32" s="9">
        <v>44983</v>
      </c>
      <c r="B32" s="10" t="s">
        <v>22</v>
      </c>
      <c r="C32" s="11">
        <v>8096.71</v>
      </c>
      <c r="D32" s="11">
        <v>4003</v>
      </c>
      <c r="E32" s="11">
        <v>0</v>
      </c>
      <c r="F32" s="11">
        <v>95</v>
      </c>
      <c r="G32" s="11">
        <v>180</v>
      </c>
      <c r="H32" s="11">
        <v>43</v>
      </c>
      <c r="I32" s="11">
        <f t="shared" si="28"/>
        <v>12477.71</v>
      </c>
      <c r="J32" s="11">
        <v>2167.8000000000002</v>
      </c>
      <c r="K32" s="11">
        <v>0</v>
      </c>
      <c r="L32" s="11">
        <f t="shared" si="31"/>
        <v>10170.98</v>
      </c>
      <c r="M32" s="11">
        <f>132.35+347.62+3702.31+5405.38</f>
        <v>9587.66</v>
      </c>
      <c r="N32" s="11">
        <v>0</v>
      </c>
      <c r="O32" s="11">
        <v>35.58</v>
      </c>
      <c r="P32" s="11">
        <f>109.79+65</f>
        <v>174.79000000000002</v>
      </c>
      <c r="Q32" s="11">
        <v>153.88999999999999</v>
      </c>
      <c r="R32" s="11">
        <v>219.06</v>
      </c>
      <c r="S32" s="11">
        <v>118.36</v>
      </c>
      <c r="T32" s="33">
        <v>60</v>
      </c>
      <c r="U32" s="33">
        <v>31</v>
      </c>
      <c r="V32" s="11">
        <v>1960</v>
      </c>
      <c r="W32" s="11">
        <v>455</v>
      </c>
      <c r="X32" s="31">
        <f t="shared" si="29"/>
        <v>1.5599999999999454</v>
      </c>
      <c r="Y32" s="32">
        <f t="shared" si="10"/>
        <v>-90.930000000000291</v>
      </c>
      <c r="Z32" s="32">
        <f t="shared" si="32"/>
        <v>175</v>
      </c>
      <c r="AA32" s="32">
        <v>5</v>
      </c>
      <c r="AB32" s="33">
        <f t="shared" si="33"/>
        <v>0</v>
      </c>
      <c r="AC32" s="33">
        <v>43</v>
      </c>
      <c r="AD32" s="33">
        <v>3950</v>
      </c>
      <c r="AE32" s="33">
        <f t="shared" si="34"/>
        <v>3907</v>
      </c>
    </row>
    <row r="33" spans="1:31" ht="37.5" customHeight="1">
      <c r="A33" s="65" t="s">
        <v>27</v>
      </c>
      <c r="B33" s="66"/>
      <c r="C33" s="27">
        <f t="shared" ref="C33:AE33" si="35">SUM(C26:C32)</f>
        <v>66154.38</v>
      </c>
      <c r="D33" s="27">
        <f t="shared" si="35"/>
        <v>28652.84</v>
      </c>
      <c r="E33" s="27">
        <f t="shared" si="35"/>
        <v>164.5</v>
      </c>
      <c r="F33" s="27">
        <f t="shared" si="35"/>
        <v>491</v>
      </c>
      <c r="G33" s="27">
        <f t="shared" si="35"/>
        <v>867.5</v>
      </c>
      <c r="H33" s="27">
        <f t="shared" si="35"/>
        <v>538.94000000000005</v>
      </c>
      <c r="I33" s="27">
        <f t="shared" si="35"/>
        <v>97260.84</v>
      </c>
      <c r="J33" s="27">
        <f t="shared" si="35"/>
        <v>18810.14</v>
      </c>
      <c r="K33" s="27">
        <f t="shared" si="35"/>
        <v>0</v>
      </c>
      <c r="L33" s="27">
        <f t="shared" si="35"/>
        <v>77044.28</v>
      </c>
      <c r="M33" s="27">
        <f t="shared" si="35"/>
        <v>70742.710000000006</v>
      </c>
      <c r="N33" s="27">
        <f t="shared" si="35"/>
        <v>344.90999999999997</v>
      </c>
      <c r="O33" s="27">
        <f t="shared" si="35"/>
        <v>203.03999999999996</v>
      </c>
      <c r="P33" s="27">
        <f t="shared" si="35"/>
        <v>1221.6699999999998</v>
      </c>
      <c r="Q33" s="27">
        <f t="shared" si="35"/>
        <v>2919.0499999999997</v>
      </c>
      <c r="R33" s="27">
        <f t="shared" si="35"/>
        <v>1612.8999999999999</v>
      </c>
      <c r="S33" s="27">
        <f t="shared" si="35"/>
        <v>1457.6799999999998</v>
      </c>
      <c r="T33" s="27">
        <f t="shared" si="35"/>
        <v>391.68</v>
      </c>
      <c r="U33" s="27">
        <f t="shared" si="35"/>
        <v>327.60000000000002</v>
      </c>
      <c r="V33" s="27">
        <f t="shared" si="35"/>
        <v>16708</v>
      </c>
      <c r="W33" s="27">
        <f t="shared" si="35"/>
        <v>3155</v>
      </c>
      <c r="X33" s="27">
        <f t="shared" si="35"/>
        <v>74.819999999999709</v>
      </c>
      <c r="Y33" s="27">
        <f t="shared" si="35"/>
        <v>-754.9800000000032</v>
      </c>
      <c r="Z33" s="27">
        <f t="shared" si="35"/>
        <v>625</v>
      </c>
      <c r="AA33" s="27">
        <f t="shared" si="35"/>
        <v>242.5</v>
      </c>
      <c r="AB33" s="27">
        <f t="shared" si="35"/>
        <v>130</v>
      </c>
      <c r="AC33" s="27">
        <f t="shared" si="35"/>
        <v>408.94</v>
      </c>
      <c r="AD33" s="27">
        <f t="shared" si="35"/>
        <v>3950</v>
      </c>
      <c r="AE33" s="27">
        <f t="shared" si="35"/>
        <v>3411.06</v>
      </c>
    </row>
    <row r="34" spans="1:31" s="35" customFormat="1" ht="18.75">
      <c r="A34" s="9">
        <v>44984</v>
      </c>
      <c r="B34" s="10" t="s">
        <v>23</v>
      </c>
      <c r="C34" s="11">
        <v>9850.25</v>
      </c>
      <c r="D34" s="11">
        <v>3463.01</v>
      </c>
      <c r="E34" s="11">
        <v>7</v>
      </c>
      <c r="F34" s="11">
        <v>38</v>
      </c>
      <c r="G34" s="11">
        <v>235</v>
      </c>
      <c r="H34" s="11">
        <v>44</v>
      </c>
      <c r="I34" s="11">
        <f t="shared" ref="I34:I35" si="36">SUM(C34:H34,T34)</f>
        <v>13732.26</v>
      </c>
      <c r="J34" s="11">
        <v>2427.17</v>
      </c>
      <c r="K34" s="11">
        <v>0</v>
      </c>
      <c r="L34" s="11">
        <f t="shared" ref="L34:L35" si="37">SUM(M34:R34)</f>
        <v>11165.089999999998</v>
      </c>
      <c r="M34" s="11">
        <f>5.99+1256.93+3305.41+5612.98</f>
        <v>10181.31</v>
      </c>
      <c r="N34" s="11">
        <v>10.47</v>
      </c>
      <c r="O34" s="11">
        <v>28.88</v>
      </c>
      <c r="P34" s="11">
        <v>273.25</v>
      </c>
      <c r="Q34" s="11">
        <v>553.82000000000005</v>
      </c>
      <c r="R34" s="11">
        <v>117.36</v>
      </c>
      <c r="S34" s="11">
        <v>89.91</v>
      </c>
      <c r="T34" s="33">
        <v>95</v>
      </c>
      <c r="U34" s="33">
        <v>55</v>
      </c>
      <c r="V34" s="11">
        <v>2187</v>
      </c>
      <c r="W34" s="11">
        <v>450</v>
      </c>
      <c r="X34" s="31">
        <f t="shared" ref="X34:X35" si="38">SUM(S34,T34,U34,V34)-J34</f>
        <v>-0.26000000000021828</v>
      </c>
      <c r="Y34" s="32">
        <f t="shared" ref="Y34:Y35" si="39">SUM(J34+K34+L34+AC34+AA34)-(I34)</f>
        <v>0</v>
      </c>
      <c r="Z34" s="32">
        <f t="shared" ref="Z34:Z35" si="40">SUM(G34-AA34)</f>
        <v>105</v>
      </c>
      <c r="AA34" s="32">
        <v>130</v>
      </c>
      <c r="AB34" s="33">
        <f t="shared" ref="AB34:AB35" si="41">SUM(H34-AC34)</f>
        <v>34</v>
      </c>
      <c r="AC34" s="33">
        <v>10</v>
      </c>
      <c r="AD34" s="33"/>
      <c r="AE34" s="33">
        <f t="shared" ref="AE34:AE35" si="42">SUM(AD34-H34)</f>
        <v>-44</v>
      </c>
    </row>
    <row r="35" spans="1:31" s="35" customFormat="1" ht="18.75">
      <c r="A35" s="9">
        <v>44985</v>
      </c>
      <c r="B35" s="10" t="s">
        <v>24</v>
      </c>
      <c r="C35" s="11">
        <f>9474.53+39.96</f>
        <v>9514.49</v>
      </c>
      <c r="D35" s="11">
        <v>3458.78</v>
      </c>
      <c r="E35" s="11">
        <v>29</v>
      </c>
      <c r="F35" s="11">
        <v>60</v>
      </c>
      <c r="G35" s="11">
        <v>135</v>
      </c>
      <c r="H35" s="11">
        <v>80</v>
      </c>
      <c r="I35" s="11">
        <f t="shared" si="36"/>
        <v>13307.27</v>
      </c>
      <c r="J35" s="11">
        <v>2089.44</v>
      </c>
      <c r="K35" s="11">
        <v>0</v>
      </c>
      <c r="L35" s="11">
        <f t="shared" si="37"/>
        <v>11174.87</v>
      </c>
      <c r="M35" s="11">
        <f>31.33+521.14+2907.62+6730.22</f>
        <v>10190.310000000001</v>
      </c>
      <c r="N35" s="11">
        <v>0</v>
      </c>
      <c r="O35" s="11">
        <v>0</v>
      </c>
      <c r="P35" s="11">
        <v>207.57</v>
      </c>
      <c r="Q35" s="11">
        <v>715.77</v>
      </c>
      <c r="R35" s="11">
        <v>61.22</v>
      </c>
      <c r="S35" s="11">
        <v>10.8</v>
      </c>
      <c r="T35" s="33">
        <v>30</v>
      </c>
      <c r="U35" s="33">
        <v>60</v>
      </c>
      <c r="V35" s="11">
        <v>2090</v>
      </c>
      <c r="W35" s="11">
        <v>450</v>
      </c>
      <c r="X35" s="31">
        <f t="shared" si="38"/>
        <v>101.36000000000013</v>
      </c>
      <c r="Y35" s="32">
        <f t="shared" si="39"/>
        <v>-42.959999999999127</v>
      </c>
      <c r="Z35" s="32">
        <f t="shared" si="40"/>
        <v>135</v>
      </c>
      <c r="AA35" s="32">
        <v>0</v>
      </c>
      <c r="AB35" s="33">
        <f t="shared" si="41"/>
        <v>80</v>
      </c>
      <c r="AC35" s="33">
        <v>0</v>
      </c>
      <c r="AD35" s="33"/>
      <c r="AE35" s="33">
        <f t="shared" si="42"/>
        <v>-80</v>
      </c>
    </row>
    <row r="36" spans="1:31" ht="37.5" customHeight="1">
      <c r="A36" s="65" t="s">
        <v>27</v>
      </c>
      <c r="B36" s="66"/>
      <c r="C36" s="27">
        <f>SUM(C34:C35)</f>
        <v>19364.739999999998</v>
      </c>
      <c r="D36" s="27">
        <f t="shared" ref="D36:AE36" si="43">SUM(D34:D35)</f>
        <v>6921.7900000000009</v>
      </c>
      <c r="E36" s="27">
        <f t="shared" si="43"/>
        <v>36</v>
      </c>
      <c r="F36" s="27">
        <f t="shared" si="43"/>
        <v>98</v>
      </c>
      <c r="G36" s="27">
        <f t="shared" si="43"/>
        <v>370</v>
      </c>
      <c r="H36" s="27">
        <f t="shared" si="43"/>
        <v>124</v>
      </c>
      <c r="I36" s="27">
        <f t="shared" si="43"/>
        <v>27039.53</v>
      </c>
      <c r="J36" s="27">
        <f t="shared" si="43"/>
        <v>4516.6100000000006</v>
      </c>
      <c r="K36" s="27">
        <f t="shared" si="43"/>
        <v>0</v>
      </c>
      <c r="L36" s="27">
        <f t="shared" si="43"/>
        <v>22339.96</v>
      </c>
      <c r="M36" s="27">
        <f t="shared" si="43"/>
        <v>20371.620000000003</v>
      </c>
      <c r="N36" s="27">
        <f t="shared" si="43"/>
        <v>10.47</v>
      </c>
      <c r="O36" s="27">
        <f t="shared" si="43"/>
        <v>28.88</v>
      </c>
      <c r="P36" s="27">
        <f t="shared" si="43"/>
        <v>480.82</v>
      </c>
      <c r="Q36" s="27">
        <f t="shared" si="43"/>
        <v>1269.5900000000001</v>
      </c>
      <c r="R36" s="27">
        <f t="shared" si="43"/>
        <v>178.57999999999998</v>
      </c>
      <c r="S36" s="27">
        <f t="shared" si="43"/>
        <v>100.71</v>
      </c>
      <c r="T36" s="27">
        <f t="shared" si="43"/>
        <v>125</v>
      </c>
      <c r="U36" s="27">
        <f t="shared" si="43"/>
        <v>115</v>
      </c>
      <c r="V36" s="27">
        <f t="shared" si="43"/>
        <v>4277</v>
      </c>
      <c r="W36" s="27">
        <f t="shared" si="43"/>
        <v>900</v>
      </c>
      <c r="X36" s="27">
        <f t="shared" si="43"/>
        <v>101.09999999999991</v>
      </c>
      <c r="Y36" s="27">
        <f t="shared" si="43"/>
        <v>-42.959999999999127</v>
      </c>
      <c r="Z36" s="27">
        <f t="shared" si="43"/>
        <v>240</v>
      </c>
      <c r="AA36" s="27">
        <f t="shared" si="43"/>
        <v>130</v>
      </c>
      <c r="AB36" s="27">
        <f t="shared" si="43"/>
        <v>114</v>
      </c>
      <c r="AC36" s="27">
        <f t="shared" si="43"/>
        <v>10</v>
      </c>
      <c r="AD36" s="27">
        <f t="shared" si="43"/>
        <v>0</v>
      </c>
      <c r="AE36" s="27">
        <f t="shared" si="43"/>
        <v>-124</v>
      </c>
    </row>
    <row r="37" spans="1:31" ht="51.75" customHeight="1">
      <c r="A37" s="67" t="s">
        <v>17</v>
      </c>
      <c r="B37" s="68"/>
      <c r="C37" s="30">
        <f>SUM(C36,C33,C25,C17,C9)</f>
        <v>284174.13</v>
      </c>
      <c r="D37" s="30">
        <f t="shared" ref="D37:AE37" si="44">SUM(D36,D33,D25,D17,D9)</f>
        <v>117864.18</v>
      </c>
      <c r="E37" s="30">
        <f t="shared" si="44"/>
        <v>672</v>
      </c>
      <c r="F37" s="30">
        <f t="shared" si="44"/>
        <v>2216</v>
      </c>
      <c r="G37" s="30">
        <f t="shared" si="44"/>
        <v>3698.06</v>
      </c>
      <c r="H37" s="30">
        <f t="shared" si="44"/>
        <v>3181.94</v>
      </c>
      <c r="I37" s="30">
        <f t="shared" si="44"/>
        <v>412978.6</v>
      </c>
      <c r="J37" s="30">
        <f t="shared" si="44"/>
        <v>77607.94</v>
      </c>
      <c r="K37" s="30">
        <f t="shared" si="44"/>
        <v>6.9</v>
      </c>
      <c r="L37" s="30">
        <f t="shared" si="44"/>
        <v>331126.23000000004</v>
      </c>
      <c r="M37" s="30">
        <f t="shared" si="44"/>
        <v>304230.39</v>
      </c>
      <c r="N37" s="30">
        <f t="shared" si="44"/>
        <v>1088.78</v>
      </c>
      <c r="O37" s="30">
        <f t="shared" si="44"/>
        <v>708.26</v>
      </c>
      <c r="P37" s="30">
        <f t="shared" si="44"/>
        <v>6039.98</v>
      </c>
      <c r="Q37" s="30">
        <f t="shared" si="44"/>
        <v>12813.33</v>
      </c>
      <c r="R37" s="30">
        <f t="shared" si="44"/>
        <v>6245.49</v>
      </c>
      <c r="S37" s="30">
        <f t="shared" si="44"/>
        <v>7154.09</v>
      </c>
      <c r="T37" s="30">
        <f t="shared" si="44"/>
        <v>1172.29</v>
      </c>
      <c r="U37" s="30">
        <f t="shared" si="44"/>
        <v>1857</v>
      </c>
      <c r="V37" s="30">
        <f t="shared" si="44"/>
        <v>67546.3</v>
      </c>
      <c r="W37" s="30">
        <f t="shared" si="44"/>
        <v>13455</v>
      </c>
      <c r="X37" s="30">
        <f t="shared" si="44"/>
        <v>121.73999999999887</v>
      </c>
      <c r="Y37" s="30">
        <f t="shared" si="44"/>
        <v>-899.41999999999825</v>
      </c>
      <c r="Z37" s="30">
        <f t="shared" si="44"/>
        <v>2154</v>
      </c>
      <c r="AA37" s="30">
        <f t="shared" si="44"/>
        <v>1544.06</v>
      </c>
      <c r="AB37" s="30">
        <f t="shared" si="44"/>
        <v>1387.8899999999999</v>
      </c>
      <c r="AC37" s="30">
        <f t="shared" si="44"/>
        <v>1794.0500000000002</v>
      </c>
      <c r="AD37" s="30">
        <f t="shared" si="44"/>
        <v>17180</v>
      </c>
      <c r="AE37" s="30">
        <f t="shared" si="44"/>
        <v>13998.06</v>
      </c>
    </row>
    <row r="39" spans="1:31"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41"/>
      <c r="AA39" s="41"/>
      <c r="AB39" s="41"/>
      <c r="AC39" s="41"/>
      <c r="AD39" s="41"/>
      <c r="AE39" s="41"/>
    </row>
    <row r="40" spans="1:31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</row>
    <row r="41" spans="1:31"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  <c r="X41" s="42"/>
      <c r="Y41" s="42"/>
      <c r="Z41" s="42"/>
      <c r="AA41" s="42"/>
      <c r="AB41" s="42"/>
      <c r="AC41" s="42"/>
      <c r="AD41" s="42"/>
      <c r="AE41" s="42"/>
    </row>
    <row r="42" spans="1:31"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</row>
    <row r="43" spans="1:31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5" spans="1:31" hidden="1"/>
    <row r="46" spans="1:31" ht="18.75" hidden="1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33"/>
      <c r="U46" s="33"/>
      <c r="V46" s="11"/>
      <c r="W46" s="11"/>
      <c r="X46" s="31"/>
      <c r="Y46" s="32"/>
      <c r="Z46" s="32"/>
      <c r="AA46" s="32"/>
      <c r="AB46" s="33"/>
      <c r="AC46" s="33"/>
      <c r="AD46" s="33"/>
      <c r="AE46" s="33"/>
    </row>
    <row r="47" spans="1:31" ht="18.75" hidden="1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33"/>
      <c r="U47" s="33"/>
      <c r="V47" s="11"/>
      <c r="W47" s="11"/>
      <c r="X47" s="31"/>
      <c r="Y47" s="32"/>
      <c r="Z47" s="32"/>
      <c r="AA47" s="32"/>
      <c r="AB47" s="33"/>
      <c r="AC47" s="33"/>
      <c r="AD47" s="33"/>
      <c r="AE47" s="33"/>
    </row>
    <row r="48" spans="1:31" s="28" customFormat="1" ht="18.75" hidden="1">
      <c r="A48"/>
      <c r="B48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33"/>
      <c r="U48" s="33"/>
      <c r="V48" s="11"/>
      <c r="W48" s="11"/>
      <c r="X48" s="31"/>
      <c r="Y48" s="32"/>
      <c r="Z48" s="32"/>
      <c r="AA48" s="32"/>
      <c r="AB48" s="33"/>
      <c r="AC48" s="33"/>
      <c r="AD48" s="33"/>
      <c r="AE48" s="33"/>
    </row>
    <row r="49" spans="1:31" s="28" customFormat="1" hidden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</row>
    <row r="50" spans="1:31" s="28" customFormat="1" hidden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</row>
    <row r="51" spans="1:31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</row>
  </sheetData>
  <sheetProtection password="CCFB" sheet="1" objects="1" scenarios="1"/>
  <mergeCells count="6">
    <mergeCell ref="A37:B37"/>
    <mergeCell ref="A9:B9"/>
    <mergeCell ref="A17:B17"/>
    <mergeCell ref="A25:B25"/>
    <mergeCell ref="A33:B33"/>
    <mergeCell ref="A36:B36"/>
  </mergeCells>
  <conditionalFormatting sqref="X46:AA48 X2:AA8 X10:Z16 X18:AA24 X34:AA35 X26:AA32">
    <cfRule type="cellIs" dxfId="167" priority="15" operator="lessThan">
      <formula>0</formula>
    </cfRule>
    <cfRule type="cellIs" dxfId="166" priority="16" operator="greaterThan">
      <formula>0</formula>
    </cfRule>
  </conditionalFormatting>
  <conditionalFormatting sqref="X46:AB48 AB10:AB16 X2:AB8 X10:Z16 X18:AB24 X34:AB35 X26:AB32">
    <cfRule type="cellIs" dxfId="165" priority="12" operator="equal">
      <formula>0</formula>
    </cfRule>
    <cfRule type="cellIs" dxfId="164" priority="13" operator="lessThan">
      <formula>0</formula>
    </cfRule>
    <cfRule type="cellIs" dxfId="163" priority="14" operator="greaterThan">
      <formula>0</formula>
    </cfRule>
  </conditionalFormatting>
  <conditionalFormatting sqref="AE2:AE8 AE18:AE24 AE26:AE32 AE34:AE35 AE10:AE16">
    <cfRule type="cellIs" dxfId="162" priority="9" operator="equal">
      <formula>0</formula>
    </cfRule>
    <cfRule type="cellIs" dxfId="161" priority="10" operator="lessThan">
      <formula>0</formula>
    </cfRule>
    <cfRule type="cellIs" dxfId="160" priority="11" operator="greaterThan">
      <formula>0</formula>
    </cfRule>
  </conditionalFormatting>
  <conditionalFormatting sqref="X2:AA3">
    <cfRule type="cellIs" dxfId="159" priority="7" operator="lessThan">
      <formula>0</formula>
    </cfRule>
    <cfRule type="cellIs" dxfId="158" priority="8" operator="greaterThan">
      <formula>0</formula>
    </cfRule>
  </conditionalFormatting>
  <conditionalFormatting sqref="X2:AB3">
    <cfRule type="cellIs" dxfId="157" priority="4" operator="equal">
      <formula>0</formula>
    </cfRule>
    <cfRule type="cellIs" dxfId="156" priority="5" operator="lessThan">
      <formula>0</formula>
    </cfRule>
    <cfRule type="cellIs" dxfId="155" priority="6" operator="greaterThan">
      <formula>0</formula>
    </cfRule>
  </conditionalFormatting>
  <conditionalFormatting sqref="AE2:AE3">
    <cfRule type="cellIs" dxfId="154" priority="1" operator="equal">
      <formula>0</formula>
    </cfRule>
    <cfRule type="cellIs" dxfId="153" priority="2" operator="lessThan">
      <formula>0</formula>
    </cfRule>
    <cfRule type="cellIs" dxfId="152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E54"/>
  <sheetViews>
    <sheetView topLeftCell="A10" zoomScale="60" zoomScaleNormal="60" workbookViewId="0">
      <selection activeCell="AF38" sqref="AF38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6.42578125" customWidth="1"/>
    <col min="17" max="18" width="15.5703125" customWidth="1"/>
    <col min="19" max="19" width="13.85546875" customWidth="1"/>
    <col min="20" max="20" width="13.5703125" customWidth="1"/>
    <col min="21" max="21" width="14.28515625" customWidth="1"/>
    <col min="22" max="22" width="13" customWidth="1"/>
    <col min="23" max="23" width="14.85546875" customWidth="1"/>
    <col min="24" max="24" width="15.85546875" customWidth="1"/>
    <col min="25" max="27" width="16.5703125" customWidth="1"/>
    <col min="28" max="28" width="14" customWidth="1"/>
    <col min="29" max="29" width="13" customWidth="1"/>
    <col min="30" max="30" width="14.85546875" customWidth="1"/>
    <col min="31" max="31" width="15.5703125" customWidth="1"/>
  </cols>
  <sheetData>
    <row r="1" spans="1:31" ht="66.7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96</v>
      </c>
      <c r="P1" s="8" t="s">
        <v>8</v>
      </c>
      <c r="Q1" s="8" t="s">
        <v>28</v>
      </c>
      <c r="R1" s="8" t="s">
        <v>92</v>
      </c>
      <c r="S1" s="8" t="s">
        <v>9</v>
      </c>
      <c r="T1" s="8" t="s">
        <v>10</v>
      </c>
      <c r="U1" s="8" t="s">
        <v>11</v>
      </c>
      <c r="V1" s="8" t="s">
        <v>12</v>
      </c>
      <c r="W1" s="8" t="s">
        <v>13</v>
      </c>
      <c r="X1" s="8" t="s">
        <v>14</v>
      </c>
      <c r="Y1" s="8" t="s">
        <v>34</v>
      </c>
      <c r="Z1" s="23" t="s">
        <v>94</v>
      </c>
      <c r="AA1" s="23" t="s">
        <v>95</v>
      </c>
      <c r="AB1" s="23" t="s">
        <v>39</v>
      </c>
      <c r="AC1" s="23" t="s">
        <v>40</v>
      </c>
      <c r="AD1" s="23" t="s">
        <v>78</v>
      </c>
      <c r="AE1" s="23" t="s">
        <v>79</v>
      </c>
    </row>
    <row r="2" spans="1:31" s="35" customFormat="1" ht="18.75">
      <c r="A2" s="9">
        <v>44984</v>
      </c>
      <c r="B2" s="10" t="s">
        <v>23</v>
      </c>
      <c r="C2" s="11">
        <v>9850.25</v>
      </c>
      <c r="D2" s="11">
        <v>3463.01</v>
      </c>
      <c r="E2" s="11">
        <v>7</v>
      </c>
      <c r="F2" s="11">
        <v>38</v>
      </c>
      <c r="G2" s="11">
        <v>235</v>
      </c>
      <c r="H2" s="11">
        <v>44</v>
      </c>
      <c r="I2" s="11">
        <f t="shared" ref="I2:I3" si="0">SUM(C2:H2,T2)</f>
        <v>13732.26</v>
      </c>
      <c r="J2" s="11">
        <v>2427.17</v>
      </c>
      <c r="K2" s="11">
        <v>0</v>
      </c>
      <c r="L2" s="11">
        <f t="shared" ref="L2:L3" si="1">SUM(M2:R2)</f>
        <v>11165.089999999998</v>
      </c>
      <c r="M2" s="11">
        <f>5.99+1256.93+3305.41+5612.98</f>
        <v>10181.31</v>
      </c>
      <c r="N2" s="11">
        <v>10.47</v>
      </c>
      <c r="O2" s="11">
        <v>28.88</v>
      </c>
      <c r="P2" s="11">
        <v>273.25</v>
      </c>
      <c r="Q2" s="11">
        <v>553.82000000000005</v>
      </c>
      <c r="R2" s="11">
        <v>117.36</v>
      </c>
      <c r="S2" s="11">
        <v>89.91</v>
      </c>
      <c r="T2" s="33">
        <v>95</v>
      </c>
      <c r="U2" s="33">
        <v>55</v>
      </c>
      <c r="V2" s="11">
        <v>2187</v>
      </c>
      <c r="W2" s="11">
        <v>450</v>
      </c>
      <c r="X2" s="31">
        <f t="shared" ref="X2:X3" si="2">SUM(S2,T2,U2,V2)-J2</f>
        <v>-0.26000000000021828</v>
      </c>
      <c r="Y2" s="32">
        <f t="shared" ref="Y2:Y3" si="3">SUM(J2+K2+L2+AC2+AA2)-(I2)</f>
        <v>0</v>
      </c>
      <c r="Z2" s="32">
        <f t="shared" ref="Z2:Z3" si="4">SUM(G2-AA2)</f>
        <v>105</v>
      </c>
      <c r="AA2" s="32">
        <v>130</v>
      </c>
      <c r="AB2" s="33">
        <f t="shared" ref="AB2:AB3" si="5">SUM(H2-AC2)</f>
        <v>34</v>
      </c>
      <c r="AC2" s="33">
        <v>10</v>
      </c>
      <c r="AD2" s="33"/>
      <c r="AE2" s="33">
        <f t="shared" ref="AE2:AE3" si="6">SUM(AD2-H2)</f>
        <v>-44</v>
      </c>
    </row>
    <row r="3" spans="1:31" s="35" customFormat="1" ht="18.75">
      <c r="A3" s="9">
        <v>44985</v>
      </c>
      <c r="B3" s="10" t="s">
        <v>24</v>
      </c>
      <c r="C3" s="11">
        <f>9474.53+39.96</f>
        <v>9514.49</v>
      </c>
      <c r="D3" s="11">
        <v>3458.78</v>
      </c>
      <c r="E3" s="11">
        <v>29</v>
      </c>
      <c r="F3" s="11">
        <v>60</v>
      </c>
      <c r="G3" s="11">
        <v>135</v>
      </c>
      <c r="H3" s="11">
        <v>80</v>
      </c>
      <c r="I3" s="11">
        <f t="shared" si="0"/>
        <v>13307.27</v>
      </c>
      <c r="J3" s="11">
        <v>2089.44</v>
      </c>
      <c r="K3" s="11">
        <v>0</v>
      </c>
      <c r="L3" s="11">
        <f t="shared" si="1"/>
        <v>11174.87</v>
      </c>
      <c r="M3" s="11">
        <f>31.33+521.14+2907.62+6730.22</f>
        <v>10190.310000000001</v>
      </c>
      <c r="N3" s="11">
        <v>0</v>
      </c>
      <c r="O3" s="11">
        <v>0</v>
      </c>
      <c r="P3" s="11">
        <v>207.57</v>
      </c>
      <c r="Q3" s="11">
        <v>715.77</v>
      </c>
      <c r="R3" s="11">
        <v>61.22</v>
      </c>
      <c r="S3" s="11">
        <v>10.8</v>
      </c>
      <c r="T3" s="33">
        <v>30</v>
      </c>
      <c r="U3" s="33">
        <v>60</v>
      </c>
      <c r="V3" s="11">
        <v>2090</v>
      </c>
      <c r="W3" s="11">
        <v>450</v>
      </c>
      <c r="X3" s="31">
        <f t="shared" si="2"/>
        <v>101.36000000000013</v>
      </c>
      <c r="Y3" s="32">
        <f t="shared" si="3"/>
        <v>-42.959999999999127</v>
      </c>
      <c r="Z3" s="32">
        <f t="shared" si="4"/>
        <v>135</v>
      </c>
      <c r="AA3" s="32">
        <v>0</v>
      </c>
      <c r="AB3" s="33">
        <f t="shared" si="5"/>
        <v>80</v>
      </c>
      <c r="AC3" s="33">
        <v>0</v>
      </c>
      <c r="AD3" s="33"/>
      <c r="AE3" s="33">
        <f t="shared" si="6"/>
        <v>-80</v>
      </c>
    </row>
    <row r="4" spans="1:31" ht="18.75">
      <c r="A4" s="9">
        <v>44986</v>
      </c>
      <c r="B4" s="10" t="s">
        <v>25</v>
      </c>
      <c r="C4" s="11">
        <v>10518.85</v>
      </c>
      <c r="D4" s="11">
        <v>3528.72</v>
      </c>
      <c r="E4" s="11">
        <v>6.5</v>
      </c>
      <c r="F4" s="11">
        <v>63</v>
      </c>
      <c r="G4" s="11">
        <v>105</v>
      </c>
      <c r="H4" s="11">
        <v>99.18</v>
      </c>
      <c r="I4" s="11">
        <f t="shared" ref="I4:I8" si="7">SUM(C4:H4,T4)</f>
        <v>14361.25</v>
      </c>
      <c r="J4" s="11">
        <v>3111.99</v>
      </c>
      <c r="K4" s="11">
        <v>0</v>
      </c>
      <c r="L4" s="11">
        <f t="shared" ref="L4:L8" si="8">SUM(M4:R4)</f>
        <v>11194.900000000001</v>
      </c>
      <c r="M4" s="11">
        <f>623.76+3908.66+5778.89</f>
        <v>10311.310000000001</v>
      </c>
      <c r="N4" s="11">
        <v>0</v>
      </c>
      <c r="O4" s="11">
        <v>51.36</v>
      </c>
      <c r="P4" s="11">
        <v>270.19</v>
      </c>
      <c r="Q4" s="11">
        <v>482.91</v>
      </c>
      <c r="R4" s="11">
        <v>79.13</v>
      </c>
      <c r="S4" s="11">
        <v>0</v>
      </c>
      <c r="T4" s="33">
        <v>40</v>
      </c>
      <c r="U4" s="33">
        <v>87</v>
      </c>
      <c r="V4" s="11">
        <v>2988</v>
      </c>
      <c r="W4" s="11">
        <v>450</v>
      </c>
      <c r="X4" s="31">
        <f t="shared" ref="X4:X8" si="9">SUM(S4,T4,U4,V4)-J4</f>
        <v>3.0100000000002183</v>
      </c>
      <c r="Y4" s="32">
        <f t="shared" ref="Y4:Y32" si="10">SUM(J4+K4+L4+AC4+AA4)-(I4)</f>
        <v>0.64000000000123691</v>
      </c>
      <c r="Z4" s="32">
        <f t="shared" ref="Z4:Z8" si="11">SUM(G4-AA4)</f>
        <v>80</v>
      </c>
      <c r="AA4" s="32">
        <v>25</v>
      </c>
      <c r="AB4" s="33">
        <f t="shared" ref="AB4:AB8" si="12">SUM(H4-AC4)</f>
        <v>69.180000000000007</v>
      </c>
      <c r="AC4" s="33">
        <v>30</v>
      </c>
      <c r="AD4" s="33"/>
      <c r="AE4" s="33">
        <f t="shared" ref="AE4:AE8" si="13">SUM(AD4-H4)</f>
        <v>-99.18</v>
      </c>
    </row>
    <row r="5" spans="1:31" ht="18.75">
      <c r="A5" s="9">
        <v>44987</v>
      </c>
      <c r="B5" s="10" t="s">
        <v>26</v>
      </c>
      <c r="C5" s="11">
        <v>9130.85</v>
      </c>
      <c r="D5" s="11">
        <v>3781.18</v>
      </c>
      <c r="E5" s="11">
        <v>32.5</v>
      </c>
      <c r="F5" s="11">
        <v>135</v>
      </c>
      <c r="G5" s="11">
        <v>20</v>
      </c>
      <c r="H5" s="11">
        <v>153</v>
      </c>
      <c r="I5" s="11">
        <f t="shared" si="7"/>
        <v>13263.53</v>
      </c>
      <c r="J5" s="11">
        <v>2185.73</v>
      </c>
      <c r="K5" s="11">
        <v>0</v>
      </c>
      <c r="L5" s="11">
        <f t="shared" si="8"/>
        <v>10911.2</v>
      </c>
      <c r="M5" s="11">
        <f>25.04+744.57+3030.54+6613.12</f>
        <v>10413.27</v>
      </c>
      <c r="N5" s="11">
        <v>0</v>
      </c>
      <c r="O5" s="11">
        <v>0</v>
      </c>
      <c r="P5" s="11">
        <v>40.01</v>
      </c>
      <c r="Q5" s="11">
        <v>391.8</v>
      </c>
      <c r="R5" s="11">
        <v>66.12</v>
      </c>
      <c r="S5" s="11">
        <v>334</v>
      </c>
      <c r="T5" s="33">
        <v>11</v>
      </c>
      <c r="U5" s="33">
        <v>70</v>
      </c>
      <c r="V5" s="11">
        <v>1425</v>
      </c>
      <c r="W5" s="11">
        <v>450</v>
      </c>
      <c r="X5" s="31">
        <f t="shared" si="9"/>
        <v>-345.73</v>
      </c>
      <c r="Y5" s="32">
        <f t="shared" si="10"/>
        <v>-13.600000000000364</v>
      </c>
      <c r="Z5" s="32">
        <f t="shared" si="11"/>
        <v>20</v>
      </c>
      <c r="AA5" s="32">
        <v>0</v>
      </c>
      <c r="AB5" s="33">
        <f t="shared" si="12"/>
        <v>0</v>
      </c>
      <c r="AC5" s="33">
        <v>153</v>
      </c>
      <c r="AD5" s="33"/>
      <c r="AE5" s="33">
        <f t="shared" si="13"/>
        <v>-153</v>
      </c>
    </row>
    <row r="6" spans="1:31" ht="18.75">
      <c r="A6" s="9">
        <v>44988</v>
      </c>
      <c r="B6" s="10" t="s">
        <v>20</v>
      </c>
      <c r="C6" s="11">
        <v>9797.1200000000008</v>
      </c>
      <c r="D6" s="11">
        <v>5175.51</v>
      </c>
      <c r="E6" s="11">
        <v>58.5</v>
      </c>
      <c r="F6" s="11">
        <v>126</v>
      </c>
      <c r="G6" s="11">
        <v>20</v>
      </c>
      <c r="H6" s="11">
        <v>49.99</v>
      </c>
      <c r="I6" s="11">
        <f t="shared" si="7"/>
        <v>15306.720000000001</v>
      </c>
      <c r="J6" s="11">
        <v>2703.56</v>
      </c>
      <c r="K6" s="11">
        <v>0</v>
      </c>
      <c r="L6" s="11">
        <f t="shared" si="8"/>
        <v>13023.259999999998</v>
      </c>
      <c r="M6" s="11">
        <f>657.52+3866.5+7630.05</f>
        <v>12154.07</v>
      </c>
      <c r="N6" s="11">
        <v>0</v>
      </c>
      <c r="O6" s="11">
        <v>192.45</v>
      </c>
      <c r="P6" s="11">
        <v>226.65</v>
      </c>
      <c r="Q6" s="11">
        <v>264.13</v>
      </c>
      <c r="R6" s="11">
        <v>185.96</v>
      </c>
      <c r="S6" s="11">
        <v>157.18</v>
      </c>
      <c r="T6" s="33">
        <v>79.599999999999994</v>
      </c>
      <c r="U6" s="33">
        <v>32</v>
      </c>
      <c r="V6" s="11">
        <v>2533</v>
      </c>
      <c r="W6" s="11">
        <v>450</v>
      </c>
      <c r="X6" s="31">
        <f t="shared" si="9"/>
        <v>98.2199999999998</v>
      </c>
      <c r="Y6" s="32">
        <f t="shared" si="10"/>
        <v>445.09999999999673</v>
      </c>
      <c r="Z6" s="32">
        <f t="shared" si="11"/>
        <v>20</v>
      </c>
      <c r="AA6" s="32">
        <v>0</v>
      </c>
      <c r="AB6" s="33">
        <f t="shared" si="12"/>
        <v>24.990000000000002</v>
      </c>
      <c r="AC6" s="33">
        <v>25</v>
      </c>
      <c r="AD6" s="33"/>
      <c r="AE6" s="33">
        <f t="shared" si="13"/>
        <v>-49.99</v>
      </c>
    </row>
    <row r="7" spans="1:31" ht="18.75">
      <c r="A7" s="9">
        <v>44989</v>
      </c>
      <c r="B7" s="10" t="s">
        <v>21</v>
      </c>
      <c r="C7" s="11">
        <v>8188.78</v>
      </c>
      <c r="D7" s="11">
        <v>4803.7</v>
      </c>
      <c r="E7" s="11">
        <v>7</v>
      </c>
      <c r="F7" s="11">
        <v>76</v>
      </c>
      <c r="G7" s="11">
        <v>60</v>
      </c>
      <c r="H7" s="11">
        <v>0</v>
      </c>
      <c r="I7" s="11">
        <f t="shared" si="7"/>
        <v>13145.48</v>
      </c>
      <c r="J7" s="11">
        <v>3270.67</v>
      </c>
      <c r="K7" s="11">
        <v>0</v>
      </c>
      <c r="L7" s="11">
        <f t="shared" si="8"/>
        <v>9814.8099999999977</v>
      </c>
      <c r="M7" s="11">
        <f>53.98+1267.56+3346.1+4856.49</f>
        <v>9524.1299999999992</v>
      </c>
      <c r="N7" s="11">
        <v>20.8</v>
      </c>
      <c r="O7" s="11">
        <v>35.58</v>
      </c>
      <c r="P7" s="11">
        <v>0</v>
      </c>
      <c r="Q7" s="11">
        <v>234.3</v>
      </c>
      <c r="R7" s="11">
        <v>0</v>
      </c>
      <c r="S7" s="11">
        <v>0</v>
      </c>
      <c r="T7" s="33">
        <v>10</v>
      </c>
      <c r="U7" s="33">
        <v>129.30000000000001</v>
      </c>
      <c r="V7" s="11">
        <v>3037</v>
      </c>
      <c r="W7" s="11">
        <v>450</v>
      </c>
      <c r="X7" s="31">
        <f t="shared" si="9"/>
        <v>-94.369999999999891</v>
      </c>
      <c r="Y7" s="32">
        <f t="shared" si="10"/>
        <v>0</v>
      </c>
      <c r="Z7" s="32">
        <f t="shared" si="11"/>
        <v>0</v>
      </c>
      <c r="AA7" s="32">
        <v>60</v>
      </c>
      <c r="AB7" s="33">
        <v>0</v>
      </c>
      <c r="AC7" s="33">
        <v>0</v>
      </c>
      <c r="AD7" s="33"/>
      <c r="AE7" s="33">
        <f t="shared" si="13"/>
        <v>0</v>
      </c>
    </row>
    <row r="8" spans="1:31" ht="18.75">
      <c r="A8" s="9">
        <v>44990</v>
      </c>
      <c r="B8" s="10" t="s">
        <v>22</v>
      </c>
      <c r="C8" s="11">
        <v>7508.61</v>
      </c>
      <c r="D8" s="11">
        <v>4066</v>
      </c>
      <c r="E8" s="11">
        <v>0</v>
      </c>
      <c r="F8" s="11">
        <v>83</v>
      </c>
      <c r="G8" s="11">
        <v>162</v>
      </c>
      <c r="H8" s="11">
        <v>125</v>
      </c>
      <c r="I8" s="11">
        <f t="shared" si="7"/>
        <v>12088.52</v>
      </c>
      <c r="J8" s="11">
        <v>2447.5700000000002</v>
      </c>
      <c r="K8" s="11">
        <v>0</v>
      </c>
      <c r="L8" s="11">
        <f t="shared" si="8"/>
        <v>9473.9499999999989</v>
      </c>
      <c r="M8" s="11">
        <f>848.81+3234.88+4878.71</f>
        <v>8962.4</v>
      </c>
      <c r="N8" s="11">
        <v>128.43</v>
      </c>
      <c r="O8" s="11">
        <v>0</v>
      </c>
      <c r="P8" s="11">
        <v>0</v>
      </c>
      <c r="Q8" s="11">
        <v>318.06</v>
      </c>
      <c r="R8" s="11">
        <v>65.06</v>
      </c>
      <c r="S8" s="11">
        <v>92.54</v>
      </c>
      <c r="T8" s="33">
        <v>143.91</v>
      </c>
      <c r="U8" s="33">
        <v>41</v>
      </c>
      <c r="V8" s="11">
        <v>2161</v>
      </c>
      <c r="W8" s="11">
        <v>450</v>
      </c>
      <c r="X8" s="31">
        <f t="shared" si="9"/>
        <v>-9.1200000000003456</v>
      </c>
      <c r="Y8" s="32">
        <f t="shared" si="10"/>
        <v>0</v>
      </c>
      <c r="Z8" s="32">
        <f t="shared" si="11"/>
        <v>100</v>
      </c>
      <c r="AA8" s="32">
        <v>62</v>
      </c>
      <c r="AB8" s="33">
        <f t="shared" si="12"/>
        <v>20</v>
      </c>
      <c r="AC8" s="33">
        <v>105</v>
      </c>
      <c r="AD8" s="33">
        <v>5200</v>
      </c>
      <c r="AE8" s="33">
        <f t="shared" si="13"/>
        <v>5075</v>
      </c>
    </row>
    <row r="9" spans="1:31" ht="37.5" customHeight="1">
      <c r="A9" s="65" t="s">
        <v>27</v>
      </c>
      <c r="B9" s="66"/>
      <c r="C9" s="27">
        <f t="shared" ref="C9:AE9" si="14">SUM(C2:C8)</f>
        <v>64508.95</v>
      </c>
      <c r="D9" s="27">
        <f t="shared" si="14"/>
        <v>28276.9</v>
      </c>
      <c r="E9" s="27">
        <f t="shared" si="14"/>
        <v>140.5</v>
      </c>
      <c r="F9" s="27">
        <f t="shared" si="14"/>
        <v>581</v>
      </c>
      <c r="G9" s="27">
        <f t="shared" si="14"/>
        <v>737</v>
      </c>
      <c r="H9" s="27">
        <f t="shared" si="14"/>
        <v>551.17000000000007</v>
      </c>
      <c r="I9" s="27">
        <f t="shared" si="14"/>
        <v>95205.03</v>
      </c>
      <c r="J9" s="27">
        <f t="shared" si="14"/>
        <v>18236.13</v>
      </c>
      <c r="K9" s="27">
        <f t="shared" si="14"/>
        <v>0</v>
      </c>
      <c r="L9" s="27">
        <f t="shared" si="14"/>
        <v>76758.079999999987</v>
      </c>
      <c r="M9" s="27">
        <f t="shared" si="14"/>
        <v>71736.800000000003</v>
      </c>
      <c r="N9" s="27">
        <f t="shared" si="14"/>
        <v>159.70000000000002</v>
      </c>
      <c r="O9" s="27">
        <f t="shared" si="14"/>
        <v>308.27</v>
      </c>
      <c r="P9" s="27">
        <f t="shared" si="14"/>
        <v>1017.67</v>
      </c>
      <c r="Q9" s="27">
        <f t="shared" si="14"/>
        <v>2960.7900000000004</v>
      </c>
      <c r="R9" s="27">
        <f t="shared" si="14"/>
        <v>574.84999999999991</v>
      </c>
      <c r="S9" s="27">
        <f t="shared" si="14"/>
        <v>684.43</v>
      </c>
      <c r="T9" s="27">
        <f t="shared" si="14"/>
        <v>409.51</v>
      </c>
      <c r="U9" s="27">
        <f t="shared" si="14"/>
        <v>474.3</v>
      </c>
      <c r="V9" s="27">
        <f t="shared" si="14"/>
        <v>16421</v>
      </c>
      <c r="W9" s="27">
        <f t="shared" si="14"/>
        <v>3150</v>
      </c>
      <c r="X9" s="27">
        <f t="shared" si="14"/>
        <v>-246.89000000000033</v>
      </c>
      <c r="Y9" s="27">
        <f t="shared" si="14"/>
        <v>389.17999999999847</v>
      </c>
      <c r="Z9" s="27">
        <f t="shared" si="14"/>
        <v>460</v>
      </c>
      <c r="AA9" s="27">
        <f t="shared" si="14"/>
        <v>277</v>
      </c>
      <c r="AB9" s="27">
        <f t="shared" si="14"/>
        <v>228.17000000000002</v>
      </c>
      <c r="AC9" s="27">
        <f t="shared" si="14"/>
        <v>323</v>
      </c>
      <c r="AD9" s="27">
        <f t="shared" si="14"/>
        <v>5200</v>
      </c>
      <c r="AE9" s="27">
        <f t="shared" si="14"/>
        <v>4648.83</v>
      </c>
    </row>
    <row r="10" spans="1:31" s="35" customFormat="1" ht="18.75">
      <c r="A10" s="9">
        <v>44991</v>
      </c>
      <c r="B10" s="10" t="s">
        <v>23</v>
      </c>
      <c r="C10" s="11">
        <v>9040.73</v>
      </c>
      <c r="D10" s="11">
        <v>3241.97</v>
      </c>
      <c r="E10" s="11">
        <v>5.5</v>
      </c>
      <c r="F10" s="11">
        <v>52</v>
      </c>
      <c r="G10" s="11">
        <v>48</v>
      </c>
      <c r="H10" s="11">
        <v>232.76</v>
      </c>
      <c r="I10" s="11">
        <f t="shared" ref="I10:I16" si="15">SUM(C10:H10,T10)</f>
        <v>12657.96</v>
      </c>
      <c r="J10" s="11">
        <v>2352.0700000000002</v>
      </c>
      <c r="K10" s="11">
        <v>0</v>
      </c>
      <c r="L10" s="11">
        <f t="shared" ref="L10:L16" si="16">SUM(M10:R10)</f>
        <v>9923.24</v>
      </c>
      <c r="M10" s="11">
        <f>672.21+2530.31+5607.21</f>
        <v>8809.73</v>
      </c>
      <c r="N10" s="11">
        <v>35.47</v>
      </c>
      <c r="O10" s="11">
        <v>52.08</v>
      </c>
      <c r="P10" s="11">
        <v>64.94</v>
      </c>
      <c r="Q10" s="11">
        <v>534.07000000000005</v>
      </c>
      <c r="R10" s="11">
        <v>426.95</v>
      </c>
      <c r="S10" s="11">
        <v>123.55</v>
      </c>
      <c r="T10" s="33">
        <v>37</v>
      </c>
      <c r="U10" s="33">
        <v>139</v>
      </c>
      <c r="V10" s="11">
        <v>2040</v>
      </c>
      <c r="W10" s="11">
        <v>450</v>
      </c>
      <c r="X10" s="31">
        <f t="shared" ref="X10:X16" si="17">SUM(S10,T10,U10,V10)-J10</f>
        <v>-12.519999999999982</v>
      </c>
      <c r="Y10" s="32">
        <f t="shared" si="10"/>
        <v>-174.88999999999942</v>
      </c>
      <c r="Z10" s="32">
        <f>SUM(G10-AA10)</f>
        <v>48</v>
      </c>
      <c r="AA10" s="33">
        <v>0</v>
      </c>
      <c r="AB10" s="33">
        <f>SUM(H10-AC10)</f>
        <v>25</v>
      </c>
      <c r="AC10" s="33">
        <v>207.76</v>
      </c>
      <c r="AD10" s="33"/>
      <c r="AE10" s="33">
        <f>SUM(AD10-H10)</f>
        <v>-232.76</v>
      </c>
    </row>
    <row r="11" spans="1:31" s="35" customFormat="1" ht="18.75">
      <c r="A11" s="9">
        <v>44992</v>
      </c>
      <c r="B11" s="10" t="s">
        <v>24</v>
      </c>
      <c r="C11" s="11">
        <v>9868.33</v>
      </c>
      <c r="D11" s="11">
        <v>3543.96</v>
      </c>
      <c r="E11" s="11">
        <v>65</v>
      </c>
      <c r="F11" s="11">
        <v>34</v>
      </c>
      <c r="G11" s="11">
        <v>0</v>
      </c>
      <c r="H11" s="11">
        <v>60</v>
      </c>
      <c r="I11" s="11">
        <f t="shared" si="15"/>
        <v>13621.300000000001</v>
      </c>
      <c r="J11" s="11">
        <v>2195.5</v>
      </c>
      <c r="K11" s="11">
        <v>0</v>
      </c>
      <c r="L11" s="11">
        <f t="shared" si="16"/>
        <v>11375.800000000001</v>
      </c>
      <c r="M11" s="11">
        <f>746.97+2963.51+6617.42</f>
        <v>10327.900000000001</v>
      </c>
      <c r="N11" s="11">
        <v>113.64</v>
      </c>
      <c r="O11" s="11">
        <v>89.26</v>
      </c>
      <c r="P11" s="11">
        <v>158.34</v>
      </c>
      <c r="Q11" s="11">
        <v>381.81</v>
      </c>
      <c r="R11" s="11">
        <v>304.85000000000002</v>
      </c>
      <c r="S11" s="11">
        <v>0</v>
      </c>
      <c r="T11" s="33">
        <v>50.01</v>
      </c>
      <c r="U11" s="33">
        <v>18.899999999999999</v>
      </c>
      <c r="V11" s="11">
        <v>2128</v>
      </c>
      <c r="W11" s="11">
        <v>450</v>
      </c>
      <c r="X11" s="31">
        <f t="shared" si="17"/>
        <v>1.4099999999998545</v>
      </c>
      <c r="Y11" s="32">
        <f t="shared" si="10"/>
        <v>0</v>
      </c>
      <c r="Z11" s="32">
        <f t="shared" ref="Z11:Z32" si="18">SUM(G11-AA11)</f>
        <v>0</v>
      </c>
      <c r="AA11" s="33">
        <v>0</v>
      </c>
      <c r="AB11" s="33">
        <f t="shared" ref="AB11:AB16" si="19">SUM(H11-AC11)</f>
        <v>10</v>
      </c>
      <c r="AC11" s="33">
        <v>50</v>
      </c>
      <c r="AD11" s="33"/>
      <c r="AE11" s="33">
        <f t="shared" ref="AE11:AE15" si="20">SUM(AD11-H11)</f>
        <v>-60</v>
      </c>
    </row>
    <row r="12" spans="1:31" s="35" customFormat="1" ht="18.75">
      <c r="A12" s="9">
        <v>44993</v>
      </c>
      <c r="B12" s="10" t="s">
        <v>25</v>
      </c>
      <c r="C12" s="11">
        <v>9561.61</v>
      </c>
      <c r="D12" s="11">
        <v>3773.64</v>
      </c>
      <c r="E12" s="11">
        <v>18.5</v>
      </c>
      <c r="F12" s="11">
        <v>56</v>
      </c>
      <c r="G12" s="11">
        <v>100</v>
      </c>
      <c r="H12" s="11">
        <v>0</v>
      </c>
      <c r="I12" s="11">
        <f t="shared" si="15"/>
        <v>13529.75</v>
      </c>
      <c r="J12" s="11">
        <v>2692.83</v>
      </c>
      <c r="K12" s="11">
        <v>0</v>
      </c>
      <c r="L12" s="11">
        <f t="shared" si="16"/>
        <v>10721.92</v>
      </c>
      <c r="M12" s="11">
        <f>225.49+1050.35+3077.46+5158.11</f>
        <v>9511.41</v>
      </c>
      <c r="N12" s="11">
        <v>133.25</v>
      </c>
      <c r="O12" s="11">
        <v>0</v>
      </c>
      <c r="P12" s="11">
        <v>168.79</v>
      </c>
      <c r="Q12" s="11">
        <v>610.47</v>
      </c>
      <c r="R12" s="11">
        <v>298</v>
      </c>
      <c r="S12" s="11">
        <v>0</v>
      </c>
      <c r="T12" s="33">
        <v>20</v>
      </c>
      <c r="U12" s="33">
        <v>28</v>
      </c>
      <c r="V12" s="11">
        <v>2660</v>
      </c>
      <c r="W12" s="11">
        <v>450</v>
      </c>
      <c r="X12" s="31">
        <f t="shared" si="17"/>
        <v>15.170000000000073</v>
      </c>
      <c r="Y12" s="32">
        <f t="shared" si="10"/>
        <v>-15</v>
      </c>
      <c r="Z12" s="32">
        <f t="shared" si="18"/>
        <v>0</v>
      </c>
      <c r="AA12" s="33">
        <v>100</v>
      </c>
      <c r="AB12" s="33">
        <f t="shared" si="19"/>
        <v>0</v>
      </c>
      <c r="AC12" s="33">
        <v>0</v>
      </c>
      <c r="AD12" s="33"/>
      <c r="AE12" s="33">
        <f t="shared" si="20"/>
        <v>0</v>
      </c>
    </row>
    <row r="13" spans="1:31" s="35" customFormat="1" ht="18.75">
      <c r="A13" s="9">
        <v>44994</v>
      </c>
      <c r="B13" s="10" t="s">
        <v>26</v>
      </c>
      <c r="C13" s="11">
        <v>7813.21</v>
      </c>
      <c r="D13" s="11">
        <v>3503.7</v>
      </c>
      <c r="E13" s="11">
        <v>0</v>
      </c>
      <c r="F13" s="11">
        <v>35</v>
      </c>
      <c r="G13" s="11">
        <v>85</v>
      </c>
      <c r="H13" s="11">
        <v>35</v>
      </c>
      <c r="I13" s="11">
        <f t="shared" si="15"/>
        <v>11471.91</v>
      </c>
      <c r="J13" s="11">
        <v>1933.17</v>
      </c>
      <c r="K13" s="11">
        <v>0</v>
      </c>
      <c r="L13" s="11">
        <f t="shared" si="16"/>
        <v>9518.74</v>
      </c>
      <c r="M13" s="11">
        <f>561.83+2696.02+4947.84</f>
        <v>8205.69</v>
      </c>
      <c r="N13" s="11">
        <v>18.48</v>
      </c>
      <c r="O13" s="11">
        <v>101.67</v>
      </c>
      <c r="P13" s="11">
        <v>195.14</v>
      </c>
      <c r="Q13" s="11">
        <v>361.36</v>
      </c>
      <c r="R13" s="11">
        <v>636.4</v>
      </c>
      <c r="S13" s="11">
        <v>625.88</v>
      </c>
      <c r="T13" s="33">
        <v>0</v>
      </c>
      <c r="U13" s="33">
        <v>35.9</v>
      </c>
      <c r="V13" s="11">
        <v>1235</v>
      </c>
      <c r="W13" s="11">
        <v>450</v>
      </c>
      <c r="X13" s="31">
        <f t="shared" si="17"/>
        <v>-36.3900000000001</v>
      </c>
      <c r="Y13" s="32">
        <f t="shared" si="10"/>
        <v>0</v>
      </c>
      <c r="Z13" s="32">
        <f t="shared" si="18"/>
        <v>65</v>
      </c>
      <c r="AA13" s="33">
        <v>20</v>
      </c>
      <c r="AB13" s="33">
        <f t="shared" si="19"/>
        <v>35</v>
      </c>
      <c r="AC13" s="33">
        <v>0</v>
      </c>
      <c r="AD13" s="33"/>
      <c r="AE13" s="33">
        <f t="shared" si="20"/>
        <v>-35</v>
      </c>
    </row>
    <row r="14" spans="1:31" s="35" customFormat="1" ht="18.75">
      <c r="A14" s="9">
        <v>44995</v>
      </c>
      <c r="B14" s="10" t="s">
        <v>20</v>
      </c>
      <c r="C14" s="11">
        <v>6947.98</v>
      </c>
      <c r="D14" s="11">
        <v>4724.3500000000004</v>
      </c>
      <c r="E14" s="11">
        <v>53.5</v>
      </c>
      <c r="F14" s="11">
        <v>94</v>
      </c>
      <c r="G14" s="11">
        <v>160</v>
      </c>
      <c r="H14" s="11">
        <v>180</v>
      </c>
      <c r="I14" s="11">
        <f t="shared" si="15"/>
        <v>12169.83</v>
      </c>
      <c r="J14" s="43">
        <v>2059.77</v>
      </c>
      <c r="K14" s="43">
        <v>0</v>
      </c>
      <c r="L14" s="11">
        <f t="shared" si="16"/>
        <v>9911.0000000000018</v>
      </c>
      <c r="M14" s="11">
        <f>0.59+528.44+2837.29+5306.06</f>
        <v>8672.380000000001</v>
      </c>
      <c r="N14" s="11">
        <v>28.26</v>
      </c>
      <c r="O14" s="11">
        <v>67.239999999999995</v>
      </c>
      <c r="P14" s="11">
        <f>433.97+63.64</f>
        <v>497.61</v>
      </c>
      <c r="Q14" s="11">
        <v>317.58999999999997</v>
      </c>
      <c r="R14" s="11">
        <v>327.92</v>
      </c>
      <c r="S14" s="11">
        <v>423.77</v>
      </c>
      <c r="T14" s="33">
        <v>10</v>
      </c>
      <c r="U14" s="33">
        <v>31.3</v>
      </c>
      <c r="V14" s="11">
        <v>1641</v>
      </c>
      <c r="W14" s="11">
        <v>450</v>
      </c>
      <c r="X14" s="31">
        <f t="shared" si="17"/>
        <v>46.300000000000182</v>
      </c>
      <c r="Y14" s="32">
        <f t="shared" si="10"/>
        <v>-9.0599999999976717</v>
      </c>
      <c r="Z14" s="32">
        <f t="shared" si="18"/>
        <v>65</v>
      </c>
      <c r="AA14" s="33">
        <v>95</v>
      </c>
      <c r="AB14" s="33">
        <f t="shared" si="19"/>
        <v>85</v>
      </c>
      <c r="AC14" s="33">
        <v>95</v>
      </c>
      <c r="AD14" s="33"/>
      <c r="AE14" s="33">
        <f t="shared" si="20"/>
        <v>-180</v>
      </c>
    </row>
    <row r="15" spans="1:31" s="35" customFormat="1" ht="18.75">
      <c r="A15" s="9">
        <v>44996</v>
      </c>
      <c r="B15" s="10" t="s">
        <v>21</v>
      </c>
      <c r="C15" s="11">
        <f>7158.91</f>
        <v>7158.91</v>
      </c>
      <c r="D15" s="11">
        <v>4646.25</v>
      </c>
      <c r="E15" s="11">
        <v>84</v>
      </c>
      <c r="F15" s="11">
        <v>70</v>
      </c>
      <c r="G15" s="11">
        <v>70</v>
      </c>
      <c r="H15" s="11">
        <v>3</v>
      </c>
      <c r="I15" s="11">
        <f t="shared" si="15"/>
        <v>12033.16</v>
      </c>
      <c r="J15" s="11">
        <v>2754.31</v>
      </c>
      <c r="K15" s="11">
        <v>0</v>
      </c>
      <c r="L15" s="11">
        <f t="shared" si="16"/>
        <v>9138.4500000000007</v>
      </c>
      <c r="M15" s="11">
        <f>19.99+568.41+2501.53+5545.7</f>
        <v>8635.630000000001</v>
      </c>
      <c r="N15" s="11">
        <v>0</v>
      </c>
      <c r="O15" s="11">
        <v>0</v>
      </c>
      <c r="P15" s="11">
        <v>123.55</v>
      </c>
      <c r="Q15" s="11">
        <v>219.51</v>
      </c>
      <c r="R15" s="11">
        <v>159.76</v>
      </c>
      <c r="S15" s="11">
        <v>0</v>
      </c>
      <c r="T15" s="33">
        <v>1</v>
      </c>
      <c r="U15" s="33">
        <v>8.94</v>
      </c>
      <c r="V15" s="11">
        <v>2625</v>
      </c>
      <c r="W15" s="11">
        <v>450</v>
      </c>
      <c r="X15" s="31">
        <f t="shared" si="17"/>
        <v>-119.36999999999989</v>
      </c>
      <c r="Y15" s="32">
        <f t="shared" si="10"/>
        <v>-97.399999999999636</v>
      </c>
      <c r="Z15" s="32">
        <f t="shared" si="18"/>
        <v>30</v>
      </c>
      <c r="AA15" s="33">
        <v>40</v>
      </c>
      <c r="AB15" s="33">
        <f t="shared" si="19"/>
        <v>0</v>
      </c>
      <c r="AC15" s="33">
        <v>3</v>
      </c>
      <c r="AD15" s="33"/>
      <c r="AE15" s="33">
        <f t="shared" si="20"/>
        <v>-3</v>
      </c>
    </row>
    <row r="16" spans="1:31" s="35" customFormat="1" ht="18.75">
      <c r="A16" s="9">
        <v>44997</v>
      </c>
      <c r="B16" s="10" t="s">
        <v>22</v>
      </c>
      <c r="C16" s="11">
        <v>5894.33</v>
      </c>
      <c r="D16" s="11">
        <v>3702.93</v>
      </c>
      <c r="E16" s="11">
        <v>24.5</v>
      </c>
      <c r="F16" s="11">
        <v>59</v>
      </c>
      <c r="G16" s="11">
        <v>240</v>
      </c>
      <c r="H16" s="11">
        <v>35</v>
      </c>
      <c r="I16" s="11">
        <f t="shared" si="15"/>
        <v>9955.76</v>
      </c>
      <c r="J16" s="11">
        <v>2020.18</v>
      </c>
      <c r="K16" s="11">
        <v>0</v>
      </c>
      <c r="L16" s="11">
        <f t="shared" si="16"/>
        <v>7850.579999999999</v>
      </c>
      <c r="M16" s="11">
        <f>10.02+743.75+2559.25+4270.36</f>
        <v>7583.3799999999992</v>
      </c>
      <c r="N16" s="11">
        <v>80.010000000000005</v>
      </c>
      <c r="O16" s="11">
        <v>0</v>
      </c>
      <c r="P16" s="11">
        <v>0</v>
      </c>
      <c r="Q16" s="11">
        <v>120.03</v>
      </c>
      <c r="R16" s="11">
        <v>67.16</v>
      </c>
      <c r="S16" s="11">
        <v>159.26</v>
      </c>
      <c r="T16" s="33">
        <v>0</v>
      </c>
      <c r="U16" s="33">
        <v>83</v>
      </c>
      <c r="V16" s="11">
        <v>1768</v>
      </c>
      <c r="W16" s="11">
        <v>450</v>
      </c>
      <c r="X16" s="31">
        <f t="shared" si="17"/>
        <v>-9.9200000000000728</v>
      </c>
      <c r="Y16" s="32">
        <f t="shared" si="10"/>
        <v>9.999999999998181</v>
      </c>
      <c r="Z16" s="32">
        <f t="shared" si="18"/>
        <v>170</v>
      </c>
      <c r="AA16" s="33">
        <v>70</v>
      </c>
      <c r="AB16" s="33">
        <f t="shared" si="19"/>
        <v>10</v>
      </c>
      <c r="AC16" s="33">
        <v>25</v>
      </c>
      <c r="AD16" s="33"/>
      <c r="AE16" s="33">
        <f>SUM(AD16-H16)</f>
        <v>-35</v>
      </c>
    </row>
    <row r="17" spans="1:31" ht="37.5" customHeight="1">
      <c r="A17" s="65" t="s">
        <v>27</v>
      </c>
      <c r="B17" s="66"/>
      <c r="C17" s="27">
        <f>SUM(C10:C16)</f>
        <v>56285.100000000006</v>
      </c>
      <c r="D17" s="27">
        <f t="shared" ref="D17:AE17" si="21">SUM(D10:D16)</f>
        <v>27136.800000000003</v>
      </c>
      <c r="E17" s="27">
        <f t="shared" si="21"/>
        <v>251</v>
      </c>
      <c r="F17" s="27">
        <f t="shared" si="21"/>
        <v>400</v>
      </c>
      <c r="G17" s="27">
        <f t="shared" si="21"/>
        <v>703</v>
      </c>
      <c r="H17" s="27">
        <f t="shared" si="21"/>
        <v>545.76</v>
      </c>
      <c r="I17" s="27">
        <f t="shared" si="21"/>
        <v>85439.67</v>
      </c>
      <c r="J17" s="27">
        <f t="shared" si="21"/>
        <v>16007.83</v>
      </c>
      <c r="K17" s="27">
        <f t="shared" si="21"/>
        <v>0</v>
      </c>
      <c r="L17" s="27">
        <f t="shared" si="21"/>
        <v>68439.73</v>
      </c>
      <c r="M17" s="27">
        <f t="shared" si="21"/>
        <v>61746.12</v>
      </c>
      <c r="N17" s="27">
        <f t="shared" si="21"/>
        <v>409.11</v>
      </c>
      <c r="O17" s="27">
        <f t="shared" si="21"/>
        <v>310.25</v>
      </c>
      <c r="P17" s="27">
        <f t="shared" si="21"/>
        <v>1208.3700000000001</v>
      </c>
      <c r="Q17" s="27">
        <f t="shared" si="21"/>
        <v>2544.8400000000006</v>
      </c>
      <c r="R17" s="27">
        <f t="shared" si="21"/>
        <v>2221.04</v>
      </c>
      <c r="S17" s="27">
        <f t="shared" si="21"/>
        <v>1332.4599999999998</v>
      </c>
      <c r="T17" s="27">
        <f t="shared" si="21"/>
        <v>118.00999999999999</v>
      </c>
      <c r="U17" s="27">
        <f t="shared" si="21"/>
        <v>345.04</v>
      </c>
      <c r="V17" s="27">
        <f t="shared" si="21"/>
        <v>14097</v>
      </c>
      <c r="W17" s="27">
        <f t="shared" si="21"/>
        <v>3150</v>
      </c>
      <c r="X17" s="27">
        <f t="shared" si="21"/>
        <v>-115.31999999999994</v>
      </c>
      <c r="Y17" s="27">
        <f t="shared" si="21"/>
        <v>-286.34999999999854</v>
      </c>
      <c r="Z17" s="27">
        <f t="shared" si="21"/>
        <v>378</v>
      </c>
      <c r="AA17" s="27">
        <f t="shared" si="21"/>
        <v>325</v>
      </c>
      <c r="AB17" s="27">
        <f t="shared" si="21"/>
        <v>165</v>
      </c>
      <c r="AC17" s="27">
        <f t="shared" si="21"/>
        <v>380.76</v>
      </c>
      <c r="AD17" s="27">
        <f>SUM(AD10:AD16)</f>
        <v>0</v>
      </c>
      <c r="AE17" s="27">
        <f t="shared" si="21"/>
        <v>-545.76</v>
      </c>
    </row>
    <row r="18" spans="1:31" s="35" customFormat="1" ht="18.75">
      <c r="A18" s="9">
        <v>44998</v>
      </c>
      <c r="B18" s="10" t="s">
        <v>23</v>
      </c>
      <c r="C18" s="11">
        <v>8726.15</v>
      </c>
      <c r="D18" s="11">
        <v>3026.7</v>
      </c>
      <c r="E18" s="11">
        <v>10.5</v>
      </c>
      <c r="F18" s="11">
        <v>69</v>
      </c>
      <c r="G18" s="11">
        <v>257</v>
      </c>
      <c r="H18" s="11">
        <v>5</v>
      </c>
      <c r="I18" s="11">
        <f t="shared" ref="I18:I24" si="22">SUM(C18:H18,T18)</f>
        <v>12094.349999999999</v>
      </c>
      <c r="J18" s="11">
        <v>2551.11</v>
      </c>
      <c r="K18" s="11">
        <v>0</v>
      </c>
      <c r="L18" s="11">
        <f t="shared" ref="L18:L24" si="23">SUM(M18:R18)</f>
        <v>9306.25</v>
      </c>
      <c r="M18" s="11">
        <f>454.11+2604.63+4796.75</f>
        <v>7855.49</v>
      </c>
      <c r="N18" s="11">
        <v>34.04</v>
      </c>
      <c r="O18" s="11">
        <v>29.92</v>
      </c>
      <c r="P18" s="11">
        <v>390.64</v>
      </c>
      <c r="Q18" s="11">
        <v>761.51</v>
      </c>
      <c r="R18" s="11">
        <v>234.65</v>
      </c>
      <c r="S18" s="11">
        <v>205.09</v>
      </c>
      <c r="T18" s="33">
        <v>0</v>
      </c>
      <c r="U18" s="33">
        <v>32</v>
      </c>
      <c r="V18" s="11">
        <v>2315</v>
      </c>
      <c r="W18" s="11">
        <v>450</v>
      </c>
      <c r="X18" s="31">
        <f t="shared" ref="X18:X24" si="24">SUM(S18,T18,U18,V18)-J18</f>
        <v>0.98000000000001819</v>
      </c>
      <c r="Y18" s="32">
        <f t="shared" si="10"/>
        <v>1.0000000002037268E-2</v>
      </c>
      <c r="Z18" s="32">
        <f t="shared" si="18"/>
        <v>20</v>
      </c>
      <c r="AA18" s="32">
        <v>237</v>
      </c>
      <c r="AB18" s="33">
        <f t="shared" ref="AB18:AB24" si="25">SUM(H18-AC18)</f>
        <v>5</v>
      </c>
      <c r="AC18" s="33">
        <v>0</v>
      </c>
      <c r="AD18" s="33"/>
      <c r="AE18" s="33">
        <f t="shared" ref="AE18:AE24" si="26">SUM(AD18-H18)</f>
        <v>-5</v>
      </c>
    </row>
    <row r="19" spans="1:31" s="35" customFormat="1" ht="18.75">
      <c r="A19" s="9">
        <v>44999</v>
      </c>
      <c r="B19" s="10" t="s">
        <v>24</v>
      </c>
      <c r="C19" s="11">
        <v>8501.61</v>
      </c>
      <c r="D19" s="11">
        <v>3475.92</v>
      </c>
      <c r="E19" s="11">
        <v>10</v>
      </c>
      <c r="F19" s="11">
        <v>74</v>
      </c>
      <c r="G19" s="11">
        <v>86</v>
      </c>
      <c r="H19" s="11">
        <v>128.08000000000001</v>
      </c>
      <c r="I19" s="11">
        <f t="shared" si="22"/>
        <v>12277.61</v>
      </c>
      <c r="J19" s="11">
        <v>2700.97</v>
      </c>
      <c r="K19" s="11">
        <v>0</v>
      </c>
      <c r="L19" s="11">
        <f t="shared" si="23"/>
        <v>9432.7800000000007</v>
      </c>
      <c r="M19" s="11">
        <f>541.89+2559+5233.56</f>
        <v>8334.4500000000007</v>
      </c>
      <c r="N19" s="11">
        <v>0</v>
      </c>
      <c r="O19" s="11">
        <v>97.93</v>
      </c>
      <c r="P19" s="11">
        <v>78.069999999999993</v>
      </c>
      <c r="Q19" s="11">
        <v>770.57</v>
      </c>
      <c r="R19" s="11">
        <v>151.76</v>
      </c>
      <c r="S19" s="11">
        <v>0</v>
      </c>
      <c r="T19" s="33">
        <v>2</v>
      </c>
      <c r="U19" s="33">
        <v>280</v>
      </c>
      <c r="V19" s="11">
        <v>2435</v>
      </c>
      <c r="W19" s="11">
        <v>450</v>
      </c>
      <c r="X19" s="31">
        <f t="shared" si="24"/>
        <v>16.0300000000002</v>
      </c>
      <c r="Y19" s="32">
        <f t="shared" si="10"/>
        <v>-9.7800000000006548</v>
      </c>
      <c r="Z19" s="32">
        <f t="shared" si="18"/>
        <v>80</v>
      </c>
      <c r="AA19" s="32">
        <v>6</v>
      </c>
      <c r="AB19" s="33">
        <f t="shared" si="25"/>
        <v>0</v>
      </c>
      <c r="AC19" s="33">
        <v>128.08000000000001</v>
      </c>
      <c r="AD19" s="33"/>
      <c r="AE19" s="33">
        <f t="shared" si="26"/>
        <v>-128.08000000000001</v>
      </c>
    </row>
    <row r="20" spans="1:31" s="35" customFormat="1" ht="18.75">
      <c r="A20" s="9">
        <v>45000</v>
      </c>
      <c r="B20" s="10" t="s">
        <v>25</v>
      </c>
      <c r="C20" s="11">
        <v>9105.9500000000007</v>
      </c>
      <c r="D20" s="11">
        <v>3477.97</v>
      </c>
      <c r="E20" s="11">
        <v>25</v>
      </c>
      <c r="F20" s="11">
        <v>51</v>
      </c>
      <c r="G20" s="11">
        <v>50.1</v>
      </c>
      <c r="H20" s="11">
        <v>10</v>
      </c>
      <c r="I20" s="11">
        <f t="shared" si="22"/>
        <v>12740.02</v>
      </c>
      <c r="J20" s="11">
        <v>2451.4299999999998</v>
      </c>
      <c r="K20" s="11">
        <v>0</v>
      </c>
      <c r="L20" s="11">
        <f t="shared" si="23"/>
        <v>10228.489999999998</v>
      </c>
      <c r="M20" s="11">
        <f>78.69+513.84+3011.91+5257.63</f>
        <v>8862.07</v>
      </c>
      <c r="N20" s="11">
        <v>0</v>
      </c>
      <c r="O20" s="11">
        <v>25.07</v>
      </c>
      <c r="P20" s="11">
        <v>394.46</v>
      </c>
      <c r="Q20" s="11">
        <v>640.91</v>
      </c>
      <c r="R20" s="11">
        <v>305.98</v>
      </c>
      <c r="S20" s="11">
        <v>293.98</v>
      </c>
      <c r="T20" s="33">
        <v>20</v>
      </c>
      <c r="U20" s="33">
        <v>54</v>
      </c>
      <c r="V20" s="11">
        <v>2128</v>
      </c>
      <c r="W20" s="11">
        <v>450</v>
      </c>
      <c r="X20" s="31">
        <f t="shared" si="24"/>
        <v>44.550000000000182</v>
      </c>
      <c r="Y20" s="32">
        <f t="shared" si="10"/>
        <v>-30.000000000001819</v>
      </c>
      <c r="Z20" s="32">
        <f t="shared" si="18"/>
        <v>20</v>
      </c>
      <c r="AA20" s="32">
        <v>30.1</v>
      </c>
      <c r="AB20" s="33">
        <f t="shared" si="25"/>
        <v>10</v>
      </c>
      <c r="AC20" s="33">
        <v>0</v>
      </c>
      <c r="AD20" s="33"/>
      <c r="AE20" s="33">
        <f t="shared" si="26"/>
        <v>-10</v>
      </c>
    </row>
    <row r="21" spans="1:31" s="35" customFormat="1" ht="18.75">
      <c r="A21" s="9">
        <v>45001</v>
      </c>
      <c r="B21" s="10" t="s">
        <v>26</v>
      </c>
      <c r="C21" s="11">
        <v>9014.75</v>
      </c>
      <c r="D21" s="11">
        <v>3619.39</v>
      </c>
      <c r="E21" s="11">
        <v>7</v>
      </c>
      <c r="F21" s="11">
        <v>73</v>
      </c>
      <c r="G21" s="11">
        <v>45</v>
      </c>
      <c r="H21" s="11">
        <v>114.01</v>
      </c>
      <c r="I21" s="11">
        <f t="shared" si="22"/>
        <v>12873.15</v>
      </c>
      <c r="J21" s="11">
        <v>2874.33</v>
      </c>
      <c r="K21" s="11">
        <v>0</v>
      </c>
      <c r="L21" s="11">
        <f t="shared" si="23"/>
        <v>9834.8100000000013</v>
      </c>
      <c r="M21" s="11">
        <f>28.79+626.89+2741.62+5796.54</f>
        <v>9193.84</v>
      </c>
      <c r="N21" s="11">
        <v>0</v>
      </c>
      <c r="O21" s="11">
        <v>0</v>
      </c>
      <c r="P21" s="11">
        <v>0</v>
      </c>
      <c r="Q21" s="11">
        <v>248.44</v>
      </c>
      <c r="R21" s="11">
        <v>392.53</v>
      </c>
      <c r="S21" s="11">
        <v>247.2</v>
      </c>
      <c r="T21" s="33">
        <v>0</v>
      </c>
      <c r="U21" s="33">
        <v>176.8</v>
      </c>
      <c r="V21" s="11">
        <v>2471</v>
      </c>
      <c r="W21" s="11">
        <v>450</v>
      </c>
      <c r="X21" s="31">
        <f t="shared" si="24"/>
        <v>20.670000000000073</v>
      </c>
      <c r="Y21" s="32">
        <f t="shared" si="10"/>
        <v>-24.999999999998181</v>
      </c>
      <c r="Z21" s="32">
        <f t="shared" si="18"/>
        <v>20</v>
      </c>
      <c r="AA21" s="32">
        <v>25</v>
      </c>
      <c r="AB21" s="33">
        <f t="shared" si="25"/>
        <v>0</v>
      </c>
      <c r="AC21" s="33">
        <v>114.01</v>
      </c>
      <c r="AD21" s="33"/>
      <c r="AE21" s="33">
        <f t="shared" si="26"/>
        <v>-114.01</v>
      </c>
    </row>
    <row r="22" spans="1:31" s="35" customFormat="1" ht="18.75">
      <c r="A22" s="9">
        <v>45002</v>
      </c>
      <c r="B22" s="10" t="s">
        <v>20</v>
      </c>
      <c r="C22" s="11">
        <v>9771.1200000000008</v>
      </c>
      <c r="D22" s="11">
        <v>5416.24</v>
      </c>
      <c r="E22" s="11">
        <v>53.5</v>
      </c>
      <c r="F22" s="11">
        <v>83</v>
      </c>
      <c r="G22" s="11">
        <v>155</v>
      </c>
      <c r="H22" s="11">
        <v>117</v>
      </c>
      <c r="I22" s="11">
        <f t="shared" si="22"/>
        <v>15595.86</v>
      </c>
      <c r="J22" s="11">
        <v>3039.02</v>
      </c>
      <c r="K22" s="11">
        <v>0</v>
      </c>
      <c r="L22" s="11">
        <f t="shared" si="23"/>
        <v>12454.839999999998</v>
      </c>
      <c r="M22" s="11">
        <f>7136.14+3614.84+808.73+37.22</f>
        <v>11596.929999999998</v>
      </c>
      <c r="N22" s="11">
        <v>86.1</v>
      </c>
      <c r="O22" s="11">
        <v>0</v>
      </c>
      <c r="P22" s="11">
        <v>0</v>
      </c>
      <c r="Q22" s="11">
        <v>771.81</v>
      </c>
      <c r="R22" s="11">
        <v>0</v>
      </c>
      <c r="S22" s="11">
        <v>0</v>
      </c>
      <c r="T22" s="33">
        <v>0</v>
      </c>
      <c r="U22" s="33">
        <v>90</v>
      </c>
      <c r="V22" s="11">
        <v>2953</v>
      </c>
      <c r="W22" s="11">
        <v>450</v>
      </c>
      <c r="X22" s="31">
        <f t="shared" si="24"/>
        <v>3.9800000000000182</v>
      </c>
      <c r="Y22" s="32">
        <f t="shared" si="10"/>
        <v>0</v>
      </c>
      <c r="Z22" s="32">
        <f t="shared" si="18"/>
        <v>150</v>
      </c>
      <c r="AA22" s="32">
        <v>5</v>
      </c>
      <c r="AB22" s="33">
        <f t="shared" si="25"/>
        <v>20</v>
      </c>
      <c r="AC22" s="33">
        <v>97</v>
      </c>
      <c r="AD22" s="33"/>
      <c r="AE22" s="33">
        <f t="shared" si="26"/>
        <v>-117</v>
      </c>
    </row>
    <row r="23" spans="1:31" s="35" customFormat="1" ht="18.75">
      <c r="A23" s="9">
        <v>45003</v>
      </c>
      <c r="B23" s="10" t="s">
        <v>21</v>
      </c>
      <c r="C23" s="11">
        <f>7294.01+100.07</f>
        <v>7394.08</v>
      </c>
      <c r="D23" s="11">
        <v>4780.67</v>
      </c>
      <c r="E23" s="11">
        <v>22.5</v>
      </c>
      <c r="F23" s="11">
        <v>139</v>
      </c>
      <c r="G23" s="11">
        <v>15</v>
      </c>
      <c r="H23" s="11">
        <v>123</v>
      </c>
      <c r="I23" s="11">
        <f t="shared" si="22"/>
        <v>12479.35</v>
      </c>
      <c r="J23" s="11">
        <v>2634.14</v>
      </c>
      <c r="K23" s="11">
        <v>0</v>
      </c>
      <c r="L23" s="11">
        <f t="shared" si="23"/>
        <v>9647.1399999999976</v>
      </c>
      <c r="M23" s="11">
        <f>379.01+3283.35+5389.76</f>
        <v>9052.119999999999</v>
      </c>
      <c r="N23" s="11">
        <v>79.400000000000006</v>
      </c>
      <c r="O23" s="11">
        <v>0</v>
      </c>
      <c r="P23" s="11">
        <v>66.010000000000005</v>
      </c>
      <c r="Q23" s="11">
        <v>206.23</v>
      </c>
      <c r="R23" s="11">
        <v>243.38</v>
      </c>
      <c r="S23" s="11">
        <v>0</v>
      </c>
      <c r="T23" s="33">
        <v>5.0999999999999996</v>
      </c>
      <c r="U23" s="33">
        <v>69.3</v>
      </c>
      <c r="V23" s="11">
        <v>2560</v>
      </c>
      <c r="W23" s="11">
        <v>450</v>
      </c>
      <c r="X23" s="31">
        <f t="shared" si="24"/>
        <v>0.26000000000021828</v>
      </c>
      <c r="Y23" s="32">
        <f t="shared" si="10"/>
        <v>-100.07000000000335</v>
      </c>
      <c r="Z23" s="32">
        <f t="shared" si="18"/>
        <v>0</v>
      </c>
      <c r="AA23" s="32">
        <v>15</v>
      </c>
      <c r="AB23" s="33">
        <f t="shared" si="25"/>
        <v>40</v>
      </c>
      <c r="AC23" s="33">
        <v>83</v>
      </c>
      <c r="AD23" s="33"/>
      <c r="AE23" s="33">
        <f t="shared" si="26"/>
        <v>-123</v>
      </c>
    </row>
    <row r="24" spans="1:31" s="35" customFormat="1" ht="18.75">
      <c r="A24" s="9">
        <v>45004</v>
      </c>
      <c r="B24" s="10" t="s">
        <v>22</v>
      </c>
      <c r="C24" s="11">
        <v>8630.86</v>
      </c>
      <c r="D24" s="11">
        <v>4391.26</v>
      </c>
      <c r="E24" s="11">
        <v>16.5</v>
      </c>
      <c r="F24" s="11">
        <v>72</v>
      </c>
      <c r="G24" s="11">
        <v>80</v>
      </c>
      <c r="H24" s="11">
        <v>242.46</v>
      </c>
      <c r="I24" s="11">
        <f t="shared" si="22"/>
        <v>13433.08</v>
      </c>
      <c r="J24" s="11">
        <v>2636.26</v>
      </c>
      <c r="K24" s="11">
        <v>0</v>
      </c>
      <c r="L24" s="11">
        <f t="shared" si="23"/>
        <v>10534.36</v>
      </c>
      <c r="M24" s="11">
        <f>1014.21+2926.15+6248.32</f>
        <v>10188.68</v>
      </c>
      <c r="N24" s="11">
        <v>69.92</v>
      </c>
      <c r="O24" s="11">
        <v>74.819999999999993</v>
      </c>
      <c r="P24" s="11">
        <v>45.01</v>
      </c>
      <c r="Q24" s="11">
        <v>95.69</v>
      </c>
      <c r="R24" s="11">
        <v>60.24</v>
      </c>
      <c r="S24" s="11">
        <v>91.94</v>
      </c>
      <c r="T24" s="33">
        <v>0</v>
      </c>
      <c r="U24" s="33">
        <v>10</v>
      </c>
      <c r="V24" s="11">
        <v>2537</v>
      </c>
      <c r="W24" s="11">
        <v>450</v>
      </c>
      <c r="X24" s="31">
        <f t="shared" si="24"/>
        <v>2.6799999999998363</v>
      </c>
      <c r="Y24" s="32">
        <f t="shared" si="10"/>
        <v>0</v>
      </c>
      <c r="Z24" s="32">
        <f t="shared" si="18"/>
        <v>45</v>
      </c>
      <c r="AA24" s="32">
        <v>35</v>
      </c>
      <c r="AB24" s="33">
        <f t="shared" si="25"/>
        <v>15</v>
      </c>
      <c r="AC24" s="33">
        <v>227.46</v>
      </c>
      <c r="AD24" s="33">
        <v>3410</v>
      </c>
      <c r="AE24" s="33">
        <f t="shared" si="26"/>
        <v>3167.54</v>
      </c>
    </row>
    <row r="25" spans="1:31" ht="37.5" customHeight="1">
      <c r="A25" s="65" t="s">
        <v>27</v>
      </c>
      <c r="B25" s="66"/>
      <c r="C25" s="27">
        <f>SUM(C18:C24)</f>
        <v>61144.520000000011</v>
      </c>
      <c r="D25" s="27">
        <f t="shared" ref="D25:AE25" si="27">SUM(D18:D24)</f>
        <v>28188.15</v>
      </c>
      <c r="E25" s="27">
        <f t="shared" si="27"/>
        <v>145</v>
      </c>
      <c r="F25" s="27">
        <f t="shared" si="27"/>
        <v>561</v>
      </c>
      <c r="G25" s="27">
        <f t="shared" si="27"/>
        <v>688.1</v>
      </c>
      <c r="H25" s="27">
        <f t="shared" si="27"/>
        <v>739.55000000000007</v>
      </c>
      <c r="I25" s="27">
        <f t="shared" si="27"/>
        <v>91493.42</v>
      </c>
      <c r="J25" s="27">
        <f t="shared" si="27"/>
        <v>18887.260000000002</v>
      </c>
      <c r="K25" s="27">
        <f t="shared" si="27"/>
        <v>0</v>
      </c>
      <c r="L25" s="27">
        <f t="shared" si="27"/>
        <v>71438.67</v>
      </c>
      <c r="M25" s="27">
        <f t="shared" si="27"/>
        <v>65083.580000000009</v>
      </c>
      <c r="N25" s="27">
        <f t="shared" si="27"/>
        <v>269.45999999999998</v>
      </c>
      <c r="O25" s="27">
        <f t="shared" si="27"/>
        <v>227.74</v>
      </c>
      <c r="P25" s="27">
        <f t="shared" si="27"/>
        <v>974.18999999999994</v>
      </c>
      <c r="Q25" s="27">
        <f t="shared" si="27"/>
        <v>3495.16</v>
      </c>
      <c r="R25" s="27">
        <f t="shared" si="27"/>
        <v>1388.5400000000002</v>
      </c>
      <c r="S25" s="27">
        <f t="shared" si="27"/>
        <v>838.21</v>
      </c>
      <c r="T25" s="27">
        <f t="shared" si="27"/>
        <v>27.1</v>
      </c>
      <c r="U25" s="27">
        <f t="shared" si="27"/>
        <v>712.09999999999991</v>
      </c>
      <c r="V25" s="27">
        <f t="shared" si="27"/>
        <v>17399</v>
      </c>
      <c r="W25" s="27">
        <f t="shared" si="27"/>
        <v>3150</v>
      </c>
      <c r="X25" s="27">
        <f t="shared" si="27"/>
        <v>89.150000000000546</v>
      </c>
      <c r="Y25" s="27">
        <f t="shared" si="27"/>
        <v>-164.84000000000196</v>
      </c>
      <c r="Z25" s="27">
        <f t="shared" si="27"/>
        <v>335</v>
      </c>
      <c r="AA25" s="27">
        <f t="shared" si="27"/>
        <v>353.1</v>
      </c>
      <c r="AB25" s="27">
        <f t="shared" si="27"/>
        <v>90</v>
      </c>
      <c r="AC25" s="27">
        <f t="shared" si="27"/>
        <v>649.55000000000007</v>
      </c>
      <c r="AD25" s="27">
        <f t="shared" si="27"/>
        <v>3410</v>
      </c>
      <c r="AE25" s="27">
        <f t="shared" si="27"/>
        <v>2670.45</v>
      </c>
    </row>
    <row r="26" spans="1:31" ht="20.25" customHeight="1">
      <c r="A26" s="9">
        <v>45005</v>
      </c>
      <c r="B26" s="10" t="s">
        <v>23</v>
      </c>
      <c r="C26" s="11">
        <v>8635.07</v>
      </c>
      <c r="D26" s="11">
        <v>3301.38</v>
      </c>
      <c r="E26" s="11">
        <v>6</v>
      </c>
      <c r="F26" s="11">
        <v>143</v>
      </c>
      <c r="G26" s="11">
        <v>31</v>
      </c>
      <c r="H26" s="11">
        <v>86</v>
      </c>
      <c r="I26" s="11">
        <f t="shared" ref="I26:I32" si="28">SUM(C26:H26,T26)</f>
        <v>12287.45</v>
      </c>
      <c r="J26" s="11">
        <v>2554.58</v>
      </c>
      <c r="K26" s="11">
        <v>0</v>
      </c>
      <c r="L26" s="11">
        <f>SUM(M26:R26)</f>
        <v>9537.98</v>
      </c>
      <c r="M26" s="11">
        <f>697+3142.5+5030.62</f>
        <v>8870.119999999999</v>
      </c>
      <c r="N26" s="11">
        <v>98.38</v>
      </c>
      <c r="O26" s="11">
        <v>0</v>
      </c>
      <c r="P26" s="11">
        <v>96.62</v>
      </c>
      <c r="Q26" s="11">
        <v>349.86</v>
      </c>
      <c r="R26" s="11">
        <v>123</v>
      </c>
      <c r="S26" s="11">
        <v>0</v>
      </c>
      <c r="T26" s="33">
        <v>85</v>
      </c>
      <c r="U26" s="33">
        <v>162</v>
      </c>
      <c r="V26" s="11">
        <v>2300</v>
      </c>
      <c r="W26" s="11">
        <v>450</v>
      </c>
      <c r="X26" s="31">
        <f t="shared" ref="X26:X32" si="29">SUM(S26,T26,U26,V26)-J26</f>
        <v>-7.5799999999999272</v>
      </c>
      <c r="Y26" s="32">
        <f t="shared" si="10"/>
        <v>-172.89000000000124</v>
      </c>
      <c r="Z26" s="32">
        <f t="shared" si="18"/>
        <v>25</v>
      </c>
      <c r="AA26" s="32">
        <v>6</v>
      </c>
      <c r="AB26" s="33">
        <f t="shared" ref="AB26" si="30">SUM(H26-AC26)</f>
        <v>70</v>
      </c>
      <c r="AC26" s="33">
        <v>16</v>
      </c>
      <c r="AD26" s="33"/>
      <c r="AE26" s="33">
        <f>SUM(AD26-H26)</f>
        <v>-86</v>
      </c>
    </row>
    <row r="27" spans="1:31" ht="20.25" customHeight="1">
      <c r="A27" s="9">
        <v>45006</v>
      </c>
      <c r="B27" s="10" t="s">
        <v>24</v>
      </c>
      <c r="C27" s="11">
        <v>10075.31</v>
      </c>
      <c r="D27" s="11">
        <v>3542.52</v>
      </c>
      <c r="E27" s="11">
        <v>35</v>
      </c>
      <c r="F27" s="11">
        <v>51</v>
      </c>
      <c r="G27" s="11">
        <v>137</v>
      </c>
      <c r="H27" s="11">
        <v>112</v>
      </c>
      <c r="I27" s="11">
        <f t="shared" si="28"/>
        <v>13952.83</v>
      </c>
      <c r="J27" s="11">
        <v>2697.48</v>
      </c>
      <c r="K27" s="11">
        <v>0</v>
      </c>
      <c r="L27" s="11">
        <f t="shared" ref="L27:L32" si="31">SUM(M27:R27)</f>
        <v>11033.349999999999</v>
      </c>
      <c r="M27" s="11">
        <f>640.81+3952.78+5617.53</f>
        <v>10211.119999999999</v>
      </c>
      <c r="N27" s="11">
        <v>22.14</v>
      </c>
      <c r="O27" s="11">
        <v>0</v>
      </c>
      <c r="P27" s="11">
        <v>204.17</v>
      </c>
      <c r="Q27" s="11">
        <v>491.13</v>
      </c>
      <c r="R27" s="11">
        <v>104.79</v>
      </c>
      <c r="S27" s="11">
        <v>0</v>
      </c>
      <c r="T27" s="33">
        <v>0</v>
      </c>
      <c r="U27" s="33">
        <v>83</v>
      </c>
      <c r="V27" s="11">
        <v>2615</v>
      </c>
      <c r="W27" s="11">
        <v>450</v>
      </c>
      <c r="X27" s="31">
        <f t="shared" si="29"/>
        <v>0.51999999999998181</v>
      </c>
      <c r="Y27" s="32">
        <f t="shared" si="10"/>
        <v>-5.000000000001819</v>
      </c>
      <c r="Z27" s="32">
        <f t="shared" si="18"/>
        <v>10</v>
      </c>
      <c r="AA27" s="32">
        <v>127</v>
      </c>
      <c r="AB27" s="33">
        <f t="shared" ref="AB27:AB32" si="32">SUM(H27-AC27)</f>
        <v>22</v>
      </c>
      <c r="AC27" s="33">
        <v>90</v>
      </c>
      <c r="AD27" s="33"/>
      <c r="AE27" s="33">
        <f t="shared" ref="AE27:AE32" si="33">SUM(AD27-H27)</f>
        <v>-112</v>
      </c>
    </row>
    <row r="28" spans="1:31" ht="20.25" customHeight="1">
      <c r="A28" s="9">
        <v>45007</v>
      </c>
      <c r="B28" s="10" t="s">
        <v>25</v>
      </c>
      <c r="C28" s="11">
        <v>9019.7199999999993</v>
      </c>
      <c r="D28" s="11">
        <v>3555.76</v>
      </c>
      <c r="E28" s="11">
        <v>15</v>
      </c>
      <c r="F28" s="11">
        <v>126</v>
      </c>
      <c r="G28" s="11">
        <v>40</v>
      </c>
      <c r="H28" s="11">
        <v>25</v>
      </c>
      <c r="I28" s="11">
        <f>SUM(C28:H28,T28)</f>
        <v>12781.48</v>
      </c>
      <c r="J28" s="11">
        <v>3060.71</v>
      </c>
      <c r="K28" s="11">
        <v>0</v>
      </c>
      <c r="L28" s="11">
        <f t="shared" si="31"/>
        <v>9720.7699999999986</v>
      </c>
      <c r="M28" s="11">
        <f>262.24+879.44+3225.02+4757.08</f>
        <v>9123.7799999999988</v>
      </c>
      <c r="N28" s="11">
        <v>0</v>
      </c>
      <c r="O28" s="11">
        <v>0</v>
      </c>
      <c r="P28" s="11">
        <v>0</v>
      </c>
      <c r="Q28" s="11">
        <v>357.53</v>
      </c>
      <c r="R28" s="11">
        <v>239.46</v>
      </c>
      <c r="S28" s="11">
        <v>304.17</v>
      </c>
      <c r="T28" s="33">
        <v>0</v>
      </c>
      <c r="U28" s="33">
        <v>56</v>
      </c>
      <c r="V28" s="11">
        <v>2680</v>
      </c>
      <c r="W28" s="11">
        <v>450</v>
      </c>
      <c r="X28" s="31">
        <f t="shared" si="29"/>
        <v>-20.539999999999964</v>
      </c>
      <c r="Y28" s="32">
        <f t="shared" si="10"/>
        <v>0</v>
      </c>
      <c r="Z28" s="32">
        <f t="shared" si="18"/>
        <v>40</v>
      </c>
      <c r="AA28" s="32">
        <v>0</v>
      </c>
      <c r="AB28" s="33">
        <f t="shared" si="32"/>
        <v>25</v>
      </c>
      <c r="AC28" s="33">
        <v>0</v>
      </c>
      <c r="AD28" s="33"/>
      <c r="AE28" s="33">
        <f t="shared" si="33"/>
        <v>-25</v>
      </c>
    </row>
    <row r="29" spans="1:31" ht="20.25" customHeight="1">
      <c r="A29" s="9">
        <v>45008</v>
      </c>
      <c r="B29" s="10" t="s">
        <v>26</v>
      </c>
      <c r="C29" s="11">
        <v>9266.07</v>
      </c>
      <c r="D29" s="11">
        <v>3905.26</v>
      </c>
      <c r="E29" s="11">
        <v>10.5</v>
      </c>
      <c r="F29" s="11">
        <v>77</v>
      </c>
      <c r="G29" s="11">
        <v>45</v>
      </c>
      <c r="H29" s="11">
        <v>20</v>
      </c>
      <c r="I29" s="11">
        <f t="shared" si="28"/>
        <v>13363.83</v>
      </c>
      <c r="J29" s="11">
        <v>2368.44</v>
      </c>
      <c r="K29" s="11">
        <v>0</v>
      </c>
      <c r="L29" s="11">
        <f t="shared" si="31"/>
        <v>10925.39</v>
      </c>
      <c r="M29" s="11">
        <f>727.01+2875.97+6302.64</f>
        <v>9905.619999999999</v>
      </c>
      <c r="N29" s="11">
        <v>0</v>
      </c>
      <c r="O29" s="11">
        <v>39.67</v>
      </c>
      <c r="P29" s="11">
        <v>185.06</v>
      </c>
      <c r="Q29" s="11">
        <v>720.76</v>
      </c>
      <c r="R29" s="11">
        <v>74.28</v>
      </c>
      <c r="S29" s="11">
        <v>674.93</v>
      </c>
      <c r="T29" s="33">
        <v>40</v>
      </c>
      <c r="U29" s="33">
        <v>15</v>
      </c>
      <c r="V29" s="11">
        <v>1646</v>
      </c>
      <c r="W29" s="11">
        <v>450</v>
      </c>
      <c r="X29" s="31">
        <f t="shared" si="29"/>
        <v>7.4899999999997817</v>
      </c>
      <c r="Y29" s="32">
        <f t="shared" si="10"/>
        <v>-5</v>
      </c>
      <c r="Z29" s="32">
        <f t="shared" si="18"/>
        <v>0</v>
      </c>
      <c r="AA29" s="32">
        <v>45</v>
      </c>
      <c r="AB29" s="33">
        <f t="shared" si="32"/>
        <v>0</v>
      </c>
      <c r="AC29" s="33">
        <v>20</v>
      </c>
      <c r="AD29" s="33"/>
      <c r="AE29" s="33">
        <f t="shared" si="33"/>
        <v>-20</v>
      </c>
    </row>
    <row r="30" spans="1:31" ht="20.25" customHeight="1">
      <c r="A30" s="9">
        <v>45009</v>
      </c>
      <c r="B30" s="10" t="s">
        <v>20</v>
      </c>
      <c r="C30" s="11">
        <v>9685.06</v>
      </c>
      <c r="D30" s="11">
        <v>5203.6499999999996</v>
      </c>
      <c r="E30" s="11">
        <v>42.5</v>
      </c>
      <c r="F30" s="11">
        <v>145</v>
      </c>
      <c r="G30" s="11">
        <v>808.31</v>
      </c>
      <c r="H30" s="11">
        <v>360</v>
      </c>
      <c r="I30" s="11">
        <f t="shared" si="28"/>
        <v>16264.519999999999</v>
      </c>
      <c r="J30" s="11">
        <v>2826.01</v>
      </c>
      <c r="K30" s="11">
        <v>0</v>
      </c>
      <c r="L30" s="11">
        <f t="shared" si="31"/>
        <v>12400.2</v>
      </c>
      <c r="M30" s="11">
        <f>22.18+579.41+4372.53+6850.68</f>
        <v>11824.8</v>
      </c>
      <c r="N30" s="11">
        <v>21.09</v>
      </c>
      <c r="O30" s="11">
        <v>76.22</v>
      </c>
      <c r="P30" s="11">
        <v>115.1</v>
      </c>
      <c r="Q30" s="11">
        <v>170.04</v>
      </c>
      <c r="R30" s="11">
        <v>192.95</v>
      </c>
      <c r="S30" s="11">
        <v>379.45</v>
      </c>
      <c r="T30" s="33">
        <v>20</v>
      </c>
      <c r="U30" s="33">
        <v>46</v>
      </c>
      <c r="V30" s="11">
        <v>2400</v>
      </c>
      <c r="W30" s="11">
        <v>450</v>
      </c>
      <c r="X30" s="31">
        <f t="shared" si="29"/>
        <v>19.4399999999996</v>
      </c>
      <c r="Y30" s="32">
        <f t="shared" si="10"/>
        <v>0</v>
      </c>
      <c r="Z30" s="32">
        <f t="shared" si="18"/>
        <v>120</v>
      </c>
      <c r="AA30" s="32">
        <v>688.31</v>
      </c>
      <c r="AB30" s="33">
        <f t="shared" si="32"/>
        <v>10</v>
      </c>
      <c r="AC30" s="33">
        <v>350</v>
      </c>
      <c r="AD30" s="33"/>
      <c r="AE30" s="33">
        <f t="shared" si="33"/>
        <v>-360</v>
      </c>
    </row>
    <row r="31" spans="1:31" ht="20.25" customHeight="1">
      <c r="A31" s="9">
        <v>45010</v>
      </c>
      <c r="B31" s="10" t="s">
        <v>21</v>
      </c>
      <c r="C31" s="11">
        <f>135.5+8608.16</f>
        <v>8743.66</v>
      </c>
      <c r="D31" s="11">
        <v>5346.5</v>
      </c>
      <c r="E31" s="11">
        <v>35</v>
      </c>
      <c r="F31" s="11">
        <v>66</v>
      </c>
      <c r="G31" s="11">
        <v>50</v>
      </c>
      <c r="H31" s="11">
        <v>100</v>
      </c>
      <c r="I31" s="11">
        <f t="shared" si="28"/>
        <v>14341.16</v>
      </c>
      <c r="J31" s="11">
        <v>2675.69</v>
      </c>
      <c r="K31" s="11">
        <v>0</v>
      </c>
      <c r="L31" s="11">
        <f t="shared" si="31"/>
        <v>11494.970000000001</v>
      </c>
      <c r="M31" s="11">
        <f>127.71+1031.31+3975.4+6064.89</f>
        <v>11199.310000000001</v>
      </c>
      <c r="N31" s="11">
        <v>11.25</v>
      </c>
      <c r="O31" s="11">
        <v>0</v>
      </c>
      <c r="P31" s="11">
        <v>0</v>
      </c>
      <c r="Q31" s="11">
        <v>207.05</v>
      </c>
      <c r="R31" s="11">
        <v>77.36</v>
      </c>
      <c r="S31" s="11">
        <v>0</v>
      </c>
      <c r="T31" s="33">
        <v>0</v>
      </c>
      <c r="U31" s="33">
        <v>10</v>
      </c>
      <c r="V31" s="11">
        <v>2658</v>
      </c>
      <c r="W31" s="11">
        <v>450</v>
      </c>
      <c r="X31" s="31">
        <f t="shared" si="29"/>
        <v>-7.6900000000000546</v>
      </c>
      <c r="Y31" s="32">
        <f t="shared" si="10"/>
        <v>-135.49999999999818</v>
      </c>
      <c r="Z31" s="32">
        <f t="shared" si="18"/>
        <v>15</v>
      </c>
      <c r="AA31" s="32">
        <v>35</v>
      </c>
      <c r="AB31" s="33">
        <f t="shared" si="32"/>
        <v>100</v>
      </c>
      <c r="AC31" s="33">
        <v>0</v>
      </c>
      <c r="AD31" s="33"/>
      <c r="AE31" s="33">
        <f t="shared" si="33"/>
        <v>-100</v>
      </c>
    </row>
    <row r="32" spans="1:31" ht="20.25" customHeight="1">
      <c r="A32" s="9">
        <v>45011</v>
      </c>
      <c r="B32" s="10" t="s">
        <v>22</v>
      </c>
      <c r="C32" s="11">
        <v>7347.5</v>
      </c>
      <c r="D32" s="11">
        <v>3319.69</v>
      </c>
      <c r="E32" s="11">
        <v>0</v>
      </c>
      <c r="F32" s="11">
        <v>30</v>
      </c>
      <c r="G32" s="11">
        <v>110</v>
      </c>
      <c r="H32" s="11">
        <v>0</v>
      </c>
      <c r="I32" s="11">
        <f t="shared" si="28"/>
        <v>10809.19</v>
      </c>
      <c r="J32" s="11">
        <v>1954.29</v>
      </c>
      <c r="K32" s="11">
        <v>0</v>
      </c>
      <c r="L32" s="11">
        <f t="shared" si="31"/>
        <v>8794.9000000000015</v>
      </c>
      <c r="M32" s="11">
        <f>86.84+302.4+2915.46+5291.09</f>
        <v>8595.7900000000009</v>
      </c>
      <c r="N32" s="11">
        <v>82.1</v>
      </c>
      <c r="O32" s="11">
        <v>0</v>
      </c>
      <c r="P32" s="11">
        <v>72.08</v>
      </c>
      <c r="Q32" s="11">
        <v>44.93</v>
      </c>
      <c r="R32" s="11">
        <v>0</v>
      </c>
      <c r="S32" s="11">
        <v>89.38</v>
      </c>
      <c r="T32" s="33">
        <v>2</v>
      </c>
      <c r="U32" s="33">
        <v>0</v>
      </c>
      <c r="V32" s="11">
        <v>1857</v>
      </c>
      <c r="W32" s="11">
        <v>450</v>
      </c>
      <c r="X32" s="31">
        <f t="shared" si="29"/>
        <v>-5.9099999999998545</v>
      </c>
      <c r="Y32" s="32">
        <f t="shared" si="10"/>
        <v>0</v>
      </c>
      <c r="Z32" s="32">
        <f t="shared" si="18"/>
        <v>50</v>
      </c>
      <c r="AA32" s="32">
        <v>60</v>
      </c>
      <c r="AB32" s="33">
        <f t="shared" si="32"/>
        <v>0</v>
      </c>
      <c r="AC32" s="33">
        <v>0</v>
      </c>
      <c r="AD32" s="33"/>
      <c r="AE32" s="33">
        <f t="shared" si="33"/>
        <v>0</v>
      </c>
    </row>
    <row r="33" spans="1:31" ht="37.5" customHeight="1">
      <c r="A33" s="65" t="s">
        <v>27</v>
      </c>
      <c r="B33" s="66"/>
      <c r="C33" s="27">
        <f t="shared" ref="C33:AE33" si="34">SUM(C26:C32)</f>
        <v>62772.39</v>
      </c>
      <c r="D33" s="27">
        <f t="shared" si="34"/>
        <v>28174.76</v>
      </c>
      <c r="E33" s="27">
        <f t="shared" si="34"/>
        <v>144</v>
      </c>
      <c r="F33" s="27">
        <f t="shared" si="34"/>
        <v>638</v>
      </c>
      <c r="G33" s="27">
        <f t="shared" si="34"/>
        <v>1221.31</v>
      </c>
      <c r="H33" s="27">
        <f t="shared" si="34"/>
        <v>703</v>
      </c>
      <c r="I33" s="27">
        <f t="shared" si="34"/>
        <v>93800.46</v>
      </c>
      <c r="J33" s="27">
        <f t="shared" si="34"/>
        <v>18137.2</v>
      </c>
      <c r="K33" s="27">
        <f t="shared" si="34"/>
        <v>0</v>
      </c>
      <c r="L33" s="27">
        <f t="shared" si="34"/>
        <v>73907.56</v>
      </c>
      <c r="M33" s="27">
        <f t="shared" si="34"/>
        <v>69730.540000000008</v>
      </c>
      <c r="N33" s="27">
        <f t="shared" si="34"/>
        <v>234.95999999999998</v>
      </c>
      <c r="O33" s="27">
        <f t="shared" si="34"/>
        <v>115.89</v>
      </c>
      <c r="P33" s="27">
        <f t="shared" si="34"/>
        <v>673.03</v>
      </c>
      <c r="Q33" s="27">
        <f t="shared" si="34"/>
        <v>2341.3000000000002</v>
      </c>
      <c r="R33" s="27">
        <f t="shared" si="34"/>
        <v>811.84</v>
      </c>
      <c r="S33" s="27">
        <f t="shared" si="34"/>
        <v>1447.9299999999998</v>
      </c>
      <c r="T33" s="27">
        <f t="shared" si="34"/>
        <v>147</v>
      </c>
      <c r="U33" s="27">
        <f t="shared" si="34"/>
        <v>372</v>
      </c>
      <c r="V33" s="27">
        <f t="shared" si="34"/>
        <v>16156</v>
      </c>
      <c r="W33" s="27">
        <f t="shared" si="34"/>
        <v>3150</v>
      </c>
      <c r="X33" s="27">
        <f t="shared" si="34"/>
        <v>-14.270000000000437</v>
      </c>
      <c r="Y33" s="27">
        <f t="shared" si="34"/>
        <v>-318.39000000000124</v>
      </c>
      <c r="Z33" s="27">
        <f t="shared" si="34"/>
        <v>260</v>
      </c>
      <c r="AA33" s="27">
        <f t="shared" si="34"/>
        <v>961.31</v>
      </c>
      <c r="AB33" s="27">
        <f t="shared" si="34"/>
        <v>227</v>
      </c>
      <c r="AC33" s="27">
        <f t="shared" si="34"/>
        <v>476</v>
      </c>
      <c r="AD33" s="27">
        <f t="shared" si="34"/>
        <v>0</v>
      </c>
      <c r="AE33" s="27">
        <f t="shared" si="34"/>
        <v>-703</v>
      </c>
    </row>
    <row r="34" spans="1:31" s="35" customFormat="1" ht="18.75">
      <c r="A34" s="9">
        <v>45012</v>
      </c>
      <c r="B34" s="10" t="s">
        <v>23</v>
      </c>
      <c r="C34" s="11">
        <v>10051.790000000001</v>
      </c>
      <c r="D34" s="11">
        <v>3686.03</v>
      </c>
      <c r="E34" s="11">
        <v>2.5</v>
      </c>
      <c r="F34" s="11">
        <v>52</v>
      </c>
      <c r="G34" s="11">
        <v>50</v>
      </c>
      <c r="H34" s="11">
        <v>330.34</v>
      </c>
      <c r="I34" s="11">
        <f t="shared" ref="I34" si="35">SUM(C34:H34,T34)</f>
        <v>14202.680000000002</v>
      </c>
      <c r="J34" s="11">
        <v>2518.16</v>
      </c>
      <c r="K34" s="11">
        <v>0</v>
      </c>
      <c r="L34" s="11">
        <f t="shared" ref="L34" si="36">SUM(M34:R34)</f>
        <v>11354.179999999998</v>
      </c>
      <c r="M34" s="11">
        <f>1280.94+2559.99+5904.62</f>
        <v>9745.5499999999993</v>
      </c>
      <c r="N34" s="11">
        <v>142.30000000000001</v>
      </c>
      <c r="O34" s="11">
        <v>0</v>
      </c>
      <c r="P34" s="11">
        <v>332.15</v>
      </c>
      <c r="Q34" s="11">
        <v>760.11</v>
      </c>
      <c r="R34" s="11">
        <v>374.07</v>
      </c>
      <c r="S34" s="11">
        <v>129.30000000000001</v>
      </c>
      <c r="T34" s="33">
        <v>30.02</v>
      </c>
      <c r="U34" s="33">
        <v>35</v>
      </c>
      <c r="V34" s="11">
        <v>2325</v>
      </c>
      <c r="W34" s="11">
        <v>450</v>
      </c>
      <c r="X34" s="31">
        <f t="shared" ref="X34" si="37">SUM(S34,T34,U34,V34)-J34</f>
        <v>1.1600000000003092</v>
      </c>
      <c r="Y34" s="32">
        <f t="shared" ref="Y34" si="38">SUM(J34+K34+L34+AC34+AA34)-(I34)</f>
        <v>0</v>
      </c>
      <c r="Z34" s="32">
        <f t="shared" ref="Z34" si="39">SUM(G34-AA34)</f>
        <v>40</v>
      </c>
      <c r="AA34" s="32">
        <v>10</v>
      </c>
      <c r="AB34" s="33">
        <f t="shared" ref="AB34" si="40">SUM(H34-AC34)</f>
        <v>10</v>
      </c>
      <c r="AC34" s="33">
        <v>320.33999999999997</v>
      </c>
      <c r="AD34" s="33"/>
      <c r="AE34" s="33">
        <f t="shared" ref="AE34" si="41">SUM(AD34-H34)</f>
        <v>-330.34</v>
      </c>
    </row>
    <row r="35" spans="1:31" s="35" customFormat="1" ht="18.75">
      <c r="A35" s="9">
        <v>45013</v>
      </c>
      <c r="B35" s="10" t="s">
        <v>24</v>
      </c>
      <c r="C35" s="11">
        <f>9702.17+123.52</f>
        <v>9825.69</v>
      </c>
      <c r="D35" s="11">
        <v>3812.19</v>
      </c>
      <c r="E35" s="11">
        <v>7.5</v>
      </c>
      <c r="F35" s="11">
        <v>121</v>
      </c>
      <c r="G35" s="11">
        <v>20</v>
      </c>
      <c r="H35" s="11">
        <v>70</v>
      </c>
      <c r="I35" s="11">
        <f t="shared" ref="I35:I38" si="42">SUM(C35:H35,T35)</f>
        <v>13856.380000000001</v>
      </c>
      <c r="J35" s="11">
        <v>2352.0700000000002</v>
      </c>
      <c r="K35" s="11">
        <v>0</v>
      </c>
      <c r="L35" s="11">
        <f t="shared" ref="L35:L38" si="43">SUM(M35:R35)</f>
        <v>11365.789999999999</v>
      </c>
      <c r="M35" s="11">
        <f>624.85+2664.46+6819.85</f>
        <v>10109.16</v>
      </c>
      <c r="N35" s="11">
        <v>47.52</v>
      </c>
      <c r="O35" s="11">
        <v>101.05</v>
      </c>
      <c r="P35" s="11">
        <v>308.33</v>
      </c>
      <c r="Q35" s="11">
        <v>799.73</v>
      </c>
      <c r="R35" s="11">
        <v>0</v>
      </c>
      <c r="S35" s="11">
        <v>0</v>
      </c>
      <c r="T35" s="33">
        <v>0</v>
      </c>
      <c r="U35" s="33">
        <v>30</v>
      </c>
      <c r="V35" s="11">
        <v>2340</v>
      </c>
      <c r="W35" s="11">
        <v>450</v>
      </c>
      <c r="X35" s="31">
        <f t="shared" ref="X35:X38" si="44">SUM(S35,T35,U35,V35)-J35</f>
        <v>17.929999999999836</v>
      </c>
      <c r="Y35" s="32">
        <f t="shared" ref="Y35:Y38" si="45">SUM(J35+K35+L35+AC35+AA35)-(I35)</f>
        <v>-138.52000000000226</v>
      </c>
      <c r="Z35" s="32">
        <f t="shared" ref="Z35:Z38" si="46">SUM(G35-AA35)</f>
        <v>20</v>
      </c>
      <c r="AA35" s="32">
        <v>0</v>
      </c>
      <c r="AB35" s="33">
        <f t="shared" ref="AB35:AB38" si="47">SUM(H35-AC35)</f>
        <v>70</v>
      </c>
      <c r="AC35" s="33">
        <v>0</v>
      </c>
      <c r="AD35" s="33"/>
      <c r="AE35" s="33">
        <f t="shared" ref="AE35:AE38" si="48">SUM(AD35-H35)</f>
        <v>-70</v>
      </c>
    </row>
    <row r="36" spans="1:31" s="35" customFormat="1" ht="18.75">
      <c r="A36" s="9">
        <v>45014</v>
      </c>
      <c r="B36" s="10" t="s">
        <v>25</v>
      </c>
      <c r="C36" s="11">
        <v>8666.98</v>
      </c>
      <c r="D36" s="11">
        <v>4100.37</v>
      </c>
      <c r="E36" s="11">
        <v>29.5</v>
      </c>
      <c r="F36" s="11">
        <v>189</v>
      </c>
      <c r="G36" s="11">
        <v>30</v>
      </c>
      <c r="H36" s="11">
        <v>93.1</v>
      </c>
      <c r="I36" s="11">
        <f t="shared" si="42"/>
        <v>13138.949999999999</v>
      </c>
      <c r="J36" s="11">
        <v>2467.9499999999998</v>
      </c>
      <c r="K36" s="11">
        <v>0</v>
      </c>
      <c r="L36" s="11">
        <f t="shared" si="43"/>
        <v>10572.380000000001</v>
      </c>
      <c r="M36" s="11">
        <f>51.84+881.46+3453.63+116.2+5435.91</f>
        <v>9939.0400000000009</v>
      </c>
      <c r="N36" s="11">
        <v>100.01</v>
      </c>
      <c r="O36" s="11">
        <v>57.8</v>
      </c>
      <c r="P36" s="11">
        <v>111.53</v>
      </c>
      <c r="Q36" s="11">
        <v>131.1</v>
      </c>
      <c r="R36" s="11">
        <v>232.9</v>
      </c>
      <c r="S36" s="11">
        <v>0</v>
      </c>
      <c r="T36" s="33">
        <v>30</v>
      </c>
      <c r="U36" s="33">
        <v>140</v>
      </c>
      <c r="V36" s="11">
        <v>2315</v>
      </c>
      <c r="W36" s="11">
        <v>450</v>
      </c>
      <c r="X36" s="31">
        <f t="shared" si="44"/>
        <v>17.050000000000182</v>
      </c>
      <c r="Y36" s="32">
        <f t="shared" si="45"/>
        <v>-5.5199999999967986</v>
      </c>
      <c r="Z36" s="32">
        <f t="shared" si="46"/>
        <v>30</v>
      </c>
      <c r="AA36" s="32">
        <v>0</v>
      </c>
      <c r="AB36" s="33">
        <f t="shared" si="47"/>
        <v>0</v>
      </c>
      <c r="AC36" s="33">
        <v>93.1</v>
      </c>
      <c r="AD36" s="33"/>
      <c r="AE36" s="33">
        <f t="shared" si="48"/>
        <v>-93.1</v>
      </c>
    </row>
    <row r="37" spans="1:31" s="35" customFormat="1" ht="18.75">
      <c r="A37" s="9">
        <v>45015</v>
      </c>
      <c r="B37" s="10" t="s">
        <v>26</v>
      </c>
      <c r="C37" s="11">
        <v>8989.2900000000009</v>
      </c>
      <c r="D37" s="11">
        <v>3727.22</v>
      </c>
      <c r="E37" s="11">
        <v>5</v>
      </c>
      <c r="F37" s="11">
        <v>38</v>
      </c>
      <c r="G37" s="11">
        <v>0</v>
      </c>
      <c r="H37" s="11">
        <v>0</v>
      </c>
      <c r="I37" s="11">
        <f t="shared" si="42"/>
        <v>12764.51</v>
      </c>
      <c r="J37" s="11">
        <v>2379.65</v>
      </c>
      <c r="K37" s="11">
        <v>0</v>
      </c>
      <c r="L37" s="11">
        <f t="shared" si="43"/>
        <v>10384.859999999999</v>
      </c>
      <c r="M37" s="11">
        <f>118.07+857.67+2591.03+5769.35</f>
        <v>9336.1200000000008</v>
      </c>
      <c r="N37" s="11">
        <v>52.07</v>
      </c>
      <c r="O37" s="11">
        <v>0</v>
      </c>
      <c r="P37" s="11">
        <v>457.46</v>
      </c>
      <c r="Q37" s="11">
        <v>339.73</v>
      </c>
      <c r="R37" s="11">
        <v>199.48</v>
      </c>
      <c r="S37" s="11">
        <v>306.51</v>
      </c>
      <c r="T37" s="33">
        <v>5</v>
      </c>
      <c r="U37" s="33">
        <v>10</v>
      </c>
      <c r="V37" s="11">
        <v>2055</v>
      </c>
      <c r="W37" s="11">
        <v>450</v>
      </c>
      <c r="X37" s="31">
        <f t="shared" si="44"/>
        <v>-3.1399999999998727</v>
      </c>
      <c r="Y37" s="32">
        <f t="shared" si="45"/>
        <v>0</v>
      </c>
      <c r="Z37" s="32">
        <f t="shared" si="46"/>
        <v>0</v>
      </c>
      <c r="AA37" s="32">
        <v>0</v>
      </c>
      <c r="AB37" s="33">
        <v>0</v>
      </c>
      <c r="AC37" s="33">
        <v>0</v>
      </c>
      <c r="AD37" s="33"/>
      <c r="AE37" s="33">
        <f t="shared" si="48"/>
        <v>0</v>
      </c>
    </row>
    <row r="38" spans="1:31" s="35" customFormat="1" ht="18.75">
      <c r="A38" s="9">
        <v>45016</v>
      </c>
      <c r="B38" s="10" t="s">
        <v>20</v>
      </c>
      <c r="C38" s="11">
        <v>9871.23</v>
      </c>
      <c r="D38" s="11">
        <v>5006.16</v>
      </c>
      <c r="E38" s="11">
        <v>39</v>
      </c>
      <c r="F38" s="11">
        <v>87</v>
      </c>
      <c r="G38" s="11">
        <v>40</v>
      </c>
      <c r="H38" s="11">
        <v>25</v>
      </c>
      <c r="I38" s="11">
        <f t="shared" si="42"/>
        <v>15108.39</v>
      </c>
      <c r="J38" s="11">
        <v>3231.53</v>
      </c>
      <c r="K38" s="11">
        <v>0</v>
      </c>
      <c r="L38" s="11">
        <f t="shared" si="43"/>
        <v>11836.85</v>
      </c>
      <c r="M38" s="11">
        <f>256.68+481.84+3444.4+6660.03</f>
        <v>10842.95</v>
      </c>
      <c r="N38" s="11">
        <v>89.79</v>
      </c>
      <c r="O38" s="11">
        <v>0</v>
      </c>
      <c r="P38" s="11">
        <v>259.14</v>
      </c>
      <c r="Q38" s="11">
        <v>409.07</v>
      </c>
      <c r="R38" s="11">
        <v>235.9</v>
      </c>
      <c r="S38" s="11">
        <v>671.68</v>
      </c>
      <c r="T38" s="33">
        <v>40</v>
      </c>
      <c r="U38" s="33">
        <v>25</v>
      </c>
      <c r="V38" s="11">
        <v>2510</v>
      </c>
      <c r="W38" s="11">
        <v>450</v>
      </c>
      <c r="X38" s="31">
        <f t="shared" si="44"/>
        <v>15.149999999999636</v>
      </c>
      <c r="Y38" s="32">
        <f t="shared" si="45"/>
        <v>-25.009999999998399</v>
      </c>
      <c r="Z38" s="32">
        <f t="shared" si="46"/>
        <v>25</v>
      </c>
      <c r="AA38" s="32">
        <v>15</v>
      </c>
      <c r="AB38" s="33">
        <f t="shared" si="47"/>
        <v>25</v>
      </c>
      <c r="AC38" s="33">
        <v>0</v>
      </c>
      <c r="AD38" s="33"/>
      <c r="AE38" s="33">
        <f t="shared" si="48"/>
        <v>-25</v>
      </c>
    </row>
    <row r="39" spans="1:31" ht="37.5" customHeight="1">
      <c r="A39" s="65" t="s">
        <v>27</v>
      </c>
      <c r="B39" s="66"/>
      <c r="C39" s="27">
        <f t="shared" ref="C39:AE39" si="49">SUM(C34:C38)</f>
        <v>47404.979999999996</v>
      </c>
      <c r="D39" s="27">
        <f t="shared" si="49"/>
        <v>20331.97</v>
      </c>
      <c r="E39" s="27">
        <f t="shared" si="49"/>
        <v>83.5</v>
      </c>
      <c r="F39" s="27">
        <f t="shared" si="49"/>
        <v>487</v>
      </c>
      <c r="G39" s="27">
        <f t="shared" si="49"/>
        <v>140</v>
      </c>
      <c r="H39" s="27">
        <f t="shared" si="49"/>
        <v>518.43999999999994</v>
      </c>
      <c r="I39" s="27">
        <f t="shared" si="49"/>
        <v>69070.91</v>
      </c>
      <c r="J39" s="27">
        <f t="shared" si="49"/>
        <v>12949.36</v>
      </c>
      <c r="K39" s="27">
        <f t="shared" si="49"/>
        <v>0</v>
      </c>
      <c r="L39" s="27">
        <f t="shared" si="49"/>
        <v>55514.06</v>
      </c>
      <c r="M39" s="27">
        <f t="shared" si="49"/>
        <v>49972.820000000007</v>
      </c>
      <c r="N39" s="27">
        <f t="shared" si="49"/>
        <v>431.69000000000005</v>
      </c>
      <c r="O39" s="27">
        <f t="shared" si="49"/>
        <v>158.85</v>
      </c>
      <c r="P39" s="27">
        <f t="shared" si="49"/>
        <v>1468.6100000000001</v>
      </c>
      <c r="Q39" s="27">
        <f t="shared" si="49"/>
        <v>2439.7400000000002</v>
      </c>
      <c r="R39" s="27">
        <f t="shared" si="49"/>
        <v>1042.3500000000001</v>
      </c>
      <c r="S39" s="27">
        <f t="shared" si="49"/>
        <v>1107.49</v>
      </c>
      <c r="T39" s="27">
        <f t="shared" si="49"/>
        <v>105.02</v>
      </c>
      <c r="U39" s="27">
        <f t="shared" si="49"/>
        <v>240</v>
      </c>
      <c r="V39" s="27">
        <f t="shared" si="49"/>
        <v>11545</v>
      </c>
      <c r="W39" s="27">
        <f t="shared" si="49"/>
        <v>2250</v>
      </c>
      <c r="X39" s="27">
        <f t="shared" si="49"/>
        <v>48.150000000000091</v>
      </c>
      <c r="Y39" s="27">
        <f t="shared" si="49"/>
        <v>-169.04999999999745</v>
      </c>
      <c r="Z39" s="27">
        <f t="shared" si="49"/>
        <v>115</v>
      </c>
      <c r="AA39" s="27">
        <f t="shared" si="49"/>
        <v>25</v>
      </c>
      <c r="AB39" s="27">
        <f t="shared" si="49"/>
        <v>105</v>
      </c>
      <c r="AC39" s="27">
        <f t="shared" si="49"/>
        <v>413.43999999999994</v>
      </c>
      <c r="AD39" s="27">
        <f t="shared" si="49"/>
        <v>0</v>
      </c>
      <c r="AE39" s="27">
        <f t="shared" si="49"/>
        <v>-518.43999999999994</v>
      </c>
    </row>
    <row r="40" spans="1:31" ht="51.75" customHeight="1">
      <c r="A40" s="67" t="s">
        <v>17</v>
      </c>
      <c r="B40" s="68"/>
      <c r="C40" s="30">
        <f t="shared" ref="C40:AE40" si="50">SUM(C39,C33,C25,C17,C9)</f>
        <v>292115.94</v>
      </c>
      <c r="D40" s="30">
        <f t="shared" si="50"/>
        <v>132108.58000000002</v>
      </c>
      <c r="E40" s="30">
        <f t="shared" si="50"/>
        <v>764</v>
      </c>
      <c r="F40" s="30">
        <f t="shared" si="50"/>
        <v>2667</v>
      </c>
      <c r="G40" s="30">
        <f t="shared" si="50"/>
        <v>3489.41</v>
      </c>
      <c r="H40" s="30">
        <f t="shared" si="50"/>
        <v>3057.92</v>
      </c>
      <c r="I40" s="30">
        <f t="shared" si="50"/>
        <v>435009.49</v>
      </c>
      <c r="J40" s="30">
        <f t="shared" si="50"/>
        <v>84217.780000000013</v>
      </c>
      <c r="K40" s="30">
        <f t="shared" si="50"/>
        <v>0</v>
      </c>
      <c r="L40" s="30">
        <f t="shared" si="50"/>
        <v>346058.1</v>
      </c>
      <c r="M40" s="30">
        <f t="shared" si="50"/>
        <v>318269.86000000004</v>
      </c>
      <c r="N40" s="30">
        <f t="shared" si="50"/>
        <v>1504.9200000000003</v>
      </c>
      <c r="O40" s="30">
        <f t="shared" si="50"/>
        <v>1121</v>
      </c>
      <c r="P40" s="30">
        <f t="shared" si="50"/>
        <v>5341.8700000000008</v>
      </c>
      <c r="Q40" s="30">
        <f t="shared" si="50"/>
        <v>13781.830000000002</v>
      </c>
      <c r="R40" s="30">
        <f t="shared" si="50"/>
        <v>6038.6200000000008</v>
      </c>
      <c r="S40" s="30">
        <f t="shared" si="50"/>
        <v>5410.52</v>
      </c>
      <c r="T40" s="30">
        <f t="shared" si="50"/>
        <v>806.64</v>
      </c>
      <c r="U40" s="30">
        <f t="shared" si="50"/>
        <v>2143.44</v>
      </c>
      <c r="V40" s="30">
        <f t="shared" si="50"/>
        <v>75618</v>
      </c>
      <c r="W40" s="30">
        <f t="shared" si="50"/>
        <v>14850</v>
      </c>
      <c r="X40" s="30">
        <f t="shared" si="50"/>
        <v>-239.18000000000006</v>
      </c>
      <c r="Y40" s="30">
        <f t="shared" si="50"/>
        <v>-549.45000000000073</v>
      </c>
      <c r="Z40" s="30">
        <f t="shared" si="50"/>
        <v>1548</v>
      </c>
      <c r="AA40" s="30">
        <f t="shared" si="50"/>
        <v>1941.4099999999999</v>
      </c>
      <c r="AB40" s="30">
        <f t="shared" si="50"/>
        <v>815.17000000000007</v>
      </c>
      <c r="AC40" s="30">
        <f t="shared" si="50"/>
        <v>2242.75</v>
      </c>
      <c r="AD40" s="30">
        <f t="shared" si="50"/>
        <v>8610</v>
      </c>
      <c r="AE40" s="30">
        <f t="shared" si="50"/>
        <v>5552.08</v>
      </c>
    </row>
    <row r="42" spans="1:31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</row>
    <row r="43" spans="1:31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</row>
    <row r="44" spans="1:31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</row>
    <row r="45" spans="1:31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</row>
    <row r="46" spans="1:31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</row>
    <row r="48" spans="1:31" hidden="1"/>
    <row r="49" spans="1:31" ht="18.75" hidden="1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33"/>
      <c r="U49" s="33"/>
      <c r="V49" s="11"/>
      <c r="W49" s="11"/>
      <c r="X49" s="31"/>
      <c r="Y49" s="32"/>
      <c r="Z49" s="32"/>
      <c r="AA49" s="32"/>
      <c r="AB49" s="33"/>
      <c r="AC49" s="33"/>
      <c r="AD49" s="33"/>
      <c r="AE49" s="33"/>
    </row>
    <row r="50" spans="1:31" ht="18.75" hidden="1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33"/>
      <c r="U50" s="33"/>
      <c r="V50" s="11"/>
      <c r="W50" s="11"/>
      <c r="X50" s="31"/>
      <c r="Y50" s="32"/>
      <c r="Z50" s="32"/>
      <c r="AA50" s="32"/>
      <c r="AB50" s="33"/>
      <c r="AC50" s="33"/>
      <c r="AD50" s="33"/>
      <c r="AE50" s="33"/>
    </row>
    <row r="51" spans="1:31" s="28" customFormat="1" ht="18.75" hidden="1">
      <c r="A51"/>
      <c r="B5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33"/>
      <c r="U51" s="33"/>
      <c r="V51" s="11"/>
      <c r="W51" s="11"/>
      <c r="X51" s="31"/>
      <c r="Y51" s="32"/>
      <c r="Z51" s="32"/>
      <c r="AA51" s="32"/>
      <c r="AB51" s="33"/>
      <c r="AC51" s="33"/>
      <c r="AD51" s="33"/>
      <c r="AE51" s="33"/>
    </row>
    <row r="52" spans="1:31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</row>
    <row r="53" spans="1:31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</row>
    <row r="54" spans="1:31" s="28" customFormat="1" hidden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</row>
  </sheetData>
  <sheetProtection password="CCFB" sheet="1" objects="1" scenarios="1"/>
  <mergeCells count="6">
    <mergeCell ref="A40:B40"/>
    <mergeCell ref="A9:B9"/>
    <mergeCell ref="A17:B17"/>
    <mergeCell ref="A25:B25"/>
    <mergeCell ref="A33:B33"/>
    <mergeCell ref="A39:B39"/>
  </mergeCells>
  <conditionalFormatting sqref="X49:AA51 X10:Z16 X18:AA24 X26:AA32 X34:AA38 X2:AA8">
    <cfRule type="cellIs" dxfId="151" priority="15" operator="lessThan">
      <formula>0</formula>
    </cfRule>
    <cfRule type="cellIs" dxfId="150" priority="16" operator="greaterThan">
      <formula>0</formula>
    </cfRule>
  </conditionalFormatting>
  <conditionalFormatting sqref="X49:AB51 X10:Z16 X18:AB24 X26:AB32 X34:AB38 X2:AB8 AB10:AB16">
    <cfRule type="cellIs" dxfId="149" priority="12" operator="equal">
      <formula>0</formula>
    </cfRule>
    <cfRule type="cellIs" dxfId="148" priority="13" operator="lessThan">
      <formula>0</formula>
    </cfRule>
    <cfRule type="cellIs" dxfId="147" priority="14" operator="greaterThan">
      <formula>0</formula>
    </cfRule>
  </conditionalFormatting>
  <conditionalFormatting sqref="AE18:AE24 AE26:AE32 AE10:AE16 AE34:AE38 AE2:AE8">
    <cfRule type="cellIs" dxfId="146" priority="9" operator="equal">
      <formula>0</formula>
    </cfRule>
    <cfRule type="cellIs" dxfId="145" priority="10" operator="lessThan">
      <formula>0</formula>
    </cfRule>
    <cfRule type="cellIs" dxfId="144" priority="1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K56"/>
  <sheetViews>
    <sheetView topLeftCell="I1" zoomScale="60" zoomScaleNormal="60" workbookViewId="0">
      <selection activeCell="O22" sqref="O22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5.7109375" customWidth="1"/>
    <col min="17" max="17" width="16.42578125" customWidth="1"/>
    <col min="18" max="20" width="15.5703125" customWidth="1"/>
    <col min="21" max="21" width="13.85546875" customWidth="1"/>
    <col min="22" max="22" width="13.5703125" customWidth="1"/>
    <col min="23" max="23" width="14.28515625" customWidth="1"/>
    <col min="24" max="24" width="13" customWidth="1"/>
    <col min="25" max="25" width="14.85546875" customWidth="1"/>
    <col min="26" max="26" width="15.85546875" customWidth="1"/>
    <col min="27" max="29" width="16.5703125" customWidth="1"/>
    <col min="30" max="30" width="14" customWidth="1"/>
    <col min="31" max="31" width="13" customWidth="1"/>
    <col min="32" max="32" width="14.85546875" customWidth="1"/>
    <col min="33" max="33" width="15.5703125" customWidth="1"/>
  </cols>
  <sheetData>
    <row r="1" spans="1:33" ht="64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108</v>
      </c>
      <c r="P1" s="8" t="s">
        <v>96</v>
      </c>
      <c r="Q1" s="8" t="s">
        <v>109</v>
      </c>
      <c r="R1" s="8" t="s">
        <v>110</v>
      </c>
      <c r="S1" s="8" t="s">
        <v>111</v>
      </c>
      <c r="T1" s="8" t="s">
        <v>107</v>
      </c>
      <c r="U1" s="8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34</v>
      </c>
      <c r="AB1" s="23" t="s">
        <v>94</v>
      </c>
      <c r="AC1" s="23" t="s">
        <v>95</v>
      </c>
      <c r="AD1" s="23" t="s">
        <v>39</v>
      </c>
      <c r="AE1" s="23" t="s">
        <v>40</v>
      </c>
      <c r="AF1" s="23" t="s">
        <v>78</v>
      </c>
      <c r="AG1" s="23" t="s">
        <v>79</v>
      </c>
    </row>
    <row r="2" spans="1:33" s="35" customFormat="1" ht="18.75">
      <c r="A2" s="9">
        <v>45012</v>
      </c>
      <c r="B2" s="10" t="s">
        <v>23</v>
      </c>
      <c r="C2" s="11">
        <v>10051.790000000001</v>
      </c>
      <c r="D2" s="11">
        <v>3686.03</v>
      </c>
      <c r="E2" s="11">
        <v>2.5</v>
      </c>
      <c r="F2" s="11">
        <v>52</v>
      </c>
      <c r="G2" s="11">
        <v>50</v>
      </c>
      <c r="H2" s="11">
        <v>330.34</v>
      </c>
      <c r="I2" s="11">
        <f t="shared" ref="I2:I6" si="0">SUM(C2:H2,V2)</f>
        <v>14202.680000000002</v>
      </c>
      <c r="J2" s="11">
        <v>2518.16</v>
      </c>
      <c r="K2" s="11">
        <v>0</v>
      </c>
      <c r="L2" s="11">
        <f t="shared" ref="L2:L6" si="1">SUM(M2:S2)</f>
        <v>11354.179999999998</v>
      </c>
      <c r="M2" s="11">
        <f>1280.94+2559.99+5904.62</f>
        <v>9745.5499999999993</v>
      </c>
      <c r="N2" s="11">
        <v>142.30000000000001</v>
      </c>
      <c r="O2" s="11"/>
      <c r="P2" s="11">
        <v>0</v>
      </c>
      <c r="Q2" s="11">
        <v>332.15</v>
      </c>
      <c r="R2" s="11">
        <v>760.11</v>
      </c>
      <c r="S2" s="11">
        <v>374.07</v>
      </c>
      <c r="T2" s="11"/>
      <c r="U2" s="11">
        <v>129.30000000000001</v>
      </c>
      <c r="V2" s="33">
        <v>30.02</v>
      </c>
      <c r="W2" s="33">
        <v>35</v>
      </c>
      <c r="X2" s="11">
        <v>2325</v>
      </c>
      <c r="Y2" s="11">
        <v>450</v>
      </c>
      <c r="Z2" s="31">
        <f t="shared" ref="Z2:Z6" si="2">SUM(U2,V2,W2,X2)-J2</f>
        <v>1.1600000000003092</v>
      </c>
      <c r="AA2" s="32">
        <f t="shared" ref="AA2:AA6" si="3">SUM(J2+K2+L2+AE2+AC2)-(I2)</f>
        <v>0</v>
      </c>
      <c r="AB2" s="32">
        <f t="shared" ref="AB2:AB6" si="4">SUM(G2-AC2)</f>
        <v>40</v>
      </c>
      <c r="AC2" s="32">
        <v>10</v>
      </c>
      <c r="AD2" s="33">
        <f t="shared" ref="AD2:AD4" si="5">SUM(H2-AE2)</f>
        <v>10</v>
      </c>
      <c r="AE2" s="33">
        <v>320.33999999999997</v>
      </c>
      <c r="AF2" s="33"/>
      <c r="AG2" s="33">
        <f t="shared" ref="AG2:AG6" si="6">SUM(AF2-H2)</f>
        <v>-330.34</v>
      </c>
    </row>
    <row r="3" spans="1:33" s="35" customFormat="1" ht="18.75">
      <c r="A3" s="9">
        <v>45013</v>
      </c>
      <c r="B3" s="10" t="s">
        <v>24</v>
      </c>
      <c r="C3" s="11">
        <f>9702.17+123.52</f>
        <v>9825.69</v>
      </c>
      <c r="D3" s="11">
        <v>3812.19</v>
      </c>
      <c r="E3" s="11">
        <v>7.5</v>
      </c>
      <c r="F3" s="11">
        <v>121</v>
      </c>
      <c r="G3" s="11">
        <v>20</v>
      </c>
      <c r="H3" s="11">
        <v>70</v>
      </c>
      <c r="I3" s="11">
        <f t="shared" si="0"/>
        <v>13856.380000000001</v>
      </c>
      <c r="J3" s="11">
        <v>2352.0700000000002</v>
      </c>
      <c r="K3" s="11">
        <v>0</v>
      </c>
      <c r="L3" s="11">
        <f t="shared" si="1"/>
        <v>11365.789999999999</v>
      </c>
      <c r="M3" s="11">
        <f>624.85+2664.46+6819.85</f>
        <v>10109.16</v>
      </c>
      <c r="N3" s="11">
        <v>47.52</v>
      </c>
      <c r="O3" s="11"/>
      <c r="P3" s="11">
        <v>101.05</v>
      </c>
      <c r="Q3" s="11">
        <v>308.33</v>
      </c>
      <c r="R3" s="11">
        <v>799.73</v>
      </c>
      <c r="S3" s="11">
        <v>0</v>
      </c>
      <c r="T3" s="11"/>
      <c r="U3" s="11">
        <v>0</v>
      </c>
      <c r="V3" s="33">
        <v>0</v>
      </c>
      <c r="W3" s="33">
        <v>30</v>
      </c>
      <c r="X3" s="11">
        <v>2340</v>
      </c>
      <c r="Y3" s="11">
        <v>450</v>
      </c>
      <c r="Z3" s="31">
        <f t="shared" si="2"/>
        <v>17.929999999999836</v>
      </c>
      <c r="AA3" s="32">
        <f t="shared" si="3"/>
        <v>-138.52000000000226</v>
      </c>
      <c r="AB3" s="32">
        <f t="shared" si="4"/>
        <v>20</v>
      </c>
      <c r="AC3" s="32">
        <v>0</v>
      </c>
      <c r="AD3" s="33">
        <f t="shared" si="5"/>
        <v>70</v>
      </c>
      <c r="AE3" s="33">
        <v>0</v>
      </c>
      <c r="AF3" s="33"/>
      <c r="AG3" s="33">
        <f t="shared" si="6"/>
        <v>-70</v>
      </c>
    </row>
    <row r="4" spans="1:33" s="35" customFormat="1" ht="18.75">
      <c r="A4" s="9">
        <v>45014</v>
      </c>
      <c r="B4" s="10" t="s">
        <v>25</v>
      </c>
      <c r="C4" s="11">
        <v>8666.98</v>
      </c>
      <c r="D4" s="11">
        <v>4100.37</v>
      </c>
      <c r="E4" s="11">
        <v>29.5</v>
      </c>
      <c r="F4" s="11">
        <v>189</v>
      </c>
      <c r="G4" s="11">
        <v>30</v>
      </c>
      <c r="H4" s="11">
        <v>93.1</v>
      </c>
      <c r="I4" s="11">
        <f t="shared" si="0"/>
        <v>13138.949999999999</v>
      </c>
      <c r="J4" s="11">
        <v>2467.9499999999998</v>
      </c>
      <c r="K4" s="11">
        <v>0</v>
      </c>
      <c r="L4" s="11">
        <f t="shared" si="1"/>
        <v>10572.380000000001</v>
      </c>
      <c r="M4" s="11">
        <f>51.84+881.46+3453.63+116.2+5435.91</f>
        <v>9939.0400000000009</v>
      </c>
      <c r="N4" s="11">
        <v>100.01</v>
      </c>
      <c r="O4" s="11"/>
      <c r="P4" s="11">
        <v>57.8</v>
      </c>
      <c r="Q4" s="11">
        <v>111.53</v>
      </c>
      <c r="R4" s="11">
        <v>131.1</v>
      </c>
      <c r="S4" s="11">
        <v>232.9</v>
      </c>
      <c r="T4" s="11"/>
      <c r="U4" s="11">
        <v>0</v>
      </c>
      <c r="V4" s="33">
        <v>30</v>
      </c>
      <c r="W4" s="33">
        <v>140</v>
      </c>
      <c r="X4" s="11">
        <v>2315</v>
      </c>
      <c r="Y4" s="11">
        <v>450</v>
      </c>
      <c r="Z4" s="31">
        <f t="shared" si="2"/>
        <v>17.050000000000182</v>
      </c>
      <c r="AA4" s="32">
        <f t="shared" si="3"/>
        <v>-5.5199999999967986</v>
      </c>
      <c r="AB4" s="32">
        <f t="shared" si="4"/>
        <v>30</v>
      </c>
      <c r="AC4" s="32">
        <v>0</v>
      </c>
      <c r="AD4" s="33">
        <f t="shared" si="5"/>
        <v>0</v>
      </c>
      <c r="AE4" s="33">
        <v>93.1</v>
      </c>
      <c r="AF4" s="33"/>
      <c r="AG4" s="33">
        <f t="shared" si="6"/>
        <v>-93.1</v>
      </c>
    </row>
    <row r="5" spans="1:33" s="35" customFormat="1" ht="18.75">
      <c r="A5" s="9">
        <v>45015</v>
      </c>
      <c r="B5" s="10" t="s">
        <v>26</v>
      </c>
      <c r="C5" s="11">
        <v>8989.2900000000009</v>
      </c>
      <c r="D5" s="11">
        <v>3727.22</v>
      </c>
      <c r="E5" s="11">
        <v>5</v>
      </c>
      <c r="F5" s="11">
        <v>38</v>
      </c>
      <c r="G5" s="11">
        <v>0</v>
      </c>
      <c r="H5" s="11">
        <v>0</v>
      </c>
      <c r="I5" s="11">
        <f t="shared" si="0"/>
        <v>12764.51</v>
      </c>
      <c r="J5" s="11">
        <v>2379.65</v>
      </c>
      <c r="K5" s="11">
        <v>0</v>
      </c>
      <c r="L5" s="11">
        <f t="shared" si="1"/>
        <v>10384.859999999999</v>
      </c>
      <c r="M5" s="11">
        <f>118.07+857.67+2591.03+5769.35</f>
        <v>9336.1200000000008</v>
      </c>
      <c r="N5" s="11">
        <v>52.07</v>
      </c>
      <c r="O5" s="11"/>
      <c r="P5" s="11">
        <v>0</v>
      </c>
      <c r="Q5" s="11">
        <v>457.46</v>
      </c>
      <c r="R5" s="11">
        <v>339.73</v>
      </c>
      <c r="S5" s="11">
        <v>199.48</v>
      </c>
      <c r="T5" s="11"/>
      <c r="U5" s="11">
        <v>306.51</v>
      </c>
      <c r="V5" s="33">
        <v>5</v>
      </c>
      <c r="W5" s="33">
        <v>10</v>
      </c>
      <c r="X5" s="11">
        <v>2055</v>
      </c>
      <c r="Y5" s="11">
        <v>450</v>
      </c>
      <c r="Z5" s="31">
        <f t="shared" si="2"/>
        <v>-3.1399999999998727</v>
      </c>
      <c r="AA5" s="32">
        <f t="shared" si="3"/>
        <v>0</v>
      </c>
      <c r="AB5" s="32">
        <f t="shared" si="4"/>
        <v>0</v>
      </c>
      <c r="AC5" s="32">
        <v>0</v>
      </c>
      <c r="AD5" s="33">
        <v>0</v>
      </c>
      <c r="AE5" s="33">
        <v>0</v>
      </c>
      <c r="AF5" s="33"/>
      <c r="AG5" s="33">
        <f t="shared" si="6"/>
        <v>0</v>
      </c>
    </row>
    <row r="6" spans="1:33" s="35" customFormat="1" ht="18.75">
      <c r="A6" s="9">
        <v>45016</v>
      </c>
      <c r="B6" s="10" t="s">
        <v>20</v>
      </c>
      <c r="C6" s="11">
        <v>9871.23</v>
      </c>
      <c r="D6" s="11">
        <v>5006.16</v>
      </c>
      <c r="E6" s="11">
        <v>39</v>
      </c>
      <c r="F6" s="11">
        <v>87</v>
      </c>
      <c r="G6" s="11">
        <v>40</v>
      </c>
      <c r="H6" s="11">
        <v>25</v>
      </c>
      <c r="I6" s="11">
        <f t="shared" si="0"/>
        <v>15108.39</v>
      </c>
      <c r="J6" s="11">
        <v>3231.53</v>
      </c>
      <c r="K6" s="11">
        <v>0</v>
      </c>
      <c r="L6" s="11">
        <f t="shared" si="1"/>
        <v>11836.85</v>
      </c>
      <c r="M6" s="11">
        <f>256.68+481.84+3444.4+6660.03</f>
        <v>10842.95</v>
      </c>
      <c r="N6" s="11">
        <v>89.79</v>
      </c>
      <c r="O6" s="11"/>
      <c r="P6" s="11">
        <v>0</v>
      </c>
      <c r="Q6" s="11">
        <v>259.14</v>
      </c>
      <c r="R6" s="11">
        <v>409.07</v>
      </c>
      <c r="S6" s="11">
        <v>235.9</v>
      </c>
      <c r="T6" s="11"/>
      <c r="U6" s="11">
        <v>671.68</v>
      </c>
      <c r="V6" s="33">
        <v>40</v>
      </c>
      <c r="W6" s="33">
        <v>25</v>
      </c>
      <c r="X6" s="11">
        <v>2510</v>
      </c>
      <c r="Y6" s="11">
        <v>450</v>
      </c>
      <c r="Z6" s="31">
        <f t="shared" si="2"/>
        <v>15.149999999999636</v>
      </c>
      <c r="AA6" s="32">
        <f t="shared" si="3"/>
        <v>-25.009999999998399</v>
      </c>
      <c r="AB6" s="32">
        <f t="shared" si="4"/>
        <v>25</v>
      </c>
      <c r="AC6" s="32">
        <v>15</v>
      </c>
      <c r="AD6" s="33">
        <f t="shared" ref="AD6" si="7">SUM(H6-AE6)</f>
        <v>25</v>
      </c>
      <c r="AE6" s="33">
        <v>0</v>
      </c>
      <c r="AF6" s="33"/>
      <c r="AG6" s="33">
        <f t="shared" si="6"/>
        <v>-25</v>
      </c>
    </row>
    <row r="7" spans="1:33" ht="18.75">
      <c r="A7" s="9">
        <v>45017</v>
      </c>
      <c r="B7" s="10" t="s">
        <v>21</v>
      </c>
      <c r="C7" s="11">
        <v>8196.23</v>
      </c>
      <c r="D7" s="11">
        <v>4980.5200000000004</v>
      </c>
      <c r="E7" s="11">
        <v>28</v>
      </c>
      <c r="F7" s="11">
        <v>171</v>
      </c>
      <c r="G7" s="11">
        <v>0</v>
      </c>
      <c r="H7" s="11">
        <v>20</v>
      </c>
      <c r="I7" s="11">
        <f t="shared" ref="I7:I8" si="8">SUM(C7:H7,V7)</f>
        <v>13395.75</v>
      </c>
      <c r="J7" s="11">
        <v>2728.79</v>
      </c>
      <c r="K7" s="11">
        <v>0</v>
      </c>
      <c r="L7" s="11">
        <f t="shared" ref="L7:L8" si="9">SUM(M7:S7)</f>
        <v>10782.410000000002</v>
      </c>
      <c r="M7" s="11">
        <f>127.09+421.04+3654+5985.57</f>
        <v>10187.700000000001</v>
      </c>
      <c r="N7" s="11">
        <v>34.380000000000003</v>
      </c>
      <c r="O7" s="11"/>
      <c r="P7" s="11">
        <v>0</v>
      </c>
      <c r="Q7" s="11">
        <v>102.77</v>
      </c>
      <c r="R7" s="11">
        <v>228.78</v>
      </c>
      <c r="S7" s="11">
        <v>228.78</v>
      </c>
      <c r="T7" s="11"/>
      <c r="U7" s="11">
        <v>0</v>
      </c>
      <c r="V7" s="33">
        <v>0</v>
      </c>
      <c r="W7" s="33">
        <v>106.1</v>
      </c>
      <c r="X7" s="11">
        <v>2572</v>
      </c>
      <c r="Y7" s="11">
        <v>450</v>
      </c>
      <c r="Z7" s="31">
        <f t="shared" ref="Z7:Z8" si="10">SUM(U7,V7,W7,X7)-J7</f>
        <v>-50.690000000000055</v>
      </c>
      <c r="AA7" s="32">
        <f t="shared" ref="AA7:AA32" si="11">SUM(J7+K7+L7+AE7+AC7)-(I7)</f>
        <v>125.45000000000073</v>
      </c>
      <c r="AB7" s="32">
        <f t="shared" ref="AB7:AB8" si="12">SUM(G7-AC7)</f>
        <v>0</v>
      </c>
      <c r="AC7" s="32">
        <v>0</v>
      </c>
      <c r="AD7" s="33">
        <f t="shared" ref="AD7:AD8" si="13">SUM(H7-AE7)</f>
        <v>10</v>
      </c>
      <c r="AE7" s="33">
        <v>10</v>
      </c>
      <c r="AF7" s="33"/>
      <c r="AG7" s="33">
        <f t="shared" ref="AG7:AG8" si="14">SUM(AF7-H7)</f>
        <v>-20</v>
      </c>
    </row>
    <row r="8" spans="1:33" ht="18.75">
      <c r="A8" s="9">
        <v>45018</v>
      </c>
      <c r="B8" s="10" t="s">
        <v>22</v>
      </c>
      <c r="C8" s="11">
        <v>7542.67</v>
      </c>
      <c r="D8" s="11">
        <v>4483.1099999999997</v>
      </c>
      <c r="E8" s="11">
        <v>0</v>
      </c>
      <c r="F8" s="11">
        <v>167</v>
      </c>
      <c r="G8" s="11">
        <v>105</v>
      </c>
      <c r="H8" s="11">
        <v>0</v>
      </c>
      <c r="I8" s="11">
        <f t="shared" si="8"/>
        <v>12297.779999999999</v>
      </c>
      <c r="J8" s="11">
        <v>2125.29</v>
      </c>
      <c r="K8" s="11">
        <v>0</v>
      </c>
      <c r="L8" s="11">
        <f t="shared" si="9"/>
        <v>10107.49</v>
      </c>
      <c r="M8" s="11">
        <f>72.05+569.11+3943.89+5195.77</f>
        <v>9780.82</v>
      </c>
      <c r="N8" s="11">
        <v>39.36</v>
      </c>
      <c r="O8" s="11"/>
      <c r="P8" s="11">
        <v>0</v>
      </c>
      <c r="Q8" s="11">
        <v>0</v>
      </c>
      <c r="R8" s="11">
        <v>203.85</v>
      </c>
      <c r="S8" s="11">
        <v>83.46</v>
      </c>
      <c r="T8" s="11"/>
      <c r="U8" s="11">
        <v>92.54</v>
      </c>
      <c r="V8" s="33">
        <v>0</v>
      </c>
      <c r="W8" s="33">
        <v>136</v>
      </c>
      <c r="X8" s="11">
        <v>1909</v>
      </c>
      <c r="Y8" s="11">
        <v>450</v>
      </c>
      <c r="Z8" s="31">
        <f t="shared" si="10"/>
        <v>12.25</v>
      </c>
      <c r="AA8" s="32">
        <f t="shared" si="11"/>
        <v>-10</v>
      </c>
      <c r="AB8" s="32">
        <f t="shared" si="12"/>
        <v>50</v>
      </c>
      <c r="AC8" s="32">
        <v>55</v>
      </c>
      <c r="AD8" s="33">
        <f t="shared" si="13"/>
        <v>0</v>
      </c>
      <c r="AE8" s="33">
        <v>0</v>
      </c>
      <c r="AF8" s="33">
        <v>3470</v>
      </c>
      <c r="AG8" s="33">
        <f t="shared" si="14"/>
        <v>3470</v>
      </c>
    </row>
    <row r="9" spans="1:33" ht="37.5" customHeight="1">
      <c r="A9" s="65" t="s">
        <v>27</v>
      </c>
      <c r="B9" s="66"/>
      <c r="C9" s="27">
        <f t="shared" ref="C9:AG9" si="15">SUM(C2:C8)</f>
        <v>63143.87999999999</v>
      </c>
      <c r="D9" s="27">
        <f t="shared" si="15"/>
        <v>29795.600000000002</v>
      </c>
      <c r="E9" s="27">
        <f t="shared" si="15"/>
        <v>111.5</v>
      </c>
      <c r="F9" s="27">
        <f t="shared" si="15"/>
        <v>825</v>
      </c>
      <c r="G9" s="27">
        <f t="shared" si="15"/>
        <v>245</v>
      </c>
      <c r="H9" s="27">
        <f t="shared" si="15"/>
        <v>538.43999999999994</v>
      </c>
      <c r="I9" s="27">
        <f t="shared" si="15"/>
        <v>94764.44</v>
      </c>
      <c r="J9" s="27">
        <f t="shared" si="15"/>
        <v>17803.440000000002</v>
      </c>
      <c r="K9" s="27">
        <f t="shared" si="15"/>
        <v>0</v>
      </c>
      <c r="L9" s="27">
        <f t="shared" si="15"/>
        <v>76403.960000000006</v>
      </c>
      <c r="M9" s="27">
        <f t="shared" si="15"/>
        <v>69941.34</v>
      </c>
      <c r="N9" s="27">
        <f t="shared" si="15"/>
        <v>505.43000000000006</v>
      </c>
      <c r="O9" s="27"/>
      <c r="P9" s="27">
        <f t="shared" si="15"/>
        <v>158.85</v>
      </c>
      <c r="Q9" s="27">
        <f t="shared" si="15"/>
        <v>1571.38</v>
      </c>
      <c r="R9" s="27">
        <f t="shared" si="15"/>
        <v>2872.3700000000003</v>
      </c>
      <c r="S9" s="27">
        <f t="shared" si="15"/>
        <v>1354.5900000000001</v>
      </c>
      <c r="T9" s="27"/>
      <c r="U9" s="27">
        <f t="shared" si="15"/>
        <v>1200.03</v>
      </c>
      <c r="V9" s="27">
        <f t="shared" si="15"/>
        <v>105.02</v>
      </c>
      <c r="W9" s="27">
        <f t="shared" si="15"/>
        <v>482.1</v>
      </c>
      <c r="X9" s="27">
        <f t="shared" si="15"/>
        <v>16026</v>
      </c>
      <c r="Y9" s="27">
        <f t="shared" si="15"/>
        <v>3150</v>
      </c>
      <c r="Z9" s="27">
        <f t="shared" si="15"/>
        <v>9.7100000000000364</v>
      </c>
      <c r="AA9" s="27">
        <f t="shared" si="15"/>
        <v>-53.599999999996726</v>
      </c>
      <c r="AB9" s="27">
        <f t="shared" si="15"/>
        <v>165</v>
      </c>
      <c r="AC9" s="27">
        <f t="shared" si="15"/>
        <v>80</v>
      </c>
      <c r="AD9" s="27">
        <f t="shared" si="15"/>
        <v>115</v>
      </c>
      <c r="AE9" s="27">
        <f t="shared" si="15"/>
        <v>423.43999999999994</v>
      </c>
      <c r="AF9" s="27">
        <f t="shared" si="15"/>
        <v>3470</v>
      </c>
      <c r="AG9" s="27">
        <f t="shared" si="15"/>
        <v>2931.56</v>
      </c>
    </row>
    <row r="10" spans="1:33" s="35" customFormat="1" ht="18.75">
      <c r="A10" s="9">
        <v>45019</v>
      </c>
      <c r="B10" s="10" t="s">
        <v>23</v>
      </c>
      <c r="C10" s="11">
        <f>8544.29+20</f>
        <v>8564.2900000000009</v>
      </c>
      <c r="D10" s="11">
        <v>3583.07</v>
      </c>
      <c r="E10" s="11">
        <v>9</v>
      </c>
      <c r="F10" s="11">
        <v>82</v>
      </c>
      <c r="G10" s="11">
        <v>108</v>
      </c>
      <c r="H10" s="11">
        <v>41</v>
      </c>
      <c r="I10" s="11">
        <f t="shared" ref="I10:I16" si="16">SUM(C10:H10,V10)</f>
        <v>12387.36</v>
      </c>
      <c r="J10" s="11">
        <v>2412.13</v>
      </c>
      <c r="K10" s="11">
        <v>0</v>
      </c>
      <c r="L10" s="11">
        <f t="shared" ref="L10:L16" si="17">SUM(M10:S10)</f>
        <v>9890.23</v>
      </c>
      <c r="M10" s="11">
        <f>84.82+589.55+3215.03+5415.96</f>
        <v>9305.36</v>
      </c>
      <c r="N10" s="11">
        <v>62.63</v>
      </c>
      <c r="O10" s="11"/>
      <c r="P10" s="11">
        <v>0</v>
      </c>
      <c r="Q10" s="11">
        <v>211.4</v>
      </c>
      <c r="R10" s="11">
        <v>152.32</v>
      </c>
      <c r="S10" s="11">
        <v>158.52000000000001</v>
      </c>
      <c r="T10" s="11"/>
      <c r="U10" s="11">
        <v>51.98</v>
      </c>
      <c r="V10" s="33">
        <v>0</v>
      </c>
      <c r="W10" s="33">
        <v>60</v>
      </c>
      <c r="X10" s="11">
        <v>2318</v>
      </c>
      <c r="Y10" s="11">
        <v>450</v>
      </c>
      <c r="Z10" s="31">
        <f t="shared" ref="Z10:Z16" si="18">SUM(U10,V10,W10,X10)-J10</f>
        <v>17.849999999999909</v>
      </c>
      <c r="AA10" s="32">
        <f t="shared" si="11"/>
        <v>-40</v>
      </c>
      <c r="AB10" s="32">
        <f>SUM(G10-AC10)</f>
        <v>63</v>
      </c>
      <c r="AC10" s="33">
        <v>45</v>
      </c>
      <c r="AD10" s="33">
        <f>SUM(H10-AE10)</f>
        <v>41</v>
      </c>
      <c r="AE10" s="33">
        <v>0</v>
      </c>
      <c r="AF10" s="33"/>
      <c r="AG10" s="33">
        <f>SUM(AF10-H10)</f>
        <v>-41</v>
      </c>
    </row>
    <row r="11" spans="1:33" s="35" customFormat="1" ht="18.75">
      <c r="A11" s="9">
        <v>45020</v>
      </c>
      <c r="B11" s="10" t="s">
        <v>24</v>
      </c>
      <c r="C11" s="11">
        <v>8501.93</v>
      </c>
      <c r="D11" s="11">
        <v>3917.15</v>
      </c>
      <c r="E11" s="11">
        <v>17.5</v>
      </c>
      <c r="F11" s="11">
        <v>169</v>
      </c>
      <c r="G11" s="11">
        <v>10</v>
      </c>
      <c r="H11" s="11">
        <v>104.18</v>
      </c>
      <c r="I11" s="11">
        <f t="shared" si="16"/>
        <v>12720.76</v>
      </c>
      <c r="J11" s="11">
        <v>1887.48</v>
      </c>
      <c r="K11" s="11">
        <v>0</v>
      </c>
      <c r="L11" s="11">
        <f t="shared" si="17"/>
        <v>10774.880000000001</v>
      </c>
      <c r="M11" s="11">
        <f>217.57+622.87+3465.09+5651.53</f>
        <v>9957.0600000000013</v>
      </c>
      <c r="N11" s="11">
        <v>52.24</v>
      </c>
      <c r="O11" s="11"/>
      <c r="P11" s="11">
        <v>146.57</v>
      </c>
      <c r="Q11" s="11">
        <v>76.08</v>
      </c>
      <c r="R11" s="11">
        <v>266.44</v>
      </c>
      <c r="S11" s="11">
        <v>276.49</v>
      </c>
      <c r="T11" s="11"/>
      <c r="U11" s="11">
        <v>30.48</v>
      </c>
      <c r="V11" s="33">
        <v>1</v>
      </c>
      <c r="W11" s="33">
        <v>91</v>
      </c>
      <c r="X11" s="11">
        <v>1779.5</v>
      </c>
      <c r="Y11" s="11">
        <v>450</v>
      </c>
      <c r="Z11" s="31">
        <f t="shared" si="18"/>
        <v>14.5</v>
      </c>
      <c r="AA11" s="32">
        <f t="shared" si="11"/>
        <v>-29.219999999999345</v>
      </c>
      <c r="AB11" s="32">
        <f t="shared" ref="AB11:AB32" si="19">SUM(G11-AC11)</f>
        <v>0</v>
      </c>
      <c r="AC11" s="33">
        <v>10</v>
      </c>
      <c r="AD11" s="33">
        <f t="shared" ref="AD11:AD16" si="20">SUM(H11-AE11)</f>
        <v>85</v>
      </c>
      <c r="AE11" s="33">
        <v>19.18</v>
      </c>
      <c r="AF11" s="33"/>
      <c r="AG11" s="33">
        <f t="shared" ref="AG11:AG15" si="21">SUM(AF11-H11)</f>
        <v>-104.18</v>
      </c>
    </row>
    <row r="12" spans="1:33" s="35" customFormat="1" ht="18.75">
      <c r="A12" s="9">
        <v>45021</v>
      </c>
      <c r="B12" s="10" t="s">
        <v>25</v>
      </c>
      <c r="C12" s="11">
        <v>8569.6</v>
      </c>
      <c r="D12" s="11">
        <v>3708.08</v>
      </c>
      <c r="E12" s="11">
        <v>41</v>
      </c>
      <c r="F12" s="11">
        <v>124</v>
      </c>
      <c r="G12" s="11">
        <v>15</v>
      </c>
      <c r="H12" s="11">
        <v>208.82</v>
      </c>
      <c r="I12" s="11">
        <f t="shared" si="16"/>
        <v>12666.5</v>
      </c>
      <c r="J12" s="11">
        <v>2276.23</v>
      </c>
      <c r="K12" s="11">
        <v>0</v>
      </c>
      <c r="L12" s="11">
        <f t="shared" si="17"/>
        <v>10344.919999999998</v>
      </c>
      <c r="M12" s="11">
        <f>1.49+672.79+3031.89+5423.49</f>
        <v>9129.66</v>
      </c>
      <c r="N12" s="11">
        <v>0</v>
      </c>
      <c r="O12" s="11"/>
      <c r="P12" s="11">
        <v>72.83</v>
      </c>
      <c r="Q12" s="11">
        <v>308.63</v>
      </c>
      <c r="R12" s="11">
        <v>668.75</v>
      </c>
      <c r="S12" s="11">
        <v>165.05</v>
      </c>
      <c r="T12" s="11"/>
      <c r="U12" s="11">
        <v>0</v>
      </c>
      <c r="V12" s="33">
        <v>0</v>
      </c>
      <c r="W12" s="33">
        <v>58</v>
      </c>
      <c r="X12" s="11">
        <v>2237</v>
      </c>
      <c r="Y12" s="11">
        <v>450</v>
      </c>
      <c r="Z12" s="31">
        <f t="shared" si="18"/>
        <v>18.769999999999982</v>
      </c>
      <c r="AA12" s="32">
        <f t="shared" si="11"/>
        <v>-16.440000000002328</v>
      </c>
      <c r="AB12" s="32">
        <f t="shared" si="19"/>
        <v>15</v>
      </c>
      <c r="AC12" s="33">
        <v>0</v>
      </c>
      <c r="AD12" s="33">
        <f t="shared" si="20"/>
        <v>179.91</v>
      </c>
      <c r="AE12" s="33">
        <v>28.91</v>
      </c>
      <c r="AF12" s="33"/>
      <c r="AG12" s="33">
        <f t="shared" si="21"/>
        <v>-208.82</v>
      </c>
    </row>
    <row r="13" spans="1:33" s="35" customFormat="1" ht="18.75">
      <c r="A13" s="9">
        <v>45022</v>
      </c>
      <c r="B13" s="10" t="s">
        <v>26</v>
      </c>
      <c r="C13" s="11">
        <v>11589.32</v>
      </c>
      <c r="D13" s="11">
        <v>5497.44</v>
      </c>
      <c r="E13" s="11">
        <v>10.5</v>
      </c>
      <c r="F13" s="11">
        <v>78</v>
      </c>
      <c r="G13" s="11">
        <v>25</v>
      </c>
      <c r="H13" s="11">
        <v>85</v>
      </c>
      <c r="I13" s="11">
        <f t="shared" si="16"/>
        <v>17325.259999999998</v>
      </c>
      <c r="J13" s="11">
        <v>3032.32</v>
      </c>
      <c r="K13" s="11">
        <v>0</v>
      </c>
      <c r="L13" s="11">
        <f t="shared" si="17"/>
        <v>13972.22</v>
      </c>
      <c r="M13" s="11">
        <f>41+753.95+4945.52+7251.45</f>
        <v>12991.92</v>
      </c>
      <c r="N13" s="11">
        <v>73.569999999999993</v>
      </c>
      <c r="O13" s="11"/>
      <c r="P13" s="11">
        <v>87.08</v>
      </c>
      <c r="Q13" s="11">
        <v>183.9</v>
      </c>
      <c r="R13" s="11">
        <v>203.31</v>
      </c>
      <c r="S13" s="11">
        <v>432.44</v>
      </c>
      <c r="T13" s="11"/>
      <c r="U13" s="11">
        <v>1056.93</v>
      </c>
      <c r="V13" s="33">
        <v>40</v>
      </c>
      <c r="W13" s="33">
        <v>45</v>
      </c>
      <c r="X13" s="11">
        <v>1895</v>
      </c>
      <c r="Y13" s="11">
        <v>450</v>
      </c>
      <c r="Z13" s="31">
        <f t="shared" si="18"/>
        <v>4.6100000000001273</v>
      </c>
      <c r="AA13" s="32">
        <f t="shared" si="11"/>
        <v>-295.71999999999753</v>
      </c>
      <c r="AB13" s="32">
        <f t="shared" si="19"/>
        <v>20</v>
      </c>
      <c r="AC13" s="33">
        <v>5</v>
      </c>
      <c r="AD13" s="33">
        <f t="shared" si="20"/>
        <v>65</v>
      </c>
      <c r="AE13" s="33">
        <v>20</v>
      </c>
      <c r="AF13" s="33"/>
      <c r="AG13" s="33">
        <f t="shared" si="21"/>
        <v>-85</v>
      </c>
    </row>
    <row r="14" spans="1:33" s="35" customFormat="1" ht="18.75">
      <c r="A14" s="9">
        <v>45023</v>
      </c>
      <c r="B14" s="10" t="s">
        <v>20</v>
      </c>
      <c r="C14" s="11">
        <v>9024.8799999999992</v>
      </c>
      <c r="D14" s="11">
        <v>4422.76</v>
      </c>
      <c r="E14" s="11">
        <v>61.5</v>
      </c>
      <c r="F14" s="11">
        <v>96</v>
      </c>
      <c r="G14" s="11">
        <v>85</v>
      </c>
      <c r="H14" s="11">
        <v>105</v>
      </c>
      <c r="I14" s="11">
        <f t="shared" si="16"/>
        <v>13815.14</v>
      </c>
      <c r="J14" s="43">
        <v>2457.06</v>
      </c>
      <c r="K14" s="43">
        <v>0</v>
      </c>
      <c r="L14" s="11">
        <f t="shared" si="17"/>
        <v>11328.08</v>
      </c>
      <c r="M14" s="11">
        <f>105.37+409.19+3442.04+6201.79</f>
        <v>10158.39</v>
      </c>
      <c r="N14" s="11">
        <v>54.32</v>
      </c>
      <c r="O14" s="11"/>
      <c r="P14" s="11">
        <v>0</v>
      </c>
      <c r="Q14" s="11">
        <v>311.04000000000002</v>
      </c>
      <c r="R14" s="11">
        <v>584.05999999999995</v>
      </c>
      <c r="S14" s="11">
        <v>220.27</v>
      </c>
      <c r="T14" s="11"/>
      <c r="U14" s="11">
        <v>477.03</v>
      </c>
      <c r="V14" s="33">
        <v>20</v>
      </c>
      <c r="W14" s="33">
        <v>46</v>
      </c>
      <c r="X14" s="11">
        <v>1916</v>
      </c>
      <c r="Y14" s="11">
        <v>450</v>
      </c>
      <c r="Z14" s="31">
        <f t="shared" si="18"/>
        <v>1.9699999999997999</v>
      </c>
      <c r="AA14" s="32">
        <f t="shared" si="11"/>
        <v>10</v>
      </c>
      <c r="AB14" s="32">
        <f t="shared" si="19"/>
        <v>85</v>
      </c>
      <c r="AC14" s="33">
        <v>0</v>
      </c>
      <c r="AD14" s="33">
        <f t="shared" si="20"/>
        <v>65</v>
      </c>
      <c r="AE14" s="33">
        <v>40</v>
      </c>
      <c r="AF14" s="33"/>
      <c r="AG14" s="33">
        <f t="shared" si="21"/>
        <v>-105</v>
      </c>
    </row>
    <row r="15" spans="1:33" s="35" customFormat="1" ht="18.75">
      <c r="A15" s="9">
        <v>45024</v>
      </c>
      <c r="B15" s="10" t="s">
        <v>21</v>
      </c>
      <c r="C15" s="11">
        <v>7257.38</v>
      </c>
      <c r="D15" s="11">
        <v>4895.8500000000004</v>
      </c>
      <c r="E15" s="11">
        <v>8</v>
      </c>
      <c r="F15" s="11">
        <v>94</v>
      </c>
      <c r="G15" s="11">
        <v>211</v>
      </c>
      <c r="H15" s="11">
        <v>90</v>
      </c>
      <c r="I15" s="11">
        <f t="shared" si="16"/>
        <v>12576.23</v>
      </c>
      <c r="J15" s="11">
        <v>2412.41</v>
      </c>
      <c r="K15" s="11">
        <v>0</v>
      </c>
      <c r="L15" s="11">
        <f t="shared" si="17"/>
        <v>9995.8199999999979</v>
      </c>
      <c r="M15" s="11">
        <f>50.02+606.16+3117.56+5928.63</f>
        <v>9702.369999999999</v>
      </c>
      <c r="N15" s="11">
        <v>54.96</v>
      </c>
      <c r="O15" s="11"/>
      <c r="P15" s="11">
        <v>46.01</v>
      </c>
      <c r="Q15" s="11">
        <v>0</v>
      </c>
      <c r="R15" s="11">
        <v>192.48</v>
      </c>
      <c r="S15" s="11">
        <v>0</v>
      </c>
      <c r="T15" s="11"/>
      <c r="U15" s="11">
        <v>0</v>
      </c>
      <c r="V15" s="33">
        <v>20</v>
      </c>
      <c r="W15" s="33">
        <v>78</v>
      </c>
      <c r="X15" s="11">
        <v>2325</v>
      </c>
      <c r="Y15" s="11">
        <v>450</v>
      </c>
      <c r="Z15" s="31">
        <f t="shared" si="18"/>
        <v>10.590000000000146</v>
      </c>
      <c r="AA15" s="32">
        <f t="shared" si="11"/>
        <v>-8.000000000001819</v>
      </c>
      <c r="AB15" s="32">
        <f t="shared" si="19"/>
        <v>51</v>
      </c>
      <c r="AC15" s="33">
        <v>160</v>
      </c>
      <c r="AD15" s="33">
        <f t="shared" si="20"/>
        <v>90</v>
      </c>
      <c r="AE15" s="33">
        <v>0</v>
      </c>
      <c r="AF15" s="33">
        <v>4000</v>
      </c>
      <c r="AG15" s="33">
        <f t="shared" si="21"/>
        <v>3910</v>
      </c>
    </row>
    <row r="16" spans="1:33" s="35" customFormat="1" ht="18.75">
      <c r="A16" s="9">
        <v>45025</v>
      </c>
      <c r="B16" s="10" t="s">
        <v>22</v>
      </c>
      <c r="C16" s="11">
        <v>5536.08</v>
      </c>
      <c r="D16" s="11">
        <v>4267.1499999999996</v>
      </c>
      <c r="E16" s="11">
        <v>0</v>
      </c>
      <c r="F16" s="11">
        <v>115</v>
      </c>
      <c r="G16" s="11">
        <v>280</v>
      </c>
      <c r="H16" s="11">
        <v>0</v>
      </c>
      <c r="I16" s="11">
        <f t="shared" si="16"/>
        <v>10248.23</v>
      </c>
      <c r="J16" s="11">
        <v>2372.75</v>
      </c>
      <c r="K16" s="11">
        <v>0</v>
      </c>
      <c r="L16" s="11">
        <f t="shared" si="17"/>
        <v>7641.42</v>
      </c>
      <c r="M16" s="11">
        <f>37.76+347.05+2860.07+4204.75</f>
        <v>7449.63</v>
      </c>
      <c r="N16" s="11">
        <v>78.64</v>
      </c>
      <c r="O16" s="11"/>
      <c r="P16" s="11">
        <v>0</v>
      </c>
      <c r="Q16" s="11">
        <v>38.36</v>
      </c>
      <c r="R16" s="11">
        <v>74.790000000000006</v>
      </c>
      <c r="S16" s="11">
        <v>0</v>
      </c>
      <c r="T16" s="11"/>
      <c r="U16" s="11">
        <v>76.400000000000006</v>
      </c>
      <c r="V16" s="33">
        <v>50</v>
      </c>
      <c r="W16" s="33">
        <v>158</v>
      </c>
      <c r="X16" s="11">
        <v>2070</v>
      </c>
      <c r="Y16" s="11">
        <v>450</v>
      </c>
      <c r="Z16" s="31">
        <f t="shared" si="18"/>
        <v>-18.349999999999909</v>
      </c>
      <c r="AA16" s="32">
        <f t="shared" si="11"/>
        <v>15.940000000000509</v>
      </c>
      <c r="AB16" s="32">
        <f t="shared" si="19"/>
        <v>30</v>
      </c>
      <c r="AC16" s="33">
        <v>250</v>
      </c>
      <c r="AD16" s="33">
        <f t="shared" si="20"/>
        <v>0</v>
      </c>
      <c r="AE16" s="33">
        <v>0</v>
      </c>
      <c r="AF16" s="33"/>
      <c r="AG16" s="33">
        <f>SUM(AF16-H16)</f>
        <v>0</v>
      </c>
    </row>
    <row r="17" spans="1:37" ht="37.5" customHeight="1">
      <c r="A17" s="65" t="s">
        <v>27</v>
      </c>
      <c r="B17" s="66"/>
      <c r="C17" s="27">
        <f>SUM(C10:C16)</f>
        <v>59043.479999999996</v>
      </c>
      <c r="D17" s="27">
        <f t="shared" ref="D17:AG17" si="22">SUM(D10:D16)</f>
        <v>30291.5</v>
      </c>
      <c r="E17" s="27">
        <f t="shared" si="22"/>
        <v>147.5</v>
      </c>
      <c r="F17" s="27">
        <f t="shared" si="22"/>
        <v>758</v>
      </c>
      <c r="G17" s="27">
        <f t="shared" si="22"/>
        <v>734</v>
      </c>
      <c r="H17" s="27">
        <f t="shared" si="22"/>
        <v>634</v>
      </c>
      <c r="I17" s="27">
        <f t="shared" si="22"/>
        <v>91739.48</v>
      </c>
      <c r="J17" s="27">
        <f t="shared" si="22"/>
        <v>16850.379999999997</v>
      </c>
      <c r="K17" s="27">
        <f t="shared" si="22"/>
        <v>0</v>
      </c>
      <c r="L17" s="27">
        <f t="shared" si="22"/>
        <v>73947.569999999992</v>
      </c>
      <c r="M17" s="27">
        <f t="shared" si="22"/>
        <v>68694.39</v>
      </c>
      <c r="N17" s="27">
        <f t="shared" si="22"/>
        <v>376.35999999999996</v>
      </c>
      <c r="O17" s="27"/>
      <c r="P17" s="27">
        <f t="shared" si="22"/>
        <v>352.48999999999995</v>
      </c>
      <c r="Q17" s="27">
        <f t="shared" si="22"/>
        <v>1129.4099999999999</v>
      </c>
      <c r="R17" s="27">
        <f t="shared" si="22"/>
        <v>2142.1499999999996</v>
      </c>
      <c r="S17" s="27">
        <f t="shared" si="22"/>
        <v>1252.77</v>
      </c>
      <c r="T17" s="27"/>
      <c r="U17" s="27">
        <f t="shared" si="22"/>
        <v>1692.8200000000002</v>
      </c>
      <c r="V17" s="27">
        <f t="shared" si="22"/>
        <v>131</v>
      </c>
      <c r="W17" s="27">
        <f t="shared" si="22"/>
        <v>536</v>
      </c>
      <c r="X17" s="27">
        <f t="shared" si="22"/>
        <v>14540.5</v>
      </c>
      <c r="Y17" s="27">
        <f t="shared" si="22"/>
        <v>3150</v>
      </c>
      <c r="Z17" s="27">
        <f t="shared" si="22"/>
        <v>49.940000000000055</v>
      </c>
      <c r="AA17" s="27">
        <f t="shared" si="22"/>
        <v>-363.44000000000051</v>
      </c>
      <c r="AB17" s="27">
        <f t="shared" si="22"/>
        <v>264</v>
      </c>
      <c r="AC17" s="27">
        <f t="shared" si="22"/>
        <v>470</v>
      </c>
      <c r="AD17" s="27">
        <f t="shared" si="22"/>
        <v>525.91</v>
      </c>
      <c r="AE17" s="27">
        <f t="shared" si="22"/>
        <v>108.09</v>
      </c>
      <c r="AF17" s="27">
        <f>SUM(AF10:AF16)</f>
        <v>4000</v>
      </c>
      <c r="AG17" s="27">
        <f t="shared" si="22"/>
        <v>3366</v>
      </c>
    </row>
    <row r="18" spans="1:37" s="35" customFormat="1" ht="18.75">
      <c r="A18" s="9">
        <v>45026</v>
      </c>
      <c r="B18" s="10" t="s">
        <v>23</v>
      </c>
      <c r="C18" s="11">
        <v>5231.8100000000004</v>
      </c>
      <c r="D18" s="11">
        <v>3569.92</v>
      </c>
      <c r="E18" s="11">
        <v>2.5</v>
      </c>
      <c r="F18" s="11">
        <v>69</v>
      </c>
      <c r="G18" s="11">
        <v>262</v>
      </c>
      <c r="H18" s="11">
        <v>80</v>
      </c>
      <c r="I18" s="11">
        <f t="shared" ref="I18:I24" si="23">SUM(C18:H18,V18)</f>
        <v>9215.23</v>
      </c>
      <c r="J18" s="11">
        <v>1811.29</v>
      </c>
      <c r="K18" s="11">
        <v>0</v>
      </c>
      <c r="L18" s="11">
        <f t="shared" ref="L18:L24" si="24">SUM(M18:S18)</f>
        <v>7363.93</v>
      </c>
      <c r="M18" s="11">
        <f>6.97+421.72+2402.72+4128.25</f>
        <v>6959.66</v>
      </c>
      <c r="N18" s="11">
        <v>13.99</v>
      </c>
      <c r="O18" s="11"/>
      <c r="P18" s="11">
        <v>94.85</v>
      </c>
      <c r="Q18" s="11">
        <v>62</v>
      </c>
      <c r="R18" s="11">
        <v>83.52</v>
      </c>
      <c r="S18" s="11">
        <v>149.91</v>
      </c>
      <c r="T18" s="11"/>
      <c r="U18" s="11">
        <v>0</v>
      </c>
      <c r="V18" s="33">
        <v>0</v>
      </c>
      <c r="W18" s="33">
        <v>40</v>
      </c>
      <c r="X18" s="11">
        <v>1727</v>
      </c>
      <c r="Y18" s="11">
        <v>450</v>
      </c>
      <c r="Z18" s="31">
        <f t="shared" ref="Z18:Z24" si="25">SUM(U18,V18,W18,X18)-J18</f>
        <v>-44.289999999999964</v>
      </c>
      <c r="AA18" s="32">
        <f t="shared" si="11"/>
        <v>49.990000000001601</v>
      </c>
      <c r="AB18" s="32">
        <f t="shared" si="19"/>
        <v>182</v>
      </c>
      <c r="AC18" s="32">
        <v>80</v>
      </c>
      <c r="AD18" s="33">
        <f t="shared" ref="AD18:AD24" si="26">SUM(H18-AE18)</f>
        <v>70</v>
      </c>
      <c r="AE18" s="33">
        <v>10</v>
      </c>
      <c r="AF18" s="33"/>
      <c r="AG18" s="33">
        <f t="shared" ref="AG18:AG24" si="27">SUM(AF18-H18)</f>
        <v>-80</v>
      </c>
    </row>
    <row r="19" spans="1:37" s="35" customFormat="1" ht="18.75">
      <c r="A19" s="9">
        <v>45027</v>
      </c>
      <c r="B19" s="10" t="s">
        <v>24</v>
      </c>
      <c r="C19" s="11">
        <v>8728.25</v>
      </c>
      <c r="D19" s="11">
        <v>3575.82</v>
      </c>
      <c r="E19" s="11">
        <v>0</v>
      </c>
      <c r="F19" s="11">
        <v>27</v>
      </c>
      <c r="G19" s="11">
        <v>90</v>
      </c>
      <c r="H19" s="11">
        <v>164.06</v>
      </c>
      <c r="I19" s="11">
        <f t="shared" si="23"/>
        <v>12617.199999999999</v>
      </c>
      <c r="J19" s="11">
        <v>2468.79</v>
      </c>
      <c r="K19" s="11">
        <v>0</v>
      </c>
      <c r="L19" s="11">
        <f t="shared" si="24"/>
        <v>9981.0400000000009</v>
      </c>
      <c r="M19" s="11">
        <f>6.52+929.26+2694.76+5489.7</f>
        <v>9120.24</v>
      </c>
      <c r="N19" s="11">
        <v>0</v>
      </c>
      <c r="O19" s="11"/>
      <c r="P19" s="11">
        <v>0</v>
      </c>
      <c r="Q19" s="11">
        <v>267.37</v>
      </c>
      <c r="R19" s="11">
        <v>562.66</v>
      </c>
      <c r="S19" s="11">
        <v>30.77</v>
      </c>
      <c r="T19" s="11"/>
      <c r="U19" s="11">
        <v>0</v>
      </c>
      <c r="V19" s="33">
        <v>32.07</v>
      </c>
      <c r="W19" s="33">
        <v>40</v>
      </c>
      <c r="X19" s="11">
        <v>2400</v>
      </c>
      <c r="Y19" s="11">
        <v>450</v>
      </c>
      <c r="Z19" s="31">
        <f t="shared" si="25"/>
        <v>3.2800000000002001</v>
      </c>
      <c r="AA19" s="32">
        <f t="shared" si="11"/>
        <v>-14.999999999996362</v>
      </c>
      <c r="AB19" s="32">
        <f t="shared" si="19"/>
        <v>90</v>
      </c>
      <c r="AC19" s="32">
        <v>0</v>
      </c>
      <c r="AD19" s="33">
        <f t="shared" si="26"/>
        <v>11.689999999999998</v>
      </c>
      <c r="AE19" s="33">
        <v>152.37</v>
      </c>
      <c r="AF19" s="33"/>
      <c r="AG19" s="33">
        <f t="shared" si="27"/>
        <v>-164.06</v>
      </c>
    </row>
    <row r="20" spans="1:37" s="35" customFormat="1" ht="18.75">
      <c r="A20" s="9">
        <v>45028</v>
      </c>
      <c r="B20" s="10" t="s">
        <v>25</v>
      </c>
      <c r="C20" s="11">
        <v>7778.95</v>
      </c>
      <c r="D20" s="11">
        <v>3035.25</v>
      </c>
      <c r="E20" s="11">
        <v>6</v>
      </c>
      <c r="F20" s="11">
        <v>59</v>
      </c>
      <c r="G20" s="11">
        <v>30</v>
      </c>
      <c r="H20" s="11">
        <v>70</v>
      </c>
      <c r="I20" s="11">
        <f t="shared" si="23"/>
        <v>11049.2</v>
      </c>
      <c r="J20" s="11">
        <v>2150.75</v>
      </c>
      <c r="K20" s="11">
        <v>0</v>
      </c>
      <c r="L20" s="11">
        <f t="shared" si="24"/>
        <v>8875.4499999999989</v>
      </c>
      <c r="M20" s="11">
        <f>3.48+954.43+2452.1+4659.8</f>
        <v>8069.8099999999995</v>
      </c>
      <c r="N20" s="11">
        <v>0</v>
      </c>
      <c r="O20" s="11"/>
      <c r="P20" s="11">
        <v>0</v>
      </c>
      <c r="Q20" s="11">
        <v>108.74</v>
      </c>
      <c r="R20" s="11">
        <v>566.58000000000004</v>
      </c>
      <c r="S20" s="11">
        <v>130.32</v>
      </c>
      <c r="T20" s="11"/>
      <c r="U20" s="11">
        <v>0</v>
      </c>
      <c r="V20" s="33">
        <v>70</v>
      </c>
      <c r="W20" s="33">
        <v>52</v>
      </c>
      <c r="X20" s="11">
        <v>2026</v>
      </c>
      <c r="Y20" s="11">
        <v>450</v>
      </c>
      <c r="Z20" s="31">
        <f t="shared" si="25"/>
        <v>-2.75</v>
      </c>
      <c r="AA20" s="32">
        <f t="shared" si="11"/>
        <v>-3.000000000001819</v>
      </c>
      <c r="AB20" s="32">
        <f t="shared" si="19"/>
        <v>30</v>
      </c>
      <c r="AC20" s="32">
        <v>0</v>
      </c>
      <c r="AD20" s="33">
        <f t="shared" si="26"/>
        <v>50</v>
      </c>
      <c r="AE20" s="33">
        <v>20</v>
      </c>
      <c r="AF20" s="33"/>
      <c r="AG20" s="33">
        <f t="shared" si="27"/>
        <v>-70</v>
      </c>
    </row>
    <row r="21" spans="1:37" s="35" customFormat="1" ht="18.75">
      <c r="A21" s="9">
        <v>45029</v>
      </c>
      <c r="B21" s="10" t="s">
        <v>26</v>
      </c>
      <c r="C21" s="11">
        <v>8185.62</v>
      </c>
      <c r="D21" s="11">
        <v>3838.86</v>
      </c>
      <c r="E21" s="11">
        <v>2.5</v>
      </c>
      <c r="F21" s="11">
        <v>43</v>
      </c>
      <c r="G21" s="11">
        <v>0</v>
      </c>
      <c r="H21" s="11">
        <v>210</v>
      </c>
      <c r="I21" s="11">
        <f t="shared" si="23"/>
        <v>12343.98</v>
      </c>
      <c r="J21" s="11">
        <v>2558.37</v>
      </c>
      <c r="K21" s="11">
        <v>0</v>
      </c>
      <c r="L21" s="11">
        <f t="shared" si="24"/>
        <v>9605.61</v>
      </c>
      <c r="M21" s="11">
        <f>482.59+2269.62+5688.56</f>
        <v>8440.77</v>
      </c>
      <c r="N21" s="11">
        <v>53.53</v>
      </c>
      <c r="O21" s="11"/>
      <c r="P21" s="11">
        <v>0</v>
      </c>
      <c r="Q21" s="11">
        <v>152.76</v>
      </c>
      <c r="R21" s="11">
        <v>688.55</v>
      </c>
      <c r="S21" s="11">
        <v>270</v>
      </c>
      <c r="T21" s="11"/>
      <c r="U21" s="11">
        <v>186.1</v>
      </c>
      <c r="V21" s="33">
        <v>64</v>
      </c>
      <c r="W21" s="33">
        <v>44</v>
      </c>
      <c r="X21" s="11">
        <v>2268</v>
      </c>
      <c r="Y21" s="11">
        <v>450</v>
      </c>
      <c r="Z21" s="31">
        <f t="shared" si="25"/>
        <v>3.7300000000000182</v>
      </c>
      <c r="AA21" s="32">
        <f t="shared" si="11"/>
        <v>0</v>
      </c>
      <c r="AB21" s="32">
        <f t="shared" si="19"/>
        <v>0</v>
      </c>
      <c r="AC21" s="32">
        <v>0</v>
      </c>
      <c r="AD21" s="33">
        <f t="shared" si="26"/>
        <v>30</v>
      </c>
      <c r="AE21" s="33">
        <v>180</v>
      </c>
      <c r="AF21" s="33"/>
      <c r="AG21" s="33">
        <f t="shared" si="27"/>
        <v>-210</v>
      </c>
    </row>
    <row r="22" spans="1:37" s="35" customFormat="1" ht="18.75">
      <c r="A22" s="9">
        <v>45030</v>
      </c>
      <c r="B22" s="10" t="s">
        <v>20</v>
      </c>
      <c r="C22" s="11">
        <v>8748.35</v>
      </c>
      <c r="D22" s="11">
        <v>4851.74</v>
      </c>
      <c r="E22" s="11">
        <v>7.5</v>
      </c>
      <c r="F22" s="11">
        <v>87</v>
      </c>
      <c r="G22" s="11">
        <v>50</v>
      </c>
      <c r="H22" s="11">
        <v>167</v>
      </c>
      <c r="I22" s="11">
        <f t="shared" si="23"/>
        <v>14114.73</v>
      </c>
      <c r="J22" s="11">
        <v>2344.16</v>
      </c>
      <c r="K22" s="11">
        <v>0</v>
      </c>
      <c r="L22" s="11">
        <f t="shared" si="24"/>
        <v>11750.570000000002</v>
      </c>
      <c r="M22" s="11">
        <f>856.25+4253.69+6179.76</f>
        <v>11289.7</v>
      </c>
      <c r="N22" s="11">
        <v>50.98</v>
      </c>
      <c r="O22" s="11"/>
      <c r="P22" s="11">
        <v>0</v>
      </c>
      <c r="Q22" s="11">
        <v>88.84</v>
      </c>
      <c r="R22" s="11">
        <v>138.12</v>
      </c>
      <c r="S22" s="11">
        <v>182.93</v>
      </c>
      <c r="T22" s="11"/>
      <c r="U22" s="11">
        <v>462.96</v>
      </c>
      <c r="V22" s="33">
        <v>203.14</v>
      </c>
      <c r="W22" s="33">
        <v>34</v>
      </c>
      <c r="X22" s="11">
        <v>1645</v>
      </c>
      <c r="Y22" s="11">
        <v>450</v>
      </c>
      <c r="Z22" s="31">
        <f t="shared" si="25"/>
        <v>0.94000000000005457</v>
      </c>
      <c r="AA22" s="32">
        <f t="shared" si="11"/>
        <v>0</v>
      </c>
      <c r="AB22" s="32">
        <f t="shared" si="19"/>
        <v>50</v>
      </c>
      <c r="AC22" s="32">
        <v>0</v>
      </c>
      <c r="AD22" s="33">
        <f t="shared" si="26"/>
        <v>147</v>
      </c>
      <c r="AE22" s="33">
        <v>20</v>
      </c>
      <c r="AF22" s="33"/>
      <c r="AG22" s="33">
        <f t="shared" si="27"/>
        <v>-167</v>
      </c>
    </row>
    <row r="23" spans="1:37" s="35" customFormat="1" ht="18.75">
      <c r="A23" s="9">
        <v>45031</v>
      </c>
      <c r="B23" s="10" t="s">
        <v>21</v>
      </c>
      <c r="C23" s="11">
        <v>7798.25</v>
      </c>
      <c r="D23" s="11">
        <v>4958.2</v>
      </c>
      <c r="E23" s="11">
        <v>22</v>
      </c>
      <c r="F23" s="11">
        <v>82</v>
      </c>
      <c r="G23" s="11">
        <v>0</v>
      </c>
      <c r="H23" s="11">
        <v>0</v>
      </c>
      <c r="I23" s="11">
        <f t="shared" si="23"/>
        <v>12962.45</v>
      </c>
      <c r="J23" s="11">
        <v>2616.9899999999998</v>
      </c>
      <c r="K23" s="11">
        <v>0</v>
      </c>
      <c r="L23" s="11">
        <f t="shared" si="24"/>
        <v>10352.019999999999</v>
      </c>
      <c r="M23" s="11">
        <f>694.43+3352.8+5713.57</f>
        <v>9760.7999999999993</v>
      </c>
      <c r="N23" s="11">
        <v>62.69</v>
      </c>
      <c r="O23" s="11"/>
      <c r="P23" s="11">
        <v>93.96</v>
      </c>
      <c r="Q23" s="11">
        <v>18.91</v>
      </c>
      <c r="R23" s="11">
        <v>179.6</v>
      </c>
      <c r="S23" s="11">
        <v>236.06</v>
      </c>
      <c r="T23" s="11"/>
      <c r="U23" s="11">
        <v>0</v>
      </c>
      <c r="V23" s="33">
        <v>102</v>
      </c>
      <c r="W23" s="33">
        <v>25</v>
      </c>
      <c r="X23" s="11">
        <v>2489</v>
      </c>
      <c r="Y23" s="11">
        <v>450</v>
      </c>
      <c r="Z23" s="31">
        <f t="shared" si="25"/>
        <v>-0.98999999999978172</v>
      </c>
      <c r="AA23" s="32">
        <f t="shared" si="11"/>
        <v>6.5599999999976717</v>
      </c>
      <c r="AB23" s="32">
        <f t="shared" si="19"/>
        <v>0</v>
      </c>
      <c r="AC23" s="32">
        <v>0</v>
      </c>
      <c r="AD23" s="33">
        <f t="shared" si="26"/>
        <v>0</v>
      </c>
      <c r="AE23" s="33">
        <v>0</v>
      </c>
      <c r="AF23" s="33"/>
      <c r="AG23" s="33">
        <f t="shared" si="27"/>
        <v>0</v>
      </c>
    </row>
    <row r="24" spans="1:37" s="35" customFormat="1" ht="18.75">
      <c r="A24" s="9">
        <v>45032</v>
      </c>
      <c r="B24" s="10" t="s">
        <v>22</v>
      </c>
      <c r="C24" s="11">
        <v>8504.49</v>
      </c>
      <c r="D24" s="11">
        <v>3663.48</v>
      </c>
      <c r="E24" s="11">
        <v>0</v>
      </c>
      <c r="F24" s="11">
        <v>56</v>
      </c>
      <c r="G24" s="11">
        <v>106</v>
      </c>
      <c r="H24" s="11">
        <v>5</v>
      </c>
      <c r="I24" s="11">
        <f t="shared" si="23"/>
        <v>12389.97</v>
      </c>
      <c r="J24" s="11">
        <v>2420.35</v>
      </c>
      <c r="K24" s="11">
        <v>0</v>
      </c>
      <c r="L24" s="11">
        <f t="shared" si="24"/>
        <v>9953.619999999999</v>
      </c>
      <c r="M24" s="11">
        <f>989.73+3242.99+5323.79</f>
        <v>9556.5099999999984</v>
      </c>
      <c r="N24" s="11">
        <v>40.32</v>
      </c>
      <c r="O24" s="11"/>
      <c r="P24" s="11">
        <v>0</v>
      </c>
      <c r="Q24" s="11">
        <v>106.29</v>
      </c>
      <c r="R24" s="11">
        <v>250.5</v>
      </c>
      <c r="S24" s="11">
        <v>0</v>
      </c>
      <c r="T24" s="11"/>
      <c r="U24" s="11">
        <v>78.3</v>
      </c>
      <c r="V24" s="33">
        <v>55</v>
      </c>
      <c r="W24" s="33">
        <v>110</v>
      </c>
      <c r="X24" s="11">
        <v>2190</v>
      </c>
      <c r="Y24" s="11">
        <v>450</v>
      </c>
      <c r="Z24" s="31">
        <f t="shared" si="25"/>
        <v>12.950000000000273</v>
      </c>
      <c r="AA24" s="32">
        <f t="shared" si="11"/>
        <v>-10</v>
      </c>
      <c r="AB24" s="32">
        <f t="shared" si="19"/>
        <v>100</v>
      </c>
      <c r="AC24" s="32">
        <v>6</v>
      </c>
      <c r="AD24" s="33">
        <f t="shared" si="26"/>
        <v>5</v>
      </c>
      <c r="AE24" s="33">
        <v>0</v>
      </c>
      <c r="AF24" s="33"/>
      <c r="AG24" s="33">
        <f t="shared" si="27"/>
        <v>-5</v>
      </c>
    </row>
    <row r="25" spans="1:37" ht="37.5" customHeight="1">
      <c r="A25" s="65" t="s">
        <v>27</v>
      </c>
      <c r="B25" s="66"/>
      <c r="C25" s="27">
        <f>SUM(C18:C24)</f>
        <v>54975.72</v>
      </c>
      <c r="D25" s="27">
        <f t="shared" ref="D25:AG25" si="28">SUM(D18:D24)</f>
        <v>27493.27</v>
      </c>
      <c r="E25" s="27">
        <f t="shared" si="28"/>
        <v>40.5</v>
      </c>
      <c r="F25" s="27">
        <f t="shared" si="28"/>
        <v>423</v>
      </c>
      <c r="G25" s="27">
        <f t="shared" si="28"/>
        <v>538</v>
      </c>
      <c r="H25" s="27">
        <f t="shared" si="28"/>
        <v>696.06</v>
      </c>
      <c r="I25" s="27">
        <f t="shared" si="28"/>
        <v>84692.76</v>
      </c>
      <c r="J25" s="27">
        <f t="shared" si="28"/>
        <v>16370.7</v>
      </c>
      <c r="K25" s="27">
        <f t="shared" si="28"/>
        <v>0</v>
      </c>
      <c r="L25" s="27">
        <f t="shared" si="28"/>
        <v>67882.239999999991</v>
      </c>
      <c r="M25" s="27">
        <f t="shared" si="28"/>
        <v>63197.489999999991</v>
      </c>
      <c r="N25" s="27">
        <f t="shared" si="28"/>
        <v>221.51</v>
      </c>
      <c r="O25" s="27"/>
      <c r="P25" s="27">
        <f t="shared" si="28"/>
        <v>188.81</v>
      </c>
      <c r="Q25" s="27">
        <f t="shared" si="28"/>
        <v>804.91</v>
      </c>
      <c r="R25" s="27">
        <f t="shared" si="28"/>
        <v>2469.5299999999997</v>
      </c>
      <c r="S25" s="27">
        <f t="shared" si="28"/>
        <v>999.99</v>
      </c>
      <c r="T25" s="27"/>
      <c r="U25" s="27">
        <f t="shared" si="28"/>
        <v>727.3599999999999</v>
      </c>
      <c r="V25" s="27">
        <f t="shared" si="28"/>
        <v>526.21</v>
      </c>
      <c r="W25" s="27">
        <f t="shared" si="28"/>
        <v>345</v>
      </c>
      <c r="X25" s="27">
        <f t="shared" si="28"/>
        <v>14745</v>
      </c>
      <c r="Y25" s="27">
        <f t="shared" si="28"/>
        <v>3150</v>
      </c>
      <c r="Z25" s="27">
        <f t="shared" si="28"/>
        <v>-27.1299999999992</v>
      </c>
      <c r="AA25" s="27">
        <f t="shared" si="28"/>
        <v>28.550000000001091</v>
      </c>
      <c r="AB25" s="27">
        <f t="shared" si="28"/>
        <v>452</v>
      </c>
      <c r="AC25" s="27">
        <f t="shared" si="28"/>
        <v>86</v>
      </c>
      <c r="AD25" s="27">
        <f t="shared" si="28"/>
        <v>313.69</v>
      </c>
      <c r="AE25" s="27">
        <f t="shared" si="28"/>
        <v>382.37</v>
      </c>
      <c r="AF25" s="27">
        <f t="shared" si="28"/>
        <v>0</v>
      </c>
      <c r="AG25" s="27">
        <f t="shared" si="28"/>
        <v>-696.06</v>
      </c>
    </row>
    <row r="26" spans="1:37" ht="20.25" customHeight="1">
      <c r="A26" s="9">
        <v>45033</v>
      </c>
      <c r="B26" s="10" t="s">
        <v>23</v>
      </c>
      <c r="C26" s="11">
        <f>8217.87+100</f>
        <v>8317.8700000000008</v>
      </c>
      <c r="D26" s="11">
        <v>3694.26</v>
      </c>
      <c r="E26" s="11">
        <v>7</v>
      </c>
      <c r="F26" s="11">
        <v>60</v>
      </c>
      <c r="G26" s="11">
        <v>50</v>
      </c>
      <c r="H26" s="11">
        <v>150</v>
      </c>
      <c r="I26" s="11">
        <f t="shared" ref="I26:I32" si="29">SUM(C26:H26,V26)</f>
        <v>12299.130000000001</v>
      </c>
      <c r="J26" s="11">
        <v>2268.52</v>
      </c>
      <c r="K26" s="11">
        <v>0</v>
      </c>
      <c r="L26" s="11">
        <f>SUM(M26:S26)</f>
        <v>9840.6100000000024</v>
      </c>
      <c r="M26" s="11">
        <f>487.66+2742.53+5502.27</f>
        <v>8732.4600000000009</v>
      </c>
      <c r="N26" s="11">
        <v>57.6</v>
      </c>
      <c r="O26" s="11"/>
      <c r="P26" s="11">
        <v>0</v>
      </c>
      <c r="Q26" s="11">
        <v>74.87</v>
      </c>
      <c r="R26" s="11">
        <v>529</v>
      </c>
      <c r="S26" s="11">
        <v>446.68</v>
      </c>
      <c r="T26" s="11"/>
      <c r="U26" s="11">
        <v>0</v>
      </c>
      <c r="V26" s="33">
        <v>20</v>
      </c>
      <c r="W26" s="33">
        <v>36</v>
      </c>
      <c r="X26" s="11">
        <v>2215</v>
      </c>
      <c r="Y26" s="11">
        <v>450</v>
      </c>
      <c r="Z26" s="31">
        <f t="shared" ref="Z26:Z32" si="30">SUM(U26,V26,W26,X26)-J26</f>
        <v>2.4800000000000182</v>
      </c>
      <c r="AA26" s="32">
        <f t="shared" si="11"/>
        <v>-99.999999999998181</v>
      </c>
      <c r="AB26" s="32">
        <f t="shared" si="19"/>
        <v>50</v>
      </c>
      <c r="AC26" s="32">
        <v>0</v>
      </c>
      <c r="AD26" s="33">
        <f t="shared" ref="AD26" si="31">SUM(H26-AE26)</f>
        <v>60</v>
      </c>
      <c r="AE26" s="33">
        <v>90</v>
      </c>
      <c r="AF26" s="33"/>
      <c r="AG26" s="33">
        <f>SUM(AF26-H26)</f>
        <v>-150</v>
      </c>
    </row>
    <row r="27" spans="1:37" ht="20.25" customHeight="1">
      <c r="A27" s="9">
        <v>45034</v>
      </c>
      <c r="B27" s="10" t="s">
        <v>24</v>
      </c>
      <c r="C27" s="11">
        <v>8935.31</v>
      </c>
      <c r="D27" s="11">
        <v>3476.79</v>
      </c>
      <c r="E27" s="11">
        <v>23.5</v>
      </c>
      <c r="F27" s="11">
        <v>65</v>
      </c>
      <c r="G27" s="11">
        <v>0</v>
      </c>
      <c r="H27" s="11">
        <v>140</v>
      </c>
      <c r="I27" s="11">
        <f t="shared" si="29"/>
        <v>12785.599999999999</v>
      </c>
      <c r="J27" s="11">
        <v>2967.69</v>
      </c>
      <c r="K27" s="11">
        <v>0</v>
      </c>
      <c r="L27" s="11">
        <f t="shared" ref="L27:L32" si="32">SUM(M27:S27)</f>
        <v>9725.91</v>
      </c>
      <c r="M27" s="11">
        <f>672.29+2824.82+5446.12</f>
        <v>8943.23</v>
      </c>
      <c r="N27" s="11">
        <v>0</v>
      </c>
      <c r="O27" s="11"/>
      <c r="P27" s="11">
        <v>0</v>
      </c>
      <c r="Q27" s="11">
        <v>0</v>
      </c>
      <c r="R27" s="11">
        <v>427.79</v>
      </c>
      <c r="S27" s="11">
        <v>354.89</v>
      </c>
      <c r="T27" s="11"/>
      <c r="U27" s="11">
        <v>0</v>
      </c>
      <c r="V27" s="33">
        <v>145</v>
      </c>
      <c r="W27" s="33">
        <v>39</v>
      </c>
      <c r="X27" s="11">
        <v>2770.74</v>
      </c>
      <c r="Y27" s="11">
        <v>450</v>
      </c>
      <c r="Z27" s="31">
        <f t="shared" si="30"/>
        <v>-12.950000000000273</v>
      </c>
      <c r="AA27" s="32">
        <f t="shared" si="11"/>
        <v>-1.999999999998181</v>
      </c>
      <c r="AB27" s="32">
        <f t="shared" si="19"/>
        <v>0</v>
      </c>
      <c r="AC27" s="32">
        <v>0</v>
      </c>
      <c r="AD27" s="33">
        <f t="shared" ref="AD27:AD32" si="33">SUM(H27-AE27)</f>
        <v>50</v>
      </c>
      <c r="AE27" s="33">
        <v>90</v>
      </c>
      <c r="AF27" s="33"/>
      <c r="AG27" s="33">
        <f t="shared" ref="AG27:AG32" si="34">SUM(AF27-H27)</f>
        <v>-140</v>
      </c>
      <c r="AK27" t="s">
        <v>106</v>
      </c>
    </row>
    <row r="28" spans="1:37" ht="20.25" customHeight="1">
      <c r="A28" s="9">
        <v>45035</v>
      </c>
      <c r="B28" s="10" t="s">
        <v>25</v>
      </c>
      <c r="C28" s="11">
        <v>9027.31</v>
      </c>
      <c r="D28" s="11">
        <v>3845.68</v>
      </c>
      <c r="E28" s="11">
        <v>17</v>
      </c>
      <c r="F28" s="11">
        <v>100</v>
      </c>
      <c r="G28" s="11">
        <v>106</v>
      </c>
      <c r="H28" s="11">
        <v>85</v>
      </c>
      <c r="I28" s="11">
        <f>SUM(C28:H28,V28)</f>
        <v>13250.99</v>
      </c>
      <c r="J28" s="11">
        <v>3189.59</v>
      </c>
      <c r="K28" s="11">
        <v>0</v>
      </c>
      <c r="L28" s="11">
        <f t="shared" si="32"/>
        <v>10071.4</v>
      </c>
      <c r="M28" s="11">
        <f>785.66+3386.52+4712.5</f>
        <v>8884.68</v>
      </c>
      <c r="N28" s="11">
        <v>0</v>
      </c>
      <c r="O28" s="11"/>
      <c r="P28" s="11">
        <v>195.26</v>
      </c>
      <c r="Q28" s="11">
        <v>226.66</v>
      </c>
      <c r="R28" s="11">
        <v>570.91999999999996</v>
      </c>
      <c r="S28" s="11">
        <v>193.88</v>
      </c>
      <c r="T28" s="11"/>
      <c r="U28" s="11">
        <v>0</v>
      </c>
      <c r="V28" s="33">
        <v>70</v>
      </c>
      <c r="W28" s="33">
        <v>108</v>
      </c>
      <c r="X28" s="11">
        <v>2992</v>
      </c>
      <c r="Y28" s="11">
        <v>450</v>
      </c>
      <c r="Z28" s="31">
        <f t="shared" si="30"/>
        <v>-19.590000000000146</v>
      </c>
      <c r="AA28" s="32">
        <f t="shared" si="11"/>
        <v>10</v>
      </c>
      <c r="AB28" s="32">
        <f t="shared" si="19"/>
        <v>106</v>
      </c>
      <c r="AC28" s="32">
        <v>0</v>
      </c>
      <c r="AD28" s="33">
        <f t="shared" si="33"/>
        <v>85</v>
      </c>
      <c r="AE28" s="33">
        <v>0</v>
      </c>
      <c r="AF28" s="33"/>
      <c r="AG28" s="33">
        <f t="shared" si="34"/>
        <v>-85</v>
      </c>
    </row>
    <row r="29" spans="1:37" ht="20.25" customHeight="1">
      <c r="A29" s="9">
        <v>45036</v>
      </c>
      <c r="B29" s="10" t="s">
        <v>26</v>
      </c>
      <c r="C29" s="11">
        <v>9694.15</v>
      </c>
      <c r="D29" s="11">
        <v>4066.36</v>
      </c>
      <c r="E29" s="11">
        <v>21</v>
      </c>
      <c r="F29" s="11">
        <v>62</v>
      </c>
      <c r="G29" s="11">
        <v>20</v>
      </c>
      <c r="H29" s="11">
        <v>41.2</v>
      </c>
      <c r="I29" s="11">
        <f t="shared" si="29"/>
        <v>13970.710000000001</v>
      </c>
      <c r="J29" s="11">
        <v>2463.2399999999998</v>
      </c>
      <c r="K29" s="11">
        <v>0</v>
      </c>
      <c r="L29" s="11">
        <f t="shared" si="32"/>
        <v>11496.270000000002</v>
      </c>
      <c r="M29" s="11">
        <f>980.54+3041.03+6242.22</f>
        <v>10263.790000000001</v>
      </c>
      <c r="N29" s="11">
        <v>54.7</v>
      </c>
      <c r="O29" s="11"/>
      <c r="P29" s="11">
        <v>0</v>
      </c>
      <c r="Q29" s="11">
        <v>240.68</v>
      </c>
      <c r="R29" s="11">
        <v>848.87</v>
      </c>
      <c r="S29" s="11">
        <v>88.23</v>
      </c>
      <c r="T29" s="11"/>
      <c r="U29" s="11">
        <v>621.72</v>
      </c>
      <c r="V29" s="33">
        <v>66</v>
      </c>
      <c r="W29" s="33">
        <v>30.9</v>
      </c>
      <c r="X29" s="11">
        <v>1722</v>
      </c>
      <c r="Y29" s="11">
        <v>450</v>
      </c>
      <c r="Z29" s="31">
        <f t="shared" si="30"/>
        <v>-22.619999999999891</v>
      </c>
      <c r="AA29" s="32">
        <f t="shared" si="11"/>
        <v>8.8000000000010914</v>
      </c>
      <c r="AB29" s="32">
        <f t="shared" si="19"/>
        <v>20</v>
      </c>
      <c r="AC29" s="32">
        <v>0</v>
      </c>
      <c r="AD29" s="33">
        <f t="shared" si="33"/>
        <v>21.200000000000003</v>
      </c>
      <c r="AE29" s="33">
        <v>20</v>
      </c>
      <c r="AF29" s="33"/>
      <c r="AG29" s="33">
        <f t="shared" si="34"/>
        <v>-41.2</v>
      </c>
    </row>
    <row r="30" spans="1:37" ht="20.25" customHeight="1">
      <c r="A30" s="9">
        <v>45037</v>
      </c>
      <c r="B30" s="10" t="s">
        <v>20</v>
      </c>
      <c r="C30" s="11">
        <v>9238.69</v>
      </c>
      <c r="D30" s="11">
        <v>4691.5200000000004</v>
      </c>
      <c r="E30" s="11">
        <v>66.5</v>
      </c>
      <c r="F30" s="11">
        <v>127</v>
      </c>
      <c r="G30" s="11">
        <v>15</v>
      </c>
      <c r="H30" s="11">
        <v>72</v>
      </c>
      <c r="I30" s="11">
        <f t="shared" si="29"/>
        <v>14280.720000000001</v>
      </c>
      <c r="J30" s="11">
        <v>3191.6</v>
      </c>
      <c r="K30" s="11">
        <v>0</v>
      </c>
      <c r="L30" s="11">
        <f t="shared" si="32"/>
        <v>11048.12</v>
      </c>
      <c r="M30" s="11">
        <f>878.9+3069.01+6256.45</f>
        <v>10204.36</v>
      </c>
      <c r="N30" s="11">
        <v>31.94</v>
      </c>
      <c r="O30" s="11"/>
      <c r="P30" s="11">
        <v>0</v>
      </c>
      <c r="Q30" s="11">
        <v>185.51</v>
      </c>
      <c r="R30" s="11">
        <v>456.4</v>
      </c>
      <c r="S30" s="11">
        <v>169.91</v>
      </c>
      <c r="T30" s="11"/>
      <c r="U30" s="11">
        <v>0</v>
      </c>
      <c r="V30" s="33">
        <v>70.010000000000005</v>
      </c>
      <c r="W30" s="33">
        <v>84</v>
      </c>
      <c r="X30" s="11">
        <v>3045</v>
      </c>
      <c r="Y30" s="11">
        <v>450</v>
      </c>
      <c r="Z30" s="31">
        <f t="shared" si="30"/>
        <v>7.4100000000003092</v>
      </c>
      <c r="AA30" s="32">
        <f t="shared" si="11"/>
        <v>-6</v>
      </c>
      <c r="AB30" s="32">
        <f t="shared" si="19"/>
        <v>0</v>
      </c>
      <c r="AC30" s="32">
        <v>15</v>
      </c>
      <c r="AD30" s="33">
        <f t="shared" si="33"/>
        <v>52</v>
      </c>
      <c r="AE30" s="33">
        <v>20</v>
      </c>
      <c r="AF30" s="33"/>
      <c r="AG30" s="33">
        <f t="shared" si="34"/>
        <v>-72</v>
      </c>
    </row>
    <row r="31" spans="1:37" ht="20.25" customHeight="1">
      <c r="A31" s="9">
        <v>45038</v>
      </c>
      <c r="B31" s="10" t="s">
        <v>21</v>
      </c>
      <c r="C31" s="11">
        <v>9859.61</v>
      </c>
      <c r="D31" s="11">
        <v>4815.6899999999996</v>
      </c>
      <c r="E31" s="11">
        <v>5.5</v>
      </c>
      <c r="F31" s="11">
        <v>147</v>
      </c>
      <c r="G31" s="11">
        <v>0</v>
      </c>
      <c r="H31" s="11">
        <v>25</v>
      </c>
      <c r="I31" s="11">
        <f t="shared" si="29"/>
        <v>14867.39</v>
      </c>
      <c r="J31" s="11">
        <v>2521.34</v>
      </c>
      <c r="K31" s="11">
        <v>0</v>
      </c>
      <c r="L31" s="11">
        <f t="shared" si="32"/>
        <v>12317.05</v>
      </c>
      <c r="M31" s="11">
        <f>13.49+801.38+3746.55+6621.54</f>
        <v>11182.96</v>
      </c>
      <c r="N31" s="11">
        <v>149.78</v>
      </c>
      <c r="O31" s="11"/>
      <c r="P31" s="11">
        <v>0</v>
      </c>
      <c r="Q31" s="11">
        <v>299.45999999999998</v>
      </c>
      <c r="R31" s="11">
        <v>490.9</v>
      </c>
      <c r="S31" s="11">
        <v>193.95</v>
      </c>
      <c r="T31" s="11"/>
      <c r="U31" s="11">
        <v>0</v>
      </c>
      <c r="V31" s="33">
        <v>14.59</v>
      </c>
      <c r="W31" s="33">
        <v>142</v>
      </c>
      <c r="X31" s="11">
        <v>2371</v>
      </c>
      <c r="Y31" s="11">
        <v>450</v>
      </c>
      <c r="Z31" s="31">
        <f t="shared" si="30"/>
        <v>6.25</v>
      </c>
      <c r="AA31" s="32">
        <f t="shared" si="11"/>
        <v>-4</v>
      </c>
      <c r="AB31" s="32">
        <f t="shared" si="19"/>
        <v>0</v>
      </c>
      <c r="AC31" s="32">
        <v>0</v>
      </c>
      <c r="AD31" s="33">
        <f t="shared" si="33"/>
        <v>0</v>
      </c>
      <c r="AE31" s="33">
        <v>25</v>
      </c>
      <c r="AF31" s="33"/>
      <c r="AG31" s="33">
        <f t="shared" si="34"/>
        <v>-25</v>
      </c>
    </row>
    <row r="32" spans="1:37" ht="20.25" customHeight="1">
      <c r="A32" s="9">
        <v>45039</v>
      </c>
      <c r="B32" s="10" t="s">
        <v>22</v>
      </c>
      <c r="C32" s="11">
        <f>6018.2+46</f>
        <v>6064.2</v>
      </c>
      <c r="D32" s="11">
        <v>3574.55</v>
      </c>
      <c r="E32" s="11">
        <v>0</v>
      </c>
      <c r="F32" s="11">
        <v>27</v>
      </c>
      <c r="G32" s="11">
        <v>111</v>
      </c>
      <c r="H32" s="11">
        <v>145</v>
      </c>
      <c r="I32" s="11">
        <f t="shared" si="29"/>
        <v>9924.75</v>
      </c>
      <c r="J32" s="11">
        <v>1795.58</v>
      </c>
      <c r="K32" s="11">
        <v>0</v>
      </c>
      <c r="L32" s="11">
        <f t="shared" si="32"/>
        <v>7942.2200000000012</v>
      </c>
      <c r="M32" s="11">
        <f>117.67+422.43+2341.78+4574.47</f>
        <v>7456.35</v>
      </c>
      <c r="N32" s="11">
        <v>0</v>
      </c>
      <c r="O32" s="11"/>
      <c r="P32" s="11">
        <v>0</v>
      </c>
      <c r="Q32" s="11">
        <v>0</v>
      </c>
      <c r="R32" s="11">
        <v>155.38999999999999</v>
      </c>
      <c r="S32" s="11">
        <v>330.48</v>
      </c>
      <c r="T32" s="11"/>
      <c r="U32" s="11">
        <v>95.78</v>
      </c>
      <c r="V32" s="33">
        <v>3</v>
      </c>
      <c r="W32" s="33">
        <v>15</v>
      </c>
      <c r="X32" s="11">
        <v>1693</v>
      </c>
      <c r="Y32" s="11">
        <v>450</v>
      </c>
      <c r="Z32" s="31">
        <f t="shared" si="30"/>
        <v>11.200000000000045</v>
      </c>
      <c r="AA32" s="32">
        <f t="shared" si="11"/>
        <v>-55.949999999998909</v>
      </c>
      <c r="AB32" s="32">
        <f t="shared" si="19"/>
        <v>0</v>
      </c>
      <c r="AC32" s="32">
        <v>111</v>
      </c>
      <c r="AD32" s="33">
        <f t="shared" si="33"/>
        <v>125</v>
      </c>
      <c r="AE32" s="33">
        <v>20</v>
      </c>
      <c r="AF32" s="33">
        <v>2410</v>
      </c>
      <c r="AG32" s="33">
        <f t="shared" si="34"/>
        <v>2265</v>
      </c>
    </row>
    <row r="33" spans="1:33" ht="37.5" customHeight="1">
      <c r="A33" s="65" t="s">
        <v>27</v>
      </c>
      <c r="B33" s="66"/>
      <c r="C33" s="27">
        <f t="shared" ref="C33:AG33" si="35">SUM(C26:C32)</f>
        <v>61137.14</v>
      </c>
      <c r="D33" s="27">
        <f t="shared" si="35"/>
        <v>28164.85</v>
      </c>
      <c r="E33" s="27">
        <f t="shared" si="35"/>
        <v>140.5</v>
      </c>
      <c r="F33" s="27">
        <f t="shared" si="35"/>
        <v>588</v>
      </c>
      <c r="G33" s="27">
        <f t="shared" si="35"/>
        <v>302</v>
      </c>
      <c r="H33" s="27">
        <f t="shared" si="35"/>
        <v>658.2</v>
      </c>
      <c r="I33" s="27">
        <f t="shared" si="35"/>
        <v>91379.29</v>
      </c>
      <c r="J33" s="27">
        <f t="shared" si="35"/>
        <v>18397.559999999998</v>
      </c>
      <c r="K33" s="27">
        <f t="shared" si="35"/>
        <v>0</v>
      </c>
      <c r="L33" s="27">
        <f t="shared" si="35"/>
        <v>72441.580000000016</v>
      </c>
      <c r="M33" s="27">
        <f t="shared" si="35"/>
        <v>65667.83</v>
      </c>
      <c r="N33" s="27">
        <f t="shared" si="35"/>
        <v>294.02</v>
      </c>
      <c r="O33" s="27"/>
      <c r="P33" s="27">
        <f t="shared" si="35"/>
        <v>195.26</v>
      </c>
      <c r="Q33" s="27">
        <f t="shared" si="35"/>
        <v>1027.18</v>
      </c>
      <c r="R33" s="27">
        <f t="shared" si="35"/>
        <v>3479.27</v>
      </c>
      <c r="S33" s="27">
        <f t="shared" si="35"/>
        <v>1778.02</v>
      </c>
      <c r="T33" s="27"/>
      <c r="U33" s="27">
        <f t="shared" si="35"/>
        <v>717.5</v>
      </c>
      <c r="V33" s="27">
        <f t="shared" si="35"/>
        <v>388.59999999999997</v>
      </c>
      <c r="W33" s="27">
        <f t="shared" si="35"/>
        <v>454.9</v>
      </c>
      <c r="X33" s="27">
        <f t="shared" si="35"/>
        <v>16808.739999999998</v>
      </c>
      <c r="Y33" s="27">
        <f t="shared" si="35"/>
        <v>3150</v>
      </c>
      <c r="Z33" s="27">
        <f t="shared" si="35"/>
        <v>-27.819999999999936</v>
      </c>
      <c r="AA33" s="27">
        <f t="shared" si="35"/>
        <v>-149.14999999999418</v>
      </c>
      <c r="AB33" s="27">
        <f t="shared" si="35"/>
        <v>176</v>
      </c>
      <c r="AC33" s="27">
        <f t="shared" si="35"/>
        <v>126</v>
      </c>
      <c r="AD33" s="27">
        <f t="shared" si="35"/>
        <v>393.2</v>
      </c>
      <c r="AE33" s="27">
        <f t="shared" si="35"/>
        <v>265</v>
      </c>
      <c r="AF33" s="27">
        <f t="shared" si="35"/>
        <v>2410</v>
      </c>
      <c r="AG33" s="27">
        <f t="shared" si="35"/>
        <v>1751.8</v>
      </c>
    </row>
    <row r="34" spans="1:33" ht="20.25" customHeight="1">
      <c r="A34" s="9">
        <v>45040</v>
      </c>
      <c r="B34" s="10" t="s">
        <v>23</v>
      </c>
      <c r="C34" s="11">
        <v>8413.77</v>
      </c>
      <c r="D34" s="11">
        <v>3824.19</v>
      </c>
      <c r="E34" s="11">
        <v>51</v>
      </c>
      <c r="F34" s="11">
        <v>133</v>
      </c>
      <c r="G34" s="11">
        <v>90</v>
      </c>
      <c r="H34" s="11">
        <v>254</v>
      </c>
      <c r="I34" s="11">
        <f t="shared" ref="I34:I40" si="36">SUM(C34:H34,V34)</f>
        <v>12765.960000000001</v>
      </c>
      <c r="J34" s="11">
        <v>2783.17</v>
      </c>
      <c r="K34" s="11">
        <v>0</v>
      </c>
      <c r="L34" s="11">
        <f>SUM(M34:T34)</f>
        <v>9673.7899999999991</v>
      </c>
      <c r="M34" s="11">
        <f>783.33+2631.72+5696.87</f>
        <v>9111.92</v>
      </c>
      <c r="N34" s="11">
        <v>5.79</v>
      </c>
      <c r="O34" s="11"/>
      <c r="P34" s="11">
        <v>0</v>
      </c>
      <c r="Q34" s="11">
        <v>49.15</v>
      </c>
      <c r="R34" s="11">
        <v>293.70999999999998</v>
      </c>
      <c r="S34" s="11">
        <v>195.34</v>
      </c>
      <c r="T34" s="11">
        <v>17.88</v>
      </c>
      <c r="U34" s="11">
        <v>150.72</v>
      </c>
      <c r="V34" s="33">
        <v>0</v>
      </c>
      <c r="W34" s="33">
        <v>106</v>
      </c>
      <c r="X34" s="11">
        <v>2567</v>
      </c>
      <c r="Y34" s="11">
        <v>450</v>
      </c>
      <c r="Z34" s="31">
        <f t="shared" ref="Z34:Z40" si="37">SUM(U34,V34,W34,X34)-J34</f>
        <v>40.550000000000182</v>
      </c>
      <c r="AA34" s="32">
        <f t="shared" ref="AA34:AA40" si="38">SUM(J34+K34+L34+AE34+AC34)-(I34)</f>
        <v>-269.00000000000182</v>
      </c>
      <c r="AB34" s="32">
        <f t="shared" ref="AB34:AB40" si="39">SUM(G34-AC34)</f>
        <v>50</v>
      </c>
      <c r="AC34" s="32">
        <v>40</v>
      </c>
      <c r="AD34" s="33">
        <f t="shared" ref="AD34:AD40" si="40">SUM(H34-AE34)</f>
        <v>254</v>
      </c>
      <c r="AE34" s="33">
        <v>0</v>
      </c>
      <c r="AF34" s="33"/>
      <c r="AG34" s="33">
        <f t="shared" ref="AG34:AG40" si="41">SUM(AF34-H34)</f>
        <v>-254</v>
      </c>
    </row>
    <row r="35" spans="1:33" ht="20.25" customHeight="1">
      <c r="A35" s="9">
        <v>45041</v>
      </c>
      <c r="B35" s="10" t="s">
        <v>24</v>
      </c>
      <c r="C35" s="11">
        <f>8723.1+97.24</f>
        <v>8820.34</v>
      </c>
      <c r="D35" s="11">
        <v>3587.25</v>
      </c>
      <c r="E35" s="11">
        <v>22</v>
      </c>
      <c r="F35" s="11">
        <v>112</v>
      </c>
      <c r="G35" s="11">
        <v>185</v>
      </c>
      <c r="H35" s="11">
        <v>135.19999999999999</v>
      </c>
      <c r="I35" s="11">
        <f t="shared" si="36"/>
        <v>12862.79</v>
      </c>
      <c r="J35" s="11">
        <v>2139.33</v>
      </c>
      <c r="K35" s="11">
        <v>0</v>
      </c>
      <c r="L35" s="11">
        <f>SUM(M35:T35)</f>
        <v>10416.02</v>
      </c>
      <c r="M35" s="11">
        <f>52.8+632.66+2814.67+5631.78</f>
        <v>9131.91</v>
      </c>
      <c r="N35" s="50">
        <v>91.7</v>
      </c>
      <c r="O35" s="50">
        <v>60.55</v>
      </c>
      <c r="P35" s="50">
        <v>0</v>
      </c>
      <c r="Q35" s="11">
        <v>150.16999999999999</v>
      </c>
      <c r="R35" s="11">
        <v>516.82000000000005</v>
      </c>
      <c r="S35" s="11">
        <v>355.1</v>
      </c>
      <c r="T35" s="11">
        <v>109.77</v>
      </c>
      <c r="U35" s="11">
        <v>0</v>
      </c>
      <c r="V35" s="33">
        <v>1</v>
      </c>
      <c r="W35" s="33">
        <v>88</v>
      </c>
      <c r="X35" s="11">
        <v>1942</v>
      </c>
      <c r="Y35" s="11">
        <v>450</v>
      </c>
      <c r="Z35" s="31">
        <f t="shared" si="37"/>
        <v>-108.32999999999993</v>
      </c>
      <c r="AA35" s="32">
        <f t="shared" si="38"/>
        <v>-117.23999999999978</v>
      </c>
      <c r="AB35" s="32">
        <f t="shared" si="39"/>
        <v>130</v>
      </c>
      <c r="AC35" s="32">
        <v>55</v>
      </c>
      <c r="AD35" s="33">
        <f t="shared" si="40"/>
        <v>0</v>
      </c>
      <c r="AE35" s="33">
        <v>135.19999999999999</v>
      </c>
      <c r="AF35" s="33"/>
      <c r="AG35" s="33">
        <f t="shared" si="41"/>
        <v>-135.19999999999999</v>
      </c>
    </row>
    <row r="36" spans="1:33" ht="20.25" customHeight="1">
      <c r="A36" s="9">
        <v>45042</v>
      </c>
      <c r="B36" s="10" t="s">
        <v>25</v>
      </c>
      <c r="C36" s="11">
        <v>9601.2199999999993</v>
      </c>
      <c r="D36" s="11">
        <v>3555.69</v>
      </c>
      <c r="E36" s="11">
        <v>8</v>
      </c>
      <c r="F36" s="11">
        <v>50</v>
      </c>
      <c r="G36" s="11">
        <v>30</v>
      </c>
      <c r="H36" s="11">
        <v>10</v>
      </c>
      <c r="I36" s="11">
        <f t="shared" si="36"/>
        <v>13254.91</v>
      </c>
      <c r="J36" s="11">
        <v>2787.34</v>
      </c>
      <c r="K36" s="11">
        <v>0</v>
      </c>
      <c r="L36" s="11">
        <f t="shared" ref="L36:L40" si="42">SUM(M36:T36)</f>
        <v>10467.57</v>
      </c>
      <c r="M36" s="11">
        <f>552.06+2841.83+6268.68</f>
        <v>9662.57</v>
      </c>
      <c r="N36" s="11">
        <v>60.09</v>
      </c>
      <c r="O36" s="11">
        <v>0</v>
      </c>
      <c r="P36" s="11">
        <v>0</v>
      </c>
      <c r="Q36" s="11">
        <v>298.61</v>
      </c>
      <c r="R36" s="11">
        <v>327.07</v>
      </c>
      <c r="S36" s="11">
        <v>0</v>
      </c>
      <c r="T36" s="11">
        <v>119.23</v>
      </c>
      <c r="U36" s="11">
        <v>0</v>
      </c>
      <c r="V36" s="33">
        <v>0</v>
      </c>
      <c r="W36" s="33">
        <v>54</v>
      </c>
      <c r="X36" s="11">
        <v>2858</v>
      </c>
      <c r="Y36" s="11">
        <v>450</v>
      </c>
      <c r="Z36" s="31">
        <f t="shared" si="37"/>
        <v>124.65999999999985</v>
      </c>
      <c r="AA36" s="32">
        <f t="shared" si="38"/>
        <v>0</v>
      </c>
      <c r="AB36" s="32">
        <f t="shared" si="39"/>
        <v>30</v>
      </c>
      <c r="AC36" s="32">
        <v>0</v>
      </c>
      <c r="AD36" s="33">
        <f t="shared" si="40"/>
        <v>10</v>
      </c>
      <c r="AE36" s="33">
        <v>0</v>
      </c>
      <c r="AF36" s="33"/>
      <c r="AG36" s="33">
        <f t="shared" si="41"/>
        <v>-10</v>
      </c>
    </row>
    <row r="37" spans="1:33" ht="20.25" customHeight="1">
      <c r="A37" s="9">
        <v>45043</v>
      </c>
      <c r="B37" s="10" t="s">
        <v>26</v>
      </c>
      <c r="C37" s="11">
        <v>9484.34</v>
      </c>
      <c r="D37" s="11">
        <v>4229.04</v>
      </c>
      <c r="E37" s="11">
        <v>7.5</v>
      </c>
      <c r="F37" s="11">
        <v>58</v>
      </c>
      <c r="G37" s="11">
        <v>30</v>
      </c>
      <c r="H37" s="11">
        <v>560</v>
      </c>
      <c r="I37" s="11">
        <f t="shared" si="36"/>
        <v>14408.880000000001</v>
      </c>
      <c r="J37" s="11">
        <v>2179.85</v>
      </c>
      <c r="K37" s="11">
        <v>0</v>
      </c>
      <c r="L37" s="11">
        <f t="shared" si="42"/>
        <v>11731.03</v>
      </c>
      <c r="M37" s="11">
        <f>916.86+3029.58+6705.41</f>
        <v>10651.85</v>
      </c>
      <c r="N37" s="11">
        <v>96.73</v>
      </c>
      <c r="O37" s="11">
        <v>0</v>
      </c>
      <c r="P37" s="11">
        <v>0</v>
      </c>
      <c r="Q37" s="11">
        <v>291.75</v>
      </c>
      <c r="R37" s="11">
        <v>472.37</v>
      </c>
      <c r="S37" s="11">
        <v>172.84</v>
      </c>
      <c r="T37" s="11">
        <v>45.49</v>
      </c>
      <c r="U37" s="11">
        <v>0</v>
      </c>
      <c r="V37" s="33">
        <v>40</v>
      </c>
      <c r="W37" s="33">
        <v>33</v>
      </c>
      <c r="X37" s="11">
        <f>762+1350</f>
        <v>2112</v>
      </c>
      <c r="Y37" s="11">
        <v>450</v>
      </c>
      <c r="Z37" s="31">
        <f t="shared" si="37"/>
        <v>5.1500000000000909</v>
      </c>
      <c r="AA37" s="32">
        <f t="shared" si="38"/>
        <v>-3</v>
      </c>
      <c r="AB37" s="32">
        <f t="shared" si="39"/>
        <v>10</v>
      </c>
      <c r="AC37" s="32">
        <v>20</v>
      </c>
      <c r="AD37" s="33">
        <f t="shared" si="40"/>
        <v>85</v>
      </c>
      <c r="AE37" s="33">
        <v>475</v>
      </c>
      <c r="AF37" s="33"/>
      <c r="AG37" s="33">
        <f t="shared" si="41"/>
        <v>-560</v>
      </c>
    </row>
    <row r="38" spans="1:33" ht="20.25" customHeight="1">
      <c r="A38" s="9">
        <v>45044</v>
      </c>
      <c r="B38" s="10" t="s">
        <v>20</v>
      </c>
      <c r="C38" s="11">
        <f>12403.65+52.89</f>
        <v>12456.539999999999</v>
      </c>
      <c r="D38" s="11">
        <v>5415.8</v>
      </c>
      <c r="E38" s="11">
        <v>37.5</v>
      </c>
      <c r="F38" s="11">
        <v>143</v>
      </c>
      <c r="G38" s="11">
        <v>55</v>
      </c>
      <c r="H38" s="11">
        <v>297.72000000000003</v>
      </c>
      <c r="I38" s="11">
        <f t="shared" si="36"/>
        <v>18431.560000000001</v>
      </c>
      <c r="J38" s="11">
        <v>2948.36</v>
      </c>
      <c r="K38" s="11">
        <v>0</v>
      </c>
      <c r="L38" s="11">
        <f t="shared" si="42"/>
        <v>15112.590000000002</v>
      </c>
      <c r="M38" s="11">
        <f>7956.72+4672.22+844.86</f>
        <v>13473.800000000001</v>
      </c>
      <c r="N38" s="11">
        <v>0</v>
      </c>
      <c r="O38" s="11">
        <v>0</v>
      </c>
      <c r="P38" s="11">
        <v>185.01</v>
      </c>
      <c r="Q38" s="11">
        <v>195.91</v>
      </c>
      <c r="R38" s="11">
        <v>564.30999999999995</v>
      </c>
      <c r="S38" s="11">
        <v>457.36</v>
      </c>
      <c r="T38" s="11">
        <v>236.2</v>
      </c>
      <c r="U38" s="11">
        <f>547+514.8</f>
        <v>1061.8</v>
      </c>
      <c r="V38" s="33">
        <v>26</v>
      </c>
      <c r="W38" s="33">
        <v>65</v>
      </c>
      <c r="X38" s="11">
        <v>1810</v>
      </c>
      <c r="Y38" s="11">
        <v>450</v>
      </c>
      <c r="Z38" s="31">
        <f t="shared" si="37"/>
        <v>14.440000000000055</v>
      </c>
      <c r="AA38" s="32">
        <f t="shared" si="38"/>
        <v>-62.889999999999418</v>
      </c>
      <c r="AB38" s="32">
        <f t="shared" si="39"/>
        <v>35</v>
      </c>
      <c r="AC38" s="32">
        <v>20</v>
      </c>
      <c r="AD38" s="33">
        <f t="shared" si="40"/>
        <v>10</v>
      </c>
      <c r="AE38" s="33">
        <v>287.72000000000003</v>
      </c>
      <c r="AF38" s="33"/>
      <c r="AG38" s="33">
        <f t="shared" si="41"/>
        <v>-297.72000000000003</v>
      </c>
    </row>
    <row r="39" spans="1:33" ht="20.25" customHeight="1">
      <c r="A39" s="9">
        <v>45045</v>
      </c>
      <c r="B39" s="10" t="s">
        <v>21</v>
      </c>
      <c r="C39" s="11">
        <v>6922.36</v>
      </c>
      <c r="D39" s="11">
        <v>4983.5200000000004</v>
      </c>
      <c r="E39" s="11">
        <v>30</v>
      </c>
      <c r="F39" s="11">
        <v>115</v>
      </c>
      <c r="G39" s="11">
        <v>16</v>
      </c>
      <c r="H39" s="11">
        <v>340</v>
      </c>
      <c r="I39" s="11">
        <f t="shared" si="36"/>
        <v>12406.880000000001</v>
      </c>
      <c r="J39" s="11">
        <v>2345.42</v>
      </c>
      <c r="K39" s="11">
        <v>0</v>
      </c>
      <c r="L39" s="11">
        <f t="shared" si="42"/>
        <v>9834.4599999999991</v>
      </c>
      <c r="M39" s="11">
        <f>496.82+3487.64+5435.06</f>
        <v>9419.52</v>
      </c>
      <c r="N39" s="11">
        <v>0</v>
      </c>
      <c r="O39" s="11">
        <v>0</v>
      </c>
      <c r="P39" s="11">
        <v>0</v>
      </c>
      <c r="Q39" s="11">
        <v>164.5</v>
      </c>
      <c r="R39" s="11">
        <v>0</v>
      </c>
      <c r="S39" s="11">
        <v>80.88</v>
      </c>
      <c r="T39" s="11">
        <v>169.56</v>
      </c>
      <c r="U39" s="11">
        <v>0</v>
      </c>
      <c r="V39" s="33">
        <v>0</v>
      </c>
      <c r="W39" s="33">
        <v>150</v>
      </c>
      <c r="X39" s="11">
        <v>2202</v>
      </c>
      <c r="Y39" s="11">
        <v>450</v>
      </c>
      <c r="Z39" s="31">
        <f t="shared" si="37"/>
        <v>6.5799999999999272</v>
      </c>
      <c r="AA39" s="32">
        <f t="shared" si="38"/>
        <v>-11.000000000001819</v>
      </c>
      <c r="AB39" s="32">
        <f t="shared" si="39"/>
        <v>0</v>
      </c>
      <c r="AC39" s="32">
        <v>16</v>
      </c>
      <c r="AD39" s="33">
        <f t="shared" si="40"/>
        <v>140</v>
      </c>
      <c r="AE39" s="33">
        <v>200</v>
      </c>
      <c r="AF39" s="33"/>
      <c r="AG39" s="33">
        <f t="shared" si="41"/>
        <v>-340</v>
      </c>
    </row>
    <row r="40" spans="1:33" ht="20.25" customHeight="1">
      <c r="A40" s="9">
        <v>45046</v>
      </c>
      <c r="B40" s="10" t="s">
        <v>22</v>
      </c>
      <c r="C40" s="11">
        <v>7511.92</v>
      </c>
      <c r="D40" s="11">
        <v>4964.7299999999996</v>
      </c>
      <c r="E40" s="11">
        <v>18</v>
      </c>
      <c r="F40" s="11">
        <v>178</v>
      </c>
      <c r="G40" s="11">
        <v>200</v>
      </c>
      <c r="H40" s="11">
        <v>247</v>
      </c>
      <c r="I40" s="11">
        <f t="shared" si="36"/>
        <v>13150.65</v>
      </c>
      <c r="J40" s="11">
        <v>2142.4499999999998</v>
      </c>
      <c r="K40" s="11">
        <v>0</v>
      </c>
      <c r="L40" s="11">
        <f t="shared" si="42"/>
        <v>10834.190000000002</v>
      </c>
      <c r="M40" s="11">
        <f>762.37+4018.06+5815.34</f>
        <v>10595.77</v>
      </c>
      <c r="N40" s="11">
        <v>83.95</v>
      </c>
      <c r="O40" s="11">
        <v>0</v>
      </c>
      <c r="P40" s="11">
        <v>0</v>
      </c>
      <c r="Q40" s="11">
        <v>35</v>
      </c>
      <c r="R40" s="11">
        <v>66.37</v>
      </c>
      <c r="S40" s="11">
        <v>0</v>
      </c>
      <c r="T40" s="11">
        <v>53.1</v>
      </c>
      <c r="U40" s="11">
        <f>99.58+25.99</f>
        <v>125.57</v>
      </c>
      <c r="V40" s="33">
        <v>31</v>
      </c>
      <c r="W40" s="33">
        <v>125</v>
      </c>
      <c r="X40" s="11">
        <v>1870</v>
      </c>
      <c r="Y40" s="11">
        <v>450</v>
      </c>
      <c r="Z40" s="31">
        <f t="shared" si="37"/>
        <v>9.1200000000003456</v>
      </c>
      <c r="AA40" s="32">
        <f t="shared" si="38"/>
        <v>25.99000000000342</v>
      </c>
      <c r="AB40" s="32">
        <f t="shared" si="39"/>
        <v>200</v>
      </c>
      <c r="AC40" s="32">
        <v>0</v>
      </c>
      <c r="AD40" s="33">
        <f t="shared" si="40"/>
        <v>47</v>
      </c>
      <c r="AE40" s="33">
        <v>200</v>
      </c>
      <c r="AF40" s="33">
        <v>4330</v>
      </c>
      <c r="AG40" s="33">
        <f t="shared" si="41"/>
        <v>4083</v>
      </c>
    </row>
    <row r="41" spans="1:33" ht="37.5" customHeight="1">
      <c r="A41" s="65" t="s">
        <v>27</v>
      </c>
      <c r="B41" s="66"/>
      <c r="C41" s="27">
        <f t="shared" ref="C41:AG41" si="43">SUM(C34:C40)</f>
        <v>63210.49</v>
      </c>
      <c r="D41" s="27">
        <f t="shared" si="43"/>
        <v>30560.22</v>
      </c>
      <c r="E41" s="27">
        <f t="shared" si="43"/>
        <v>174</v>
      </c>
      <c r="F41" s="27">
        <f t="shared" si="43"/>
        <v>789</v>
      </c>
      <c r="G41" s="27">
        <f t="shared" si="43"/>
        <v>606</v>
      </c>
      <c r="H41" s="27">
        <f t="shared" si="43"/>
        <v>1843.92</v>
      </c>
      <c r="I41" s="27">
        <f t="shared" si="43"/>
        <v>97281.63</v>
      </c>
      <c r="J41" s="27">
        <f t="shared" si="43"/>
        <v>17325.920000000002</v>
      </c>
      <c r="K41" s="27">
        <f t="shared" si="43"/>
        <v>0</v>
      </c>
      <c r="L41" s="27">
        <f t="shared" si="43"/>
        <v>78069.649999999994</v>
      </c>
      <c r="M41" s="27">
        <f t="shared" si="43"/>
        <v>72047.340000000011</v>
      </c>
      <c r="N41" s="27">
        <f t="shared" si="43"/>
        <v>338.26</v>
      </c>
      <c r="O41" s="27"/>
      <c r="P41" s="27">
        <f t="shared" si="43"/>
        <v>185.01</v>
      </c>
      <c r="Q41" s="27">
        <f t="shared" si="43"/>
        <v>1185.0900000000001</v>
      </c>
      <c r="R41" s="27">
        <f t="shared" si="43"/>
        <v>2240.6499999999996</v>
      </c>
      <c r="S41" s="27">
        <f t="shared" si="43"/>
        <v>1261.52</v>
      </c>
      <c r="T41" s="27">
        <f t="shared" si="43"/>
        <v>751.2299999999999</v>
      </c>
      <c r="U41" s="27">
        <f t="shared" si="43"/>
        <v>1338.09</v>
      </c>
      <c r="V41" s="27">
        <f t="shared" si="43"/>
        <v>98</v>
      </c>
      <c r="W41" s="27">
        <f t="shared" si="43"/>
        <v>621</v>
      </c>
      <c r="X41" s="27">
        <f t="shared" si="43"/>
        <v>15361</v>
      </c>
      <c r="Y41" s="27">
        <f t="shared" si="43"/>
        <v>3150</v>
      </c>
      <c r="Z41" s="27">
        <f t="shared" si="43"/>
        <v>92.170000000000528</v>
      </c>
      <c r="AA41" s="27">
        <f t="shared" si="43"/>
        <v>-437.13999999999942</v>
      </c>
      <c r="AB41" s="27">
        <f t="shared" si="43"/>
        <v>455</v>
      </c>
      <c r="AC41" s="27">
        <f t="shared" si="43"/>
        <v>151</v>
      </c>
      <c r="AD41" s="27">
        <f>SUM(AD34:AD40)</f>
        <v>546</v>
      </c>
      <c r="AE41" s="27">
        <f t="shared" si="43"/>
        <v>1297.92</v>
      </c>
      <c r="AF41" s="27">
        <f t="shared" si="43"/>
        <v>4330</v>
      </c>
      <c r="AG41" s="27">
        <f t="shared" si="43"/>
        <v>2486.08</v>
      </c>
    </row>
    <row r="42" spans="1:33" ht="51.75" customHeight="1">
      <c r="A42" s="67" t="s">
        <v>17</v>
      </c>
      <c r="B42" s="68"/>
      <c r="C42" s="30">
        <f t="shared" ref="C42:AG42" si="44">SUM(C41,C33,C25,C17,C9)</f>
        <v>301510.71000000002</v>
      </c>
      <c r="D42" s="30">
        <f t="shared" si="44"/>
        <v>146305.44</v>
      </c>
      <c r="E42" s="30">
        <f t="shared" si="44"/>
        <v>614</v>
      </c>
      <c r="F42" s="30">
        <f t="shared" si="44"/>
        <v>3383</v>
      </c>
      <c r="G42" s="30">
        <f t="shared" si="44"/>
        <v>2425</v>
      </c>
      <c r="H42" s="30">
        <f t="shared" si="44"/>
        <v>4370.62</v>
      </c>
      <c r="I42" s="30">
        <f t="shared" si="44"/>
        <v>459857.6</v>
      </c>
      <c r="J42" s="30">
        <f t="shared" si="44"/>
        <v>86748</v>
      </c>
      <c r="K42" s="30">
        <f t="shared" si="44"/>
        <v>0</v>
      </c>
      <c r="L42" s="30">
        <f t="shared" si="44"/>
        <v>368745</v>
      </c>
      <c r="M42" s="30">
        <f t="shared" si="44"/>
        <v>339548.39</v>
      </c>
      <c r="N42" s="30">
        <f t="shared" si="44"/>
        <v>1735.58</v>
      </c>
      <c r="O42" s="30"/>
      <c r="P42" s="30">
        <f t="shared" si="44"/>
        <v>1080.4199999999998</v>
      </c>
      <c r="Q42" s="30">
        <f t="shared" si="44"/>
        <v>5717.97</v>
      </c>
      <c r="R42" s="30">
        <f t="shared" si="44"/>
        <v>13203.97</v>
      </c>
      <c r="S42" s="30">
        <f t="shared" si="44"/>
        <v>6646.8899999999994</v>
      </c>
      <c r="T42" s="30">
        <f t="shared" si="44"/>
        <v>751.2299999999999</v>
      </c>
      <c r="U42" s="30">
        <f t="shared" si="44"/>
        <v>5675.8</v>
      </c>
      <c r="V42" s="30">
        <f t="shared" si="44"/>
        <v>1248.83</v>
      </c>
      <c r="W42" s="30">
        <f t="shared" si="44"/>
        <v>2439</v>
      </c>
      <c r="X42" s="30">
        <f t="shared" si="44"/>
        <v>77481.239999999991</v>
      </c>
      <c r="Y42" s="30">
        <f t="shared" si="44"/>
        <v>15750</v>
      </c>
      <c r="Z42" s="30">
        <f t="shared" si="44"/>
        <v>96.870000000001482</v>
      </c>
      <c r="AA42" s="30">
        <f t="shared" si="44"/>
        <v>-974.77999999998974</v>
      </c>
      <c r="AB42" s="30">
        <f t="shared" si="44"/>
        <v>1512</v>
      </c>
      <c r="AC42" s="30">
        <f t="shared" si="44"/>
        <v>913</v>
      </c>
      <c r="AD42" s="30">
        <f t="shared" si="44"/>
        <v>1893.8000000000002</v>
      </c>
      <c r="AE42" s="30">
        <f t="shared" si="44"/>
        <v>2476.8200000000002</v>
      </c>
      <c r="AF42" s="30">
        <f t="shared" si="44"/>
        <v>14210</v>
      </c>
      <c r="AG42" s="30">
        <f t="shared" si="44"/>
        <v>9839.3799999999992</v>
      </c>
    </row>
    <row r="44" spans="1:33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spans="1:33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</row>
    <row r="46" spans="1:33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3"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3"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</row>
    <row r="50" spans="1:33" hidden="1"/>
    <row r="51" spans="1:33" ht="18.75" hidden="1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33"/>
      <c r="W51" s="33"/>
      <c r="X51" s="11"/>
      <c r="Y51" s="11"/>
      <c r="Z51" s="31"/>
      <c r="AA51" s="32"/>
      <c r="AB51" s="32"/>
      <c r="AC51" s="32"/>
      <c r="AD51" s="33"/>
      <c r="AE51" s="33"/>
      <c r="AF51" s="33"/>
      <c r="AG51" s="33"/>
    </row>
    <row r="52" spans="1:33" ht="18.75" hidden="1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33"/>
      <c r="W52" s="33"/>
      <c r="X52" s="11"/>
      <c r="Y52" s="11"/>
      <c r="Z52" s="31"/>
      <c r="AA52" s="32"/>
      <c r="AB52" s="32"/>
      <c r="AC52" s="32"/>
      <c r="AD52" s="33"/>
      <c r="AE52" s="33"/>
      <c r="AF52" s="33"/>
      <c r="AG52" s="33"/>
    </row>
    <row r="53" spans="1:33" s="28" customFormat="1" ht="18.75" hidden="1">
      <c r="A53"/>
      <c r="B5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33"/>
      <c r="W53" s="33"/>
      <c r="X53" s="11"/>
      <c r="Y53" s="11"/>
      <c r="Z53" s="31"/>
      <c r="AA53" s="32"/>
      <c r="AB53" s="32"/>
      <c r="AC53" s="32"/>
      <c r="AD53" s="33"/>
      <c r="AE53" s="33"/>
      <c r="AF53" s="33"/>
      <c r="AG53" s="33"/>
    </row>
    <row r="54" spans="1:33" s="28" customFormat="1" hidden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s="28" customFormat="1" hidden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28" customFormat="1" hidden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</sheetData>
  <sheetProtection password="CCFB" sheet="1" objects="1" scenarios="1"/>
  <mergeCells count="6">
    <mergeCell ref="A42:B42"/>
    <mergeCell ref="A9:B9"/>
    <mergeCell ref="A17:B17"/>
    <mergeCell ref="A25:B25"/>
    <mergeCell ref="A33:B33"/>
    <mergeCell ref="A41:B41"/>
  </mergeCells>
  <conditionalFormatting sqref="Z51:AC53 Z10:AB16 Z18:AC24 Z26:AC32 Z2:AC8 Z34:AC40">
    <cfRule type="cellIs" dxfId="143" priority="7" operator="lessThan">
      <formula>0</formula>
    </cfRule>
    <cfRule type="cellIs" dxfId="142" priority="8" operator="greaterThan">
      <formula>0</formula>
    </cfRule>
  </conditionalFormatting>
  <conditionalFormatting sqref="Z51:AD53 Z10:AB16 Z18:AD24 Z26:AD32 AD10:AD16 Z34:AD40 Z2:AD8">
    <cfRule type="cellIs" dxfId="141" priority="4" operator="equal">
      <formula>0</formula>
    </cfRule>
    <cfRule type="cellIs" dxfId="140" priority="5" operator="lessThan">
      <formula>0</formula>
    </cfRule>
    <cfRule type="cellIs" dxfId="139" priority="6" operator="greaterThan">
      <formula>0</formula>
    </cfRule>
  </conditionalFormatting>
  <conditionalFormatting sqref="AG18:AG24 AG26:AG32 AG10:AG16 AG2:AG8 AG34:AG40">
    <cfRule type="cellIs" dxfId="138" priority="1" operator="equal">
      <formula>0</formula>
    </cfRule>
    <cfRule type="cellIs" dxfId="137" priority="2" operator="lessThan">
      <formula>0</formula>
    </cfRule>
    <cfRule type="cellIs" dxfId="13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K52"/>
  <sheetViews>
    <sheetView topLeftCell="I10" zoomScale="60" zoomScaleNormal="60" workbookViewId="0">
      <selection activeCell="D23" sqref="D23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5.7109375" customWidth="1"/>
    <col min="17" max="17" width="16.42578125" customWidth="1"/>
    <col min="18" max="20" width="15.5703125" customWidth="1"/>
    <col min="21" max="21" width="13.85546875" customWidth="1"/>
    <col min="22" max="22" width="13.5703125" customWidth="1"/>
    <col min="23" max="23" width="14.28515625" customWidth="1"/>
    <col min="24" max="24" width="13" customWidth="1"/>
    <col min="25" max="25" width="14.85546875" customWidth="1"/>
    <col min="26" max="26" width="15.85546875" customWidth="1"/>
    <col min="27" max="29" width="16.5703125" customWidth="1"/>
    <col min="30" max="30" width="14" customWidth="1"/>
    <col min="31" max="31" width="13" customWidth="1"/>
    <col min="32" max="32" width="14.85546875" customWidth="1"/>
    <col min="33" max="33" width="15.5703125" customWidth="1"/>
  </cols>
  <sheetData>
    <row r="1" spans="1:33" ht="64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108</v>
      </c>
      <c r="P1" s="8" t="s">
        <v>96</v>
      </c>
      <c r="Q1" s="8" t="s">
        <v>109</v>
      </c>
      <c r="R1" s="8" t="s">
        <v>110</v>
      </c>
      <c r="S1" s="8" t="s">
        <v>111</v>
      </c>
      <c r="T1" s="8" t="s">
        <v>107</v>
      </c>
      <c r="U1" s="8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34</v>
      </c>
      <c r="AB1" s="23" t="s">
        <v>94</v>
      </c>
      <c r="AC1" s="23" t="s">
        <v>95</v>
      </c>
      <c r="AD1" s="23" t="s">
        <v>39</v>
      </c>
      <c r="AE1" s="23" t="s">
        <v>40</v>
      </c>
      <c r="AF1" s="23" t="s">
        <v>78</v>
      </c>
      <c r="AG1" s="23" t="s">
        <v>79</v>
      </c>
    </row>
    <row r="2" spans="1:33" s="35" customFormat="1" ht="18.75">
      <c r="A2" s="9">
        <v>45047</v>
      </c>
      <c r="B2" s="10" t="s">
        <v>23</v>
      </c>
      <c r="C2" s="11">
        <v>7052.53</v>
      </c>
      <c r="D2" s="11">
        <v>4154.7</v>
      </c>
      <c r="E2" s="11">
        <v>11</v>
      </c>
      <c r="F2" s="11">
        <v>122</v>
      </c>
      <c r="G2" s="11">
        <v>124</v>
      </c>
      <c r="H2" s="11">
        <v>171.67</v>
      </c>
      <c r="I2" s="11">
        <f t="shared" ref="I2:I8" si="0">SUM(C2:H2,V2)</f>
        <v>11635.9</v>
      </c>
      <c r="J2" s="11">
        <v>2474.77</v>
      </c>
      <c r="K2" s="11">
        <v>0</v>
      </c>
      <c r="L2" s="11">
        <f>SUM(M2:T2)</f>
        <v>9017.4600000000028</v>
      </c>
      <c r="M2" s="51">
        <f>635.18+2654.96+5254.7</f>
        <v>8544.84</v>
      </c>
      <c r="N2" s="11">
        <v>11.04</v>
      </c>
      <c r="O2" s="11">
        <v>0</v>
      </c>
      <c r="P2" s="11">
        <v>0</v>
      </c>
      <c r="Q2" s="11">
        <v>83.37</v>
      </c>
      <c r="R2" s="11">
        <v>147.61000000000001</v>
      </c>
      <c r="S2" s="11">
        <v>210.51</v>
      </c>
      <c r="T2" s="11">
        <v>20.09</v>
      </c>
      <c r="U2" s="11">
        <v>0</v>
      </c>
      <c r="V2" s="33">
        <v>0</v>
      </c>
      <c r="W2" s="33">
        <v>79</v>
      </c>
      <c r="X2" s="11">
        <v>2385</v>
      </c>
      <c r="Y2" s="11">
        <v>450</v>
      </c>
      <c r="Z2" s="31">
        <f t="shared" ref="Z2:Z8" si="1">SUM(U2,V2,W2,X2)-J2</f>
        <v>-10.769999999999982</v>
      </c>
      <c r="AA2" s="32">
        <f t="shared" ref="AA2:AA32" si="2">SUM(J2+K2+L2+AE2+AC2)-(I2)</f>
        <v>0</v>
      </c>
      <c r="AB2" s="32">
        <f t="shared" ref="AB2:AB8" si="3">SUM(G2-AC2)</f>
        <v>70</v>
      </c>
      <c r="AC2" s="32">
        <v>54</v>
      </c>
      <c r="AD2" s="33">
        <f t="shared" ref="AD2:AD4" si="4">SUM(H2-AE2)</f>
        <v>81.999999999999986</v>
      </c>
      <c r="AE2" s="33">
        <v>89.67</v>
      </c>
      <c r="AF2" s="33"/>
      <c r="AG2" s="33">
        <f t="shared" ref="AG2:AG8" si="5">SUM(AF2-H2)</f>
        <v>-171.67</v>
      </c>
    </row>
    <row r="3" spans="1:33" s="35" customFormat="1" ht="18.75">
      <c r="A3" s="9">
        <v>45048</v>
      </c>
      <c r="B3" s="10" t="s">
        <v>24</v>
      </c>
      <c r="C3" s="11">
        <v>9562.24</v>
      </c>
      <c r="D3" s="11">
        <v>3530.36</v>
      </c>
      <c r="E3" s="11">
        <v>55.5</v>
      </c>
      <c r="F3" s="11">
        <v>79</v>
      </c>
      <c r="G3" s="11">
        <v>145</v>
      </c>
      <c r="H3" s="11">
        <v>98</v>
      </c>
      <c r="I3" s="11">
        <f t="shared" si="0"/>
        <v>13475.1</v>
      </c>
      <c r="J3" s="11">
        <v>2903.01</v>
      </c>
      <c r="K3" s="11">
        <v>0</v>
      </c>
      <c r="L3" s="11">
        <f>SUM(M3:T3)</f>
        <v>10340.24</v>
      </c>
      <c r="M3" s="51">
        <f>667.04+3237.55+5084.65</f>
        <v>8989.24</v>
      </c>
      <c r="N3" s="11">
        <v>115.12</v>
      </c>
      <c r="O3" s="11">
        <v>0</v>
      </c>
      <c r="P3" s="11">
        <v>0</v>
      </c>
      <c r="Q3" s="11">
        <v>220.22</v>
      </c>
      <c r="R3" s="11">
        <v>625.26</v>
      </c>
      <c r="S3" s="11">
        <v>328.3</v>
      </c>
      <c r="T3" s="11">
        <v>62.1</v>
      </c>
      <c r="U3" s="11">
        <v>0</v>
      </c>
      <c r="V3" s="33">
        <v>5</v>
      </c>
      <c r="W3" s="33">
        <v>135</v>
      </c>
      <c r="X3" s="11">
        <v>2683</v>
      </c>
      <c r="Y3" s="11">
        <v>450</v>
      </c>
      <c r="Z3" s="31">
        <f t="shared" si="1"/>
        <v>-80.010000000000218</v>
      </c>
      <c r="AA3" s="32">
        <f t="shared" si="2"/>
        <v>-61.850000000000364</v>
      </c>
      <c r="AB3" s="32">
        <f t="shared" si="3"/>
        <v>0</v>
      </c>
      <c r="AC3" s="32">
        <v>145</v>
      </c>
      <c r="AD3" s="33">
        <f t="shared" si="4"/>
        <v>73</v>
      </c>
      <c r="AE3" s="33">
        <v>25</v>
      </c>
      <c r="AF3" s="33"/>
      <c r="AG3" s="33">
        <f t="shared" si="5"/>
        <v>-98</v>
      </c>
    </row>
    <row r="4" spans="1:33" s="35" customFormat="1" ht="18.75">
      <c r="A4" s="9">
        <v>45049</v>
      </c>
      <c r="B4" s="10" t="s">
        <v>25</v>
      </c>
      <c r="C4" s="11">
        <v>9642.41</v>
      </c>
      <c r="D4" s="11">
        <v>4040.92</v>
      </c>
      <c r="E4" s="11">
        <v>15</v>
      </c>
      <c r="F4" s="11">
        <v>33</v>
      </c>
      <c r="G4" s="11">
        <v>35</v>
      </c>
      <c r="H4" s="11">
        <v>103.21</v>
      </c>
      <c r="I4" s="11">
        <f t="shared" si="0"/>
        <v>13869.539999999999</v>
      </c>
      <c r="J4" s="11">
        <v>2604.7800000000002</v>
      </c>
      <c r="K4" s="11">
        <v>0</v>
      </c>
      <c r="L4" s="11">
        <f t="shared" ref="L4:L8" si="6">SUM(M4:T4)</f>
        <v>11144.550000000003</v>
      </c>
      <c r="M4" s="51">
        <f>1014.02+3726.77+5768.5</f>
        <v>10509.29</v>
      </c>
      <c r="N4" s="11">
        <v>0</v>
      </c>
      <c r="O4" s="11">
        <v>0</v>
      </c>
      <c r="P4" s="11">
        <v>106.17</v>
      </c>
      <c r="Q4" s="11">
        <v>164.93</v>
      </c>
      <c r="R4" s="11">
        <v>215.18</v>
      </c>
      <c r="S4" s="11">
        <v>108.61</v>
      </c>
      <c r="T4" s="11">
        <v>40.369999999999997</v>
      </c>
      <c r="U4" s="11">
        <v>327.64</v>
      </c>
      <c r="V4" s="33">
        <v>0</v>
      </c>
      <c r="W4" s="33">
        <v>113</v>
      </c>
      <c r="X4" s="11">
        <v>2170</v>
      </c>
      <c r="Y4" s="11">
        <v>450</v>
      </c>
      <c r="Z4" s="31">
        <f t="shared" si="1"/>
        <v>5.8599999999996726</v>
      </c>
      <c r="AA4" s="32">
        <f t="shared" si="2"/>
        <v>-1.999999999996362</v>
      </c>
      <c r="AB4" s="32">
        <f t="shared" si="3"/>
        <v>20</v>
      </c>
      <c r="AC4" s="32">
        <v>15</v>
      </c>
      <c r="AD4" s="33">
        <f t="shared" si="4"/>
        <v>0</v>
      </c>
      <c r="AE4" s="33">
        <v>103.21</v>
      </c>
      <c r="AF4" s="33"/>
      <c r="AG4" s="33">
        <f t="shared" si="5"/>
        <v>-103.21</v>
      </c>
    </row>
    <row r="5" spans="1:33" s="35" customFormat="1" ht="18.75">
      <c r="A5" s="9">
        <v>45050</v>
      </c>
      <c r="B5" s="10" t="s">
        <v>26</v>
      </c>
      <c r="C5" s="11">
        <v>8204.1</v>
      </c>
      <c r="D5" s="11">
        <v>3737.51</v>
      </c>
      <c r="E5" s="11">
        <v>19.5</v>
      </c>
      <c r="F5" s="11">
        <v>68</v>
      </c>
      <c r="G5" s="11">
        <v>32</v>
      </c>
      <c r="H5" s="11">
        <v>36</v>
      </c>
      <c r="I5" s="11">
        <f t="shared" si="0"/>
        <v>12167.11</v>
      </c>
      <c r="J5" s="11">
        <v>2042.81</v>
      </c>
      <c r="K5" s="11">
        <v>0</v>
      </c>
      <c r="L5" s="11">
        <f t="shared" si="6"/>
        <v>10066.299999999997</v>
      </c>
      <c r="M5" s="51">
        <f>659.49+2645.89+5379.58</f>
        <v>8684.9599999999991</v>
      </c>
      <c r="N5" s="11">
        <v>0</v>
      </c>
      <c r="O5" s="11">
        <v>0</v>
      </c>
      <c r="P5" s="11">
        <v>0</v>
      </c>
      <c r="Q5" s="11">
        <v>189.3</v>
      </c>
      <c r="R5" s="11">
        <v>784.96</v>
      </c>
      <c r="S5" s="11">
        <v>177.64</v>
      </c>
      <c r="T5" s="11">
        <v>229.44</v>
      </c>
      <c r="U5" s="11">
        <v>626.13</v>
      </c>
      <c r="V5" s="33">
        <v>70</v>
      </c>
      <c r="W5" s="33">
        <v>95</v>
      </c>
      <c r="X5" s="11">
        <v>1253</v>
      </c>
      <c r="Y5" s="11">
        <v>450</v>
      </c>
      <c r="Z5" s="31">
        <f t="shared" si="1"/>
        <v>1.3200000000001637</v>
      </c>
      <c r="AA5" s="32">
        <f t="shared" si="2"/>
        <v>0</v>
      </c>
      <c r="AB5" s="32">
        <f t="shared" si="3"/>
        <v>10</v>
      </c>
      <c r="AC5" s="32">
        <v>22</v>
      </c>
      <c r="AD5" s="33">
        <v>0</v>
      </c>
      <c r="AE5" s="33">
        <v>36</v>
      </c>
      <c r="AF5" s="33"/>
      <c r="AG5" s="33">
        <f t="shared" si="5"/>
        <v>-36</v>
      </c>
    </row>
    <row r="6" spans="1:33" s="35" customFormat="1" ht="18.75">
      <c r="A6" s="9">
        <v>45051</v>
      </c>
      <c r="B6" s="10" t="s">
        <v>20</v>
      </c>
      <c r="C6" s="11">
        <v>7891.4</v>
      </c>
      <c r="D6" s="11">
        <v>4556.87</v>
      </c>
      <c r="E6" s="11">
        <v>32</v>
      </c>
      <c r="F6" s="11">
        <v>120</v>
      </c>
      <c r="G6" s="11">
        <v>45</v>
      </c>
      <c r="H6" s="11">
        <v>170</v>
      </c>
      <c r="I6" s="11">
        <f t="shared" si="0"/>
        <v>12815.27</v>
      </c>
      <c r="J6" s="11">
        <v>2247.77</v>
      </c>
      <c r="K6" s="11">
        <v>0</v>
      </c>
      <c r="L6" s="11">
        <f t="shared" si="6"/>
        <v>10407.5</v>
      </c>
      <c r="M6" s="51">
        <f>778.23+2588.93+6290.07</f>
        <v>9657.23</v>
      </c>
      <c r="N6" s="11">
        <v>31.55</v>
      </c>
      <c r="O6" s="11">
        <v>0</v>
      </c>
      <c r="P6" s="11">
        <v>0</v>
      </c>
      <c r="Q6" s="11">
        <v>246.57</v>
      </c>
      <c r="R6" s="11">
        <v>312.93</v>
      </c>
      <c r="S6" s="11">
        <v>113.35</v>
      </c>
      <c r="T6" s="11">
        <v>45.87</v>
      </c>
      <c r="U6" s="11">
        <v>568.84</v>
      </c>
      <c r="V6" s="33">
        <v>0</v>
      </c>
      <c r="W6" s="33">
        <v>202</v>
      </c>
      <c r="X6" s="11">
        <v>1485</v>
      </c>
      <c r="Y6" s="11">
        <v>450</v>
      </c>
      <c r="Z6" s="31">
        <f t="shared" si="1"/>
        <v>8.0700000000001637</v>
      </c>
      <c r="AA6" s="32">
        <f t="shared" si="2"/>
        <v>-5</v>
      </c>
      <c r="AB6" s="32">
        <f t="shared" si="3"/>
        <v>40</v>
      </c>
      <c r="AC6" s="32">
        <v>5</v>
      </c>
      <c r="AD6" s="33">
        <f t="shared" ref="AD6" si="7">SUM(H6-AE6)</f>
        <v>20</v>
      </c>
      <c r="AE6" s="33">
        <v>150</v>
      </c>
      <c r="AF6" s="33"/>
      <c r="AG6" s="33">
        <f t="shared" si="5"/>
        <v>-170</v>
      </c>
    </row>
    <row r="7" spans="1:33" ht="18.75">
      <c r="A7" s="9">
        <v>45052</v>
      </c>
      <c r="B7" s="10" t="s">
        <v>21</v>
      </c>
      <c r="C7" s="11">
        <v>6997.02</v>
      </c>
      <c r="D7" s="11">
        <v>4923.76</v>
      </c>
      <c r="E7" s="11">
        <v>20</v>
      </c>
      <c r="F7" s="11">
        <v>128</v>
      </c>
      <c r="G7" s="11">
        <v>205</v>
      </c>
      <c r="H7" s="11">
        <v>108</v>
      </c>
      <c r="I7" s="11">
        <f t="shared" si="0"/>
        <v>12441.78</v>
      </c>
      <c r="J7" s="11">
        <v>2568.7199999999998</v>
      </c>
      <c r="K7" s="11">
        <v>0</v>
      </c>
      <c r="L7" s="11">
        <f t="shared" si="6"/>
        <v>9830.0600000000013</v>
      </c>
      <c r="M7" s="51">
        <f>532.18+3103.44+5582.44</f>
        <v>9218.06</v>
      </c>
      <c r="N7" s="11">
        <v>47.51</v>
      </c>
      <c r="O7" s="11">
        <v>0</v>
      </c>
      <c r="P7" s="11">
        <v>0</v>
      </c>
      <c r="Q7" s="11">
        <v>79.2</v>
      </c>
      <c r="R7" s="11">
        <v>296.02</v>
      </c>
      <c r="S7" s="11">
        <v>97</v>
      </c>
      <c r="T7" s="11">
        <v>92.27</v>
      </c>
      <c r="U7" s="11">
        <v>31</v>
      </c>
      <c r="V7" s="33">
        <v>60</v>
      </c>
      <c r="W7" s="33">
        <v>46.6</v>
      </c>
      <c r="X7" s="11">
        <v>2440</v>
      </c>
      <c r="Y7" s="11">
        <v>450</v>
      </c>
      <c r="Z7" s="31">
        <f t="shared" si="1"/>
        <v>8.8800000000001091</v>
      </c>
      <c r="AA7" s="32">
        <f t="shared" si="2"/>
        <v>0</v>
      </c>
      <c r="AB7" s="32">
        <f t="shared" si="3"/>
        <v>200</v>
      </c>
      <c r="AC7" s="32">
        <v>5</v>
      </c>
      <c r="AD7" s="33">
        <f t="shared" ref="AD7:AD8" si="8">SUM(H7-AE7)</f>
        <v>70</v>
      </c>
      <c r="AE7" s="33">
        <v>38</v>
      </c>
      <c r="AF7" s="33"/>
      <c r="AG7" s="33">
        <f t="shared" si="5"/>
        <v>-108</v>
      </c>
    </row>
    <row r="8" spans="1:33" ht="18.75">
      <c r="A8" s="9">
        <v>45053</v>
      </c>
      <c r="B8" s="10" t="s">
        <v>22</v>
      </c>
      <c r="C8" s="11">
        <v>5869.04</v>
      </c>
      <c r="D8" s="11">
        <v>6315.74</v>
      </c>
      <c r="E8" s="11">
        <v>1.5</v>
      </c>
      <c r="F8" s="11">
        <v>71</v>
      </c>
      <c r="G8" s="11">
        <v>70</v>
      </c>
      <c r="H8" s="11">
        <v>0</v>
      </c>
      <c r="I8" s="11">
        <f t="shared" si="0"/>
        <v>12377.279999999999</v>
      </c>
      <c r="J8" s="11">
        <v>2405.96</v>
      </c>
      <c r="K8" s="11">
        <v>0</v>
      </c>
      <c r="L8" s="11">
        <f t="shared" si="6"/>
        <v>9899.3200000000015</v>
      </c>
      <c r="M8" s="51">
        <f>767.3+2912.45+5725.85</f>
        <v>9405.6</v>
      </c>
      <c r="N8" s="11">
        <v>133.6</v>
      </c>
      <c r="O8" s="11">
        <v>0</v>
      </c>
      <c r="P8" s="11">
        <v>0</v>
      </c>
      <c r="Q8" s="11">
        <v>120.19</v>
      </c>
      <c r="R8" s="11">
        <v>80.010000000000005</v>
      </c>
      <c r="S8" s="11">
        <v>17.010000000000002</v>
      </c>
      <c r="T8" s="11">
        <v>142.91</v>
      </c>
      <c r="U8" s="11">
        <v>89.78</v>
      </c>
      <c r="V8" s="33">
        <v>50</v>
      </c>
      <c r="W8" s="33">
        <v>52</v>
      </c>
      <c r="X8" s="11">
        <v>2229</v>
      </c>
      <c r="Y8" s="11">
        <v>450</v>
      </c>
      <c r="Z8" s="31">
        <f t="shared" si="1"/>
        <v>14.820000000000164</v>
      </c>
      <c r="AA8" s="32">
        <f t="shared" si="2"/>
        <v>-11.999999999996362</v>
      </c>
      <c r="AB8" s="32">
        <f t="shared" si="3"/>
        <v>10</v>
      </c>
      <c r="AC8" s="32">
        <v>60</v>
      </c>
      <c r="AD8" s="33">
        <f t="shared" si="8"/>
        <v>0</v>
      </c>
      <c r="AE8" s="33">
        <v>0</v>
      </c>
      <c r="AF8" s="33">
        <v>3600</v>
      </c>
      <c r="AG8" s="33">
        <f t="shared" si="5"/>
        <v>3600</v>
      </c>
    </row>
    <row r="9" spans="1:33" ht="37.5" customHeight="1">
      <c r="A9" s="65" t="s">
        <v>27</v>
      </c>
      <c r="B9" s="66"/>
      <c r="C9" s="27">
        <f t="shared" ref="C9:AG9" si="9">SUM(C2:C8)</f>
        <v>55218.74</v>
      </c>
      <c r="D9" s="27">
        <f t="shared" si="9"/>
        <v>31259.86</v>
      </c>
      <c r="E9" s="27">
        <f t="shared" si="9"/>
        <v>154.5</v>
      </c>
      <c r="F9" s="27">
        <f t="shared" si="9"/>
        <v>621</v>
      </c>
      <c r="G9" s="27">
        <f t="shared" si="9"/>
        <v>656</v>
      </c>
      <c r="H9" s="27">
        <f t="shared" si="9"/>
        <v>686.87999999999988</v>
      </c>
      <c r="I9" s="27">
        <f t="shared" si="9"/>
        <v>88781.98</v>
      </c>
      <c r="J9" s="27">
        <f t="shared" si="9"/>
        <v>17247.82</v>
      </c>
      <c r="K9" s="27">
        <f t="shared" si="9"/>
        <v>0</v>
      </c>
      <c r="L9" s="27">
        <f t="shared" si="9"/>
        <v>70705.430000000008</v>
      </c>
      <c r="M9" s="27">
        <f t="shared" si="9"/>
        <v>65009.219999999994</v>
      </c>
      <c r="N9" s="27">
        <f t="shared" si="9"/>
        <v>338.82</v>
      </c>
      <c r="O9" s="27">
        <f t="shared" si="9"/>
        <v>0</v>
      </c>
      <c r="P9" s="27">
        <f t="shared" si="9"/>
        <v>106.17</v>
      </c>
      <c r="Q9" s="27">
        <f t="shared" si="9"/>
        <v>1103.7800000000002</v>
      </c>
      <c r="R9" s="27">
        <f t="shared" si="9"/>
        <v>2461.9700000000003</v>
      </c>
      <c r="S9" s="27">
        <f t="shared" si="9"/>
        <v>1052.4199999999998</v>
      </c>
      <c r="T9" s="27">
        <f t="shared" si="9"/>
        <v>633.04999999999995</v>
      </c>
      <c r="U9" s="27">
        <f t="shared" si="9"/>
        <v>1643.39</v>
      </c>
      <c r="V9" s="27">
        <f t="shared" si="9"/>
        <v>185</v>
      </c>
      <c r="W9" s="27">
        <f t="shared" si="9"/>
        <v>722.6</v>
      </c>
      <c r="X9" s="27">
        <f t="shared" si="9"/>
        <v>14645</v>
      </c>
      <c r="Y9" s="27">
        <f t="shared" si="9"/>
        <v>3150</v>
      </c>
      <c r="Z9" s="27">
        <f t="shared" si="9"/>
        <v>-51.829999999999927</v>
      </c>
      <c r="AA9" s="27">
        <f t="shared" si="9"/>
        <v>-80.849999999993088</v>
      </c>
      <c r="AB9" s="27">
        <f t="shared" si="9"/>
        <v>350</v>
      </c>
      <c r="AC9" s="27">
        <f t="shared" si="9"/>
        <v>306</v>
      </c>
      <c r="AD9" s="27">
        <f t="shared" si="9"/>
        <v>245</v>
      </c>
      <c r="AE9" s="27">
        <f t="shared" si="9"/>
        <v>441.88</v>
      </c>
      <c r="AF9" s="27">
        <f t="shared" si="9"/>
        <v>3600</v>
      </c>
      <c r="AG9" s="27">
        <f t="shared" si="9"/>
        <v>2913.12</v>
      </c>
    </row>
    <row r="10" spans="1:33" s="35" customFormat="1" ht="18.75">
      <c r="A10" s="9">
        <v>45054</v>
      </c>
      <c r="B10" s="10" t="s">
        <v>23</v>
      </c>
      <c r="C10" s="11">
        <f>6636.49+10</f>
        <v>6646.49</v>
      </c>
      <c r="D10" s="11">
        <v>3581.31</v>
      </c>
      <c r="E10" s="11">
        <v>2</v>
      </c>
      <c r="F10" s="11">
        <v>60</v>
      </c>
      <c r="G10" s="11">
        <v>117</v>
      </c>
      <c r="H10" s="11">
        <v>90</v>
      </c>
      <c r="I10" s="11">
        <f t="shared" ref="I10:I16" si="10">SUM(C10:H10,V10)</f>
        <v>10502.8</v>
      </c>
      <c r="J10" s="11">
        <v>1990.45</v>
      </c>
      <c r="K10" s="11">
        <v>0</v>
      </c>
      <c r="L10" s="11">
        <f>SUM(M10:T10)</f>
        <v>8335.3500000000022</v>
      </c>
      <c r="M10" s="51">
        <f>698.99+2907.53+4119.35</f>
        <v>7725.8700000000008</v>
      </c>
      <c r="N10" s="11">
        <v>44.45</v>
      </c>
      <c r="O10" s="11">
        <v>0</v>
      </c>
      <c r="P10" s="11">
        <v>108.02</v>
      </c>
      <c r="Q10" s="11">
        <v>0</v>
      </c>
      <c r="R10" s="11">
        <v>72.63</v>
      </c>
      <c r="S10" s="11">
        <v>357.01</v>
      </c>
      <c r="T10" s="11">
        <v>27.37</v>
      </c>
      <c r="U10" s="11">
        <v>257.5</v>
      </c>
      <c r="V10" s="33">
        <v>6</v>
      </c>
      <c r="W10" s="33">
        <v>52</v>
      </c>
      <c r="X10" s="11">
        <v>1635</v>
      </c>
      <c r="Y10" s="11">
        <v>450</v>
      </c>
      <c r="Z10" s="31">
        <f t="shared" ref="Z10:Z16" si="11">SUM(U10,V10,W10,X10)-J10</f>
        <v>-39.950000000000045</v>
      </c>
      <c r="AA10" s="32">
        <f t="shared" si="2"/>
        <v>-9.999999999996362</v>
      </c>
      <c r="AB10" s="32">
        <f>SUM(G10-AC10)</f>
        <v>20</v>
      </c>
      <c r="AC10" s="33">
        <v>97</v>
      </c>
      <c r="AD10" s="33">
        <f>SUM(H10-AE10)</f>
        <v>20</v>
      </c>
      <c r="AE10" s="33">
        <v>70</v>
      </c>
      <c r="AF10" s="33"/>
      <c r="AG10" s="33">
        <f>SUM(AF10-H10)</f>
        <v>-90</v>
      </c>
    </row>
    <row r="11" spans="1:33" s="35" customFormat="1" ht="18.75">
      <c r="A11" s="9">
        <v>45055</v>
      </c>
      <c r="B11" s="10" t="s">
        <v>24</v>
      </c>
      <c r="C11" s="11">
        <v>9069.52</v>
      </c>
      <c r="D11" s="11">
        <v>3915.9</v>
      </c>
      <c r="E11" s="11">
        <v>25.5</v>
      </c>
      <c r="F11" s="11">
        <v>58</v>
      </c>
      <c r="G11" s="11">
        <v>50</v>
      </c>
      <c r="H11" s="11">
        <v>79.5</v>
      </c>
      <c r="I11" s="11">
        <f t="shared" si="10"/>
        <v>13213.43</v>
      </c>
      <c r="J11" s="11">
        <v>2419.71</v>
      </c>
      <c r="K11" s="11">
        <v>0</v>
      </c>
      <c r="L11" s="11">
        <f>SUM(M11:T11)</f>
        <v>10730.720000000001</v>
      </c>
      <c r="M11" s="51">
        <f>624.47+2889.28+5689.71</f>
        <v>9203.4599999999991</v>
      </c>
      <c r="N11" s="11">
        <v>0</v>
      </c>
      <c r="O11" s="11">
        <v>90.94</v>
      </c>
      <c r="P11" s="11">
        <v>0</v>
      </c>
      <c r="Q11" s="11">
        <v>342.74</v>
      </c>
      <c r="R11" s="11">
        <v>753.12</v>
      </c>
      <c r="S11" s="11">
        <v>178.51</v>
      </c>
      <c r="T11" s="11">
        <v>161.94999999999999</v>
      </c>
      <c r="U11" s="11">
        <v>0</v>
      </c>
      <c r="V11" s="33">
        <v>15.01</v>
      </c>
      <c r="W11" s="33">
        <v>85</v>
      </c>
      <c r="X11" s="11">
        <v>2225</v>
      </c>
      <c r="Y11" s="11">
        <v>450</v>
      </c>
      <c r="Z11" s="31">
        <f t="shared" si="11"/>
        <v>-94.699999999999818</v>
      </c>
      <c r="AA11" s="32">
        <f t="shared" si="2"/>
        <v>0</v>
      </c>
      <c r="AB11" s="32">
        <f t="shared" ref="AB11:AB32" si="12">SUM(G11-AC11)</f>
        <v>40</v>
      </c>
      <c r="AC11" s="33">
        <v>10</v>
      </c>
      <c r="AD11" s="33">
        <f t="shared" ref="AD11:AD16" si="13">SUM(H11-AE11)</f>
        <v>26.5</v>
      </c>
      <c r="AE11" s="33">
        <v>53</v>
      </c>
      <c r="AF11" s="33"/>
      <c r="AG11" s="33">
        <f t="shared" ref="AG11:AG15" si="14">SUM(AF11-H11)</f>
        <v>-79.5</v>
      </c>
    </row>
    <row r="12" spans="1:33" s="35" customFormat="1" ht="18.75">
      <c r="A12" s="9">
        <v>45056</v>
      </c>
      <c r="B12" s="10" t="s">
        <v>25</v>
      </c>
      <c r="C12" s="11">
        <f>100.07+8749.15</f>
        <v>8849.2199999999993</v>
      </c>
      <c r="D12" s="11">
        <v>3506.82</v>
      </c>
      <c r="E12" s="11">
        <v>37.5</v>
      </c>
      <c r="F12" s="11">
        <v>38</v>
      </c>
      <c r="G12" s="11">
        <v>205</v>
      </c>
      <c r="H12" s="11">
        <v>36</v>
      </c>
      <c r="I12" s="11">
        <f t="shared" si="10"/>
        <v>12682.88</v>
      </c>
      <c r="J12" s="11">
        <v>2425.75</v>
      </c>
      <c r="K12" s="11">
        <v>0</v>
      </c>
      <c r="L12" s="11">
        <f t="shared" ref="L12:L16" si="15">SUM(M12:T12)</f>
        <v>9931.06</v>
      </c>
      <c r="M12" s="51">
        <f>480.49+2707.36+5772.35</f>
        <v>8960.2000000000007</v>
      </c>
      <c r="N12" s="11">
        <v>27.36</v>
      </c>
      <c r="O12" s="11">
        <v>0</v>
      </c>
      <c r="P12" s="11">
        <v>70.11</v>
      </c>
      <c r="Q12" s="11">
        <v>124.89</v>
      </c>
      <c r="R12" s="11">
        <v>432.21</v>
      </c>
      <c r="S12" s="11">
        <f>89.27+49.44</f>
        <v>138.70999999999998</v>
      </c>
      <c r="T12" s="11">
        <v>177.58</v>
      </c>
      <c r="U12" s="11">
        <v>0</v>
      </c>
      <c r="V12" s="33">
        <v>10.34</v>
      </c>
      <c r="W12" s="33">
        <v>2</v>
      </c>
      <c r="X12" s="11">
        <v>2415</v>
      </c>
      <c r="Y12" s="11">
        <v>450</v>
      </c>
      <c r="Z12" s="31">
        <f t="shared" si="11"/>
        <v>1.5900000000001455</v>
      </c>
      <c r="AA12" s="32">
        <f t="shared" si="2"/>
        <v>-100.06999999999971</v>
      </c>
      <c r="AB12" s="32">
        <f t="shared" si="12"/>
        <v>15</v>
      </c>
      <c r="AC12" s="33">
        <v>190</v>
      </c>
      <c r="AD12" s="33">
        <f t="shared" si="13"/>
        <v>0</v>
      </c>
      <c r="AE12" s="33">
        <v>36</v>
      </c>
      <c r="AF12" s="33"/>
      <c r="AG12" s="33">
        <f t="shared" si="14"/>
        <v>-36</v>
      </c>
    </row>
    <row r="13" spans="1:33" s="35" customFormat="1" ht="18.75">
      <c r="A13" s="9">
        <v>45057</v>
      </c>
      <c r="B13" s="10" t="s">
        <v>26</v>
      </c>
      <c r="C13" s="11">
        <v>10145.11</v>
      </c>
      <c r="D13" s="11">
        <v>3820.13</v>
      </c>
      <c r="E13" s="11">
        <v>4</v>
      </c>
      <c r="F13" s="11">
        <v>40</v>
      </c>
      <c r="G13" s="11">
        <v>0</v>
      </c>
      <c r="H13" s="11">
        <v>55</v>
      </c>
      <c r="I13" s="11">
        <f t="shared" si="10"/>
        <v>14074.240000000002</v>
      </c>
      <c r="J13" s="11">
        <v>1809.02</v>
      </c>
      <c r="K13" s="11">
        <v>0</v>
      </c>
      <c r="L13" s="11">
        <f t="shared" si="15"/>
        <v>12210.220000000001</v>
      </c>
      <c r="M13" s="51">
        <f>919.03+4415.22+5465.38</f>
        <v>10799.630000000001</v>
      </c>
      <c r="N13" s="11">
        <v>61.02</v>
      </c>
      <c r="O13" s="11">
        <v>0</v>
      </c>
      <c r="P13" s="11">
        <v>0</v>
      </c>
      <c r="Q13" s="11">
        <v>242</v>
      </c>
      <c r="R13" s="11">
        <v>513.04999999999995</v>
      </c>
      <c r="S13" s="11">
        <v>481.78</v>
      </c>
      <c r="T13" s="11">
        <v>112.74</v>
      </c>
      <c r="U13" s="11">
        <v>355.52</v>
      </c>
      <c r="V13" s="33">
        <v>10</v>
      </c>
      <c r="W13" s="33">
        <v>15</v>
      </c>
      <c r="X13" s="11">
        <v>1428</v>
      </c>
      <c r="Y13" s="11">
        <v>450</v>
      </c>
      <c r="Z13" s="31">
        <f t="shared" si="11"/>
        <v>-0.5</v>
      </c>
      <c r="AA13" s="32">
        <f t="shared" si="2"/>
        <v>0</v>
      </c>
      <c r="AB13" s="32">
        <f t="shared" si="12"/>
        <v>0</v>
      </c>
      <c r="AC13" s="33">
        <v>0</v>
      </c>
      <c r="AD13" s="33">
        <f t="shared" si="13"/>
        <v>0</v>
      </c>
      <c r="AE13" s="33">
        <v>55</v>
      </c>
      <c r="AF13" s="33"/>
      <c r="AG13" s="33">
        <f t="shared" si="14"/>
        <v>-55</v>
      </c>
    </row>
    <row r="14" spans="1:33" s="35" customFormat="1" ht="18.75">
      <c r="A14" s="9">
        <v>45058</v>
      </c>
      <c r="B14" s="10" t="s">
        <v>20</v>
      </c>
      <c r="C14" s="11">
        <v>10724.11</v>
      </c>
      <c r="D14" s="11">
        <v>5125.8999999999996</v>
      </c>
      <c r="E14" s="11">
        <v>43.5</v>
      </c>
      <c r="F14" s="11">
        <v>88</v>
      </c>
      <c r="G14" s="11">
        <v>240</v>
      </c>
      <c r="H14" s="11">
        <v>315.48</v>
      </c>
      <c r="I14" s="11">
        <f t="shared" si="10"/>
        <v>16536.990000000002</v>
      </c>
      <c r="J14" s="43">
        <v>2953.38</v>
      </c>
      <c r="K14" s="43">
        <v>0</v>
      </c>
      <c r="L14" s="11">
        <f t="shared" si="15"/>
        <v>13098.719999999998</v>
      </c>
      <c r="M14" s="51">
        <f>788.65+4199.41+7447.35</f>
        <v>12435.41</v>
      </c>
      <c r="N14" s="11">
        <v>79.989999999999995</v>
      </c>
      <c r="O14" s="11">
        <v>0</v>
      </c>
      <c r="P14" s="11">
        <v>92.15</v>
      </c>
      <c r="Q14" s="11">
        <v>50.05</v>
      </c>
      <c r="R14" s="11">
        <v>233.21</v>
      </c>
      <c r="S14" s="11">
        <v>60.02</v>
      </c>
      <c r="T14" s="11">
        <v>147.88999999999999</v>
      </c>
      <c r="U14" s="11">
        <v>827.36</v>
      </c>
      <c r="V14" s="33">
        <v>0</v>
      </c>
      <c r="W14" s="33">
        <v>30</v>
      </c>
      <c r="X14" s="11">
        <v>2096</v>
      </c>
      <c r="Y14" s="11">
        <v>450</v>
      </c>
      <c r="Z14" s="31">
        <f t="shared" si="11"/>
        <v>-1.999999999998181E-2</v>
      </c>
      <c r="AA14" s="32">
        <f t="shared" si="2"/>
        <v>5.6099999999969441</v>
      </c>
      <c r="AB14" s="32">
        <f t="shared" si="12"/>
        <v>40</v>
      </c>
      <c r="AC14" s="33">
        <v>200</v>
      </c>
      <c r="AD14" s="33">
        <f t="shared" si="13"/>
        <v>24.980000000000018</v>
      </c>
      <c r="AE14" s="33">
        <v>290.5</v>
      </c>
      <c r="AF14" s="33"/>
      <c r="AG14" s="33">
        <f t="shared" si="14"/>
        <v>-315.48</v>
      </c>
    </row>
    <row r="15" spans="1:33" s="35" customFormat="1" ht="18.75">
      <c r="A15" s="9">
        <v>45059</v>
      </c>
      <c r="B15" s="10" t="s">
        <v>21</v>
      </c>
      <c r="C15" s="11">
        <f>8196.1+89.53</f>
        <v>8285.630000000001</v>
      </c>
      <c r="D15" s="11">
        <v>5150.1499999999996</v>
      </c>
      <c r="E15" s="11">
        <v>16</v>
      </c>
      <c r="F15" s="11">
        <v>84</v>
      </c>
      <c r="G15" s="11">
        <v>40</v>
      </c>
      <c r="H15" s="11">
        <v>80</v>
      </c>
      <c r="I15" s="11">
        <f t="shared" si="10"/>
        <v>13665.78</v>
      </c>
      <c r="J15" s="11">
        <v>3099.62</v>
      </c>
      <c r="K15" s="11">
        <v>0</v>
      </c>
      <c r="L15" s="11">
        <f t="shared" si="15"/>
        <v>10438.640000000001</v>
      </c>
      <c r="M15" s="51">
        <f>861.25+3806.19+5184.96</f>
        <v>9852.4000000000015</v>
      </c>
      <c r="N15" s="11">
        <v>48.27</v>
      </c>
      <c r="O15" s="11">
        <v>0</v>
      </c>
      <c r="P15" s="11">
        <v>0</v>
      </c>
      <c r="Q15" s="11">
        <v>57.05</v>
      </c>
      <c r="R15" s="11">
        <v>209.67</v>
      </c>
      <c r="S15" s="11">
        <v>106.12</v>
      </c>
      <c r="T15" s="11">
        <v>165.13</v>
      </c>
      <c r="U15" s="11">
        <v>0</v>
      </c>
      <c r="V15" s="33">
        <v>10</v>
      </c>
      <c r="W15" s="33">
        <v>31</v>
      </c>
      <c r="X15" s="11">
        <v>3055</v>
      </c>
      <c r="Y15" s="11">
        <v>450</v>
      </c>
      <c r="Z15" s="31">
        <f t="shared" si="11"/>
        <v>-3.6199999999998909</v>
      </c>
      <c r="AA15" s="32">
        <f t="shared" si="2"/>
        <v>-87.519999999998618</v>
      </c>
      <c r="AB15" s="32">
        <f t="shared" si="12"/>
        <v>20</v>
      </c>
      <c r="AC15" s="33">
        <v>20</v>
      </c>
      <c r="AD15" s="33">
        <f t="shared" si="13"/>
        <v>60</v>
      </c>
      <c r="AE15" s="33">
        <v>20</v>
      </c>
      <c r="AF15" s="33"/>
      <c r="AG15" s="33">
        <f t="shared" si="14"/>
        <v>-80</v>
      </c>
    </row>
    <row r="16" spans="1:33" s="35" customFormat="1" ht="18.75">
      <c r="A16" s="9">
        <v>45060</v>
      </c>
      <c r="B16" s="10" t="s">
        <v>22</v>
      </c>
      <c r="C16" s="11">
        <v>7366.53</v>
      </c>
      <c r="D16" s="11">
        <v>4484.6400000000003</v>
      </c>
      <c r="E16" s="11">
        <v>12</v>
      </c>
      <c r="F16" s="11">
        <v>74</v>
      </c>
      <c r="G16" s="11">
        <v>120</v>
      </c>
      <c r="H16" s="11">
        <v>60</v>
      </c>
      <c r="I16" s="11">
        <f t="shared" si="10"/>
        <v>12207.17</v>
      </c>
      <c r="J16" s="11">
        <v>2221.2399999999998</v>
      </c>
      <c r="K16" s="11">
        <v>0</v>
      </c>
      <c r="L16" s="11">
        <f t="shared" si="15"/>
        <v>9940.93</v>
      </c>
      <c r="M16" s="51">
        <f>578.23+3813.57+5056.63</f>
        <v>9448.43</v>
      </c>
      <c r="N16" s="11">
        <v>299.63</v>
      </c>
      <c r="O16" s="11">
        <v>0</v>
      </c>
      <c r="P16" s="11">
        <v>0</v>
      </c>
      <c r="Q16" s="11">
        <v>0</v>
      </c>
      <c r="R16" s="11">
        <v>40.97</v>
      </c>
      <c r="S16" s="11">
        <f>49.49+61.3</f>
        <v>110.78999999999999</v>
      </c>
      <c r="T16" s="11">
        <v>41.11</v>
      </c>
      <c r="U16" s="11">
        <v>245.32</v>
      </c>
      <c r="V16" s="33">
        <v>90</v>
      </c>
      <c r="W16" s="33">
        <v>4</v>
      </c>
      <c r="X16" s="11">
        <v>1885</v>
      </c>
      <c r="Y16" s="11">
        <v>450</v>
      </c>
      <c r="Z16" s="31">
        <f t="shared" si="11"/>
        <v>3.080000000000382</v>
      </c>
      <c r="AA16" s="32">
        <f t="shared" si="2"/>
        <v>0</v>
      </c>
      <c r="AB16" s="32">
        <f t="shared" si="12"/>
        <v>110</v>
      </c>
      <c r="AC16" s="33">
        <v>10</v>
      </c>
      <c r="AD16" s="33">
        <f t="shared" si="13"/>
        <v>25</v>
      </c>
      <c r="AE16" s="33">
        <v>35</v>
      </c>
      <c r="AF16" s="33">
        <v>3360</v>
      </c>
      <c r="AG16" s="33">
        <f>SUM(AF16-H16)</f>
        <v>3300</v>
      </c>
    </row>
    <row r="17" spans="1:37" ht="37.5" customHeight="1">
      <c r="A17" s="65" t="s">
        <v>27</v>
      </c>
      <c r="B17" s="66"/>
      <c r="C17" s="27">
        <f>SUM(C10:C16)</f>
        <v>61086.61</v>
      </c>
      <c r="D17" s="27">
        <f t="shared" ref="D17:AG17" si="16">SUM(D10:D16)</f>
        <v>29584.85</v>
      </c>
      <c r="E17" s="27">
        <f t="shared" si="16"/>
        <v>140.5</v>
      </c>
      <c r="F17" s="27">
        <f t="shared" si="16"/>
        <v>442</v>
      </c>
      <c r="G17" s="27">
        <f t="shared" si="16"/>
        <v>772</v>
      </c>
      <c r="H17" s="27">
        <f t="shared" si="16"/>
        <v>715.98</v>
      </c>
      <c r="I17" s="27">
        <f t="shared" si="16"/>
        <v>92883.290000000008</v>
      </c>
      <c r="J17" s="27">
        <f t="shared" si="16"/>
        <v>16919.169999999998</v>
      </c>
      <c r="K17" s="27">
        <f t="shared" si="16"/>
        <v>0</v>
      </c>
      <c r="L17" s="27">
        <f t="shared" si="16"/>
        <v>74685.640000000014</v>
      </c>
      <c r="M17" s="27">
        <f t="shared" si="16"/>
        <v>68425.400000000009</v>
      </c>
      <c r="N17" s="27">
        <f t="shared" si="16"/>
        <v>560.72</v>
      </c>
      <c r="O17" s="27">
        <f t="shared" si="16"/>
        <v>90.94</v>
      </c>
      <c r="P17" s="27">
        <f t="shared" si="16"/>
        <v>270.27999999999997</v>
      </c>
      <c r="Q17" s="27">
        <f t="shared" si="16"/>
        <v>816.7299999999999</v>
      </c>
      <c r="R17" s="27">
        <f t="shared" si="16"/>
        <v>2254.8599999999997</v>
      </c>
      <c r="S17" s="27">
        <f t="shared" si="16"/>
        <v>1432.94</v>
      </c>
      <c r="T17" s="27">
        <f t="shared" si="16"/>
        <v>833.77</v>
      </c>
      <c r="U17" s="27">
        <f t="shared" si="16"/>
        <v>1685.7</v>
      </c>
      <c r="V17" s="27">
        <f t="shared" si="16"/>
        <v>141.35</v>
      </c>
      <c r="W17" s="27">
        <f t="shared" si="16"/>
        <v>219</v>
      </c>
      <c r="X17" s="27">
        <f t="shared" si="16"/>
        <v>14739</v>
      </c>
      <c r="Y17" s="27">
        <f t="shared" si="16"/>
        <v>3150</v>
      </c>
      <c r="Z17" s="27">
        <f t="shared" si="16"/>
        <v>-134.11999999999921</v>
      </c>
      <c r="AA17" s="27">
        <f t="shared" si="16"/>
        <v>-191.97999999999774</v>
      </c>
      <c r="AB17" s="27">
        <f t="shared" si="16"/>
        <v>245</v>
      </c>
      <c r="AC17" s="27">
        <f t="shared" si="16"/>
        <v>527</v>
      </c>
      <c r="AD17" s="27">
        <f t="shared" si="16"/>
        <v>156.48000000000002</v>
      </c>
      <c r="AE17" s="27">
        <f t="shared" si="16"/>
        <v>559.5</v>
      </c>
      <c r="AF17" s="27">
        <f>SUM(AF10:AF16)</f>
        <v>3360</v>
      </c>
      <c r="AG17" s="27">
        <f t="shared" si="16"/>
        <v>2644.02</v>
      </c>
    </row>
    <row r="18" spans="1:37" s="35" customFormat="1" ht="18.75">
      <c r="A18" s="9">
        <v>45061</v>
      </c>
      <c r="B18" s="10" t="s">
        <v>23</v>
      </c>
      <c r="C18" s="11">
        <v>7987.96</v>
      </c>
      <c r="D18" s="11">
        <v>3855.63</v>
      </c>
      <c r="E18" s="11">
        <v>2.5</v>
      </c>
      <c r="F18" s="11">
        <v>82</v>
      </c>
      <c r="G18" s="11">
        <v>310</v>
      </c>
      <c r="H18" s="11">
        <v>168.33</v>
      </c>
      <c r="I18" s="11">
        <f t="shared" ref="I18:I24" si="17">SUM(C18:H18,V18)</f>
        <v>12425.82</v>
      </c>
      <c r="J18" s="11">
        <v>2177.79</v>
      </c>
      <c r="K18" s="11">
        <v>0</v>
      </c>
      <c r="L18" s="11">
        <f>SUM(M18:T18)</f>
        <v>9909.7000000000007</v>
      </c>
      <c r="M18" s="52">
        <f>708.15+3079.31+4985.87</f>
        <v>8773.33</v>
      </c>
      <c r="N18" s="11">
        <v>0</v>
      </c>
      <c r="O18" s="11">
        <v>0</v>
      </c>
      <c r="P18" s="11">
        <v>0</v>
      </c>
      <c r="Q18" s="11">
        <v>154.91</v>
      </c>
      <c r="R18" s="11">
        <v>770.45</v>
      </c>
      <c r="S18" s="11">
        <v>61.91</v>
      </c>
      <c r="T18" s="11">
        <v>149.1</v>
      </c>
      <c r="U18" s="11">
        <v>265.17</v>
      </c>
      <c r="V18" s="33">
        <v>19.399999999999999</v>
      </c>
      <c r="W18" s="33">
        <v>100</v>
      </c>
      <c r="X18" s="11">
        <v>1805</v>
      </c>
      <c r="Y18" s="11">
        <v>450</v>
      </c>
      <c r="Z18" s="31">
        <f t="shared" ref="Z18:Z24" si="18">SUM(U18,V18,W18,X18)-J18</f>
        <v>11.7800000000002</v>
      </c>
      <c r="AA18" s="32">
        <f t="shared" si="2"/>
        <v>-9.999999999998181</v>
      </c>
      <c r="AB18" s="32">
        <f t="shared" si="12"/>
        <v>100</v>
      </c>
      <c r="AC18" s="32">
        <v>210</v>
      </c>
      <c r="AD18" s="33">
        <f t="shared" ref="AD18:AD24" si="19">SUM(H18-AE18)</f>
        <v>50.000000000000014</v>
      </c>
      <c r="AE18" s="33">
        <v>118.33</v>
      </c>
      <c r="AF18" s="33"/>
      <c r="AG18" s="33">
        <f t="shared" ref="AG18:AG24" si="20">SUM(AF18-H18)</f>
        <v>-168.33</v>
      </c>
    </row>
    <row r="19" spans="1:37" s="35" customFormat="1" ht="18.75">
      <c r="A19" s="9">
        <v>45062</v>
      </c>
      <c r="B19" s="10" t="s">
        <v>24</v>
      </c>
      <c r="C19" s="11">
        <v>9374.19</v>
      </c>
      <c r="D19" s="11">
        <v>3125.32</v>
      </c>
      <c r="E19" s="11">
        <v>24</v>
      </c>
      <c r="F19" s="11">
        <v>46</v>
      </c>
      <c r="G19" s="11">
        <v>43</v>
      </c>
      <c r="H19" s="11">
        <v>245</v>
      </c>
      <c r="I19" s="11">
        <f t="shared" si="17"/>
        <v>12861.01</v>
      </c>
      <c r="J19" s="11">
        <v>2337.65</v>
      </c>
      <c r="K19" s="11">
        <v>0</v>
      </c>
      <c r="L19" s="11">
        <f>SUM(M19:T19)</f>
        <v>10268.36</v>
      </c>
      <c r="M19" s="51">
        <f>1259.42+2781.19+5211.75</f>
        <v>9252.36</v>
      </c>
      <c r="N19" s="11">
        <v>28.64</v>
      </c>
      <c r="O19" s="11">
        <v>0</v>
      </c>
      <c r="P19" s="11">
        <v>113.29</v>
      </c>
      <c r="Q19" s="11">
        <v>65.239999999999995</v>
      </c>
      <c r="R19" s="11">
        <v>493.3</v>
      </c>
      <c r="S19" s="11">
        <v>241.59</v>
      </c>
      <c r="T19" s="11">
        <v>73.94</v>
      </c>
      <c r="U19" s="11">
        <v>0</v>
      </c>
      <c r="V19" s="33">
        <v>3.5</v>
      </c>
      <c r="W19" s="33">
        <v>45</v>
      </c>
      <c r="X19" s="11">
        <v>2294</v>
      </c>
      <c r="Y19" s="11">
        <v>450</v>
      </c>
      <c r="Z19" s="31">
        <f t="shared" si="18"/>
        <v>4.8499999999999091</v>
      </c>
      <c r="AA19" s="32">
        <f t="shared" si="2"/>
        <v>0</v>
      </c>
      <c r="AB19" s="32">
        <f t="shared" si="12"/>
        <v>23</v>
      </c>
      <c r="AC19" s="32">
        <v>20</v>
      </c>
      <c r="AD19" s="33">
        <f t="shared" si="19"/>
        <v>10</v>
      </c>
      <c r="AE19" s="33">
        <v>235</v>
      </c>
      <c r="AF19" s="33"/>
      <c r="AG19" s="33">
        <f t="shared" si="20"/>
        <v>-245</v>
      </c>
    </row>
    <row r="20" spans="1:37" s="35" customFormat="1" ht="18.75">
      <c r="A20" s="9">
        <v>45063</v>
      </c>
      <c r="B20" s="10" t="s">
        <v>25</v>
      </c>
      <c r="C20" s="11">
        <v>8502.09</v>
      </c>
      <c r="D20" s="11">
        <v>4058.59</v>
      </c>
      <c r="E20" s="11">
        <v>20</v>
      </c>
      <c r="F20" s="11">
        <v>70</v>
      </c>
      <c r="G20" s="11">
        <v>10</v>
      </c>
      <c r="H20" s="11">
        <v>487.31</v>
      </c>
      <c r="I20" s="11">
        <f t="shared" si="17"/>
        <v>13162.99</v>
      </c>
      <c r="J20" s="11">
        <v>2190.37</v>
      </c>
      <c r="K20" s="11">
        <v>0</v>
      </c>
      <c r="L20" s="11">
        <f t="shared" ref="L20:L24" si="21">SUM(M20:T20)</f>
        <v>10681.619999999999</v>
      </c>
      <c r="M20" s="51">
        <f>1124.3+3042.85+5632.49</f>
        <v>9799.64</v>
      </c>
      <c r="N20" s="11">
        <v>50</v>
      </c>
      <c r="O20" s="11">
        <v>0</v>
      </c>
      <c r="P20" s="11">
        <v>85.49</v>
      </c>
      <c r="Q20" s="11">
        <v>89.83</v>
      </c>
      <c r="R20" s="11">
        <v>242.83</v>
      </c>
      <c r="S20" s="11">
        <v>413.83</v>
      </c>
      <c r="T20" s="11">
        <v>0</v>
      </c>
      <c r="U20" s="11">
        <v>0</v>
      </c>
      <c r="V20" s="33">
        <v>15</v>
      </c>
      <c r="W20" s="33">
        <v>59</v>
      </c>
      <c r="X20" s="11">
        <v>1995</v>
      </c>
      <c r="Y20" s="11">
        <v>450</v>
      </c>
      <c r="Z20" s="31">
        <f t="shared" si="18"/>
        <v>-121.36999999999989</v>
      </c>
      <c r="AA20" s="32">
        <f t="shared" si="2"/>
        <v>7.999999999998181</v>
      </c>
      <c r="AB20" s="32">
        <f t="shared" si="12"/>
        <v>0</v>
      </c>
      <c r="AC20" s="32">
        <v>10</v>
      </c>
      <c r="AD20" s="33">
        <f t="shared" si="19"/>
        <v>198.31</v>
      </c>
      <c r="AE20" s="33">
        <v>289</v>
      </c>
      <c r="AF20" s="33"/>
      <c r="AG20" s="33">
        <f t="shared" si="20"/>
        <v>-487.31</v>
      </c>
    </row>
    <row r="21" spans="1:37" s="35" customFormat="1" ht="18.75">
      <c r="A21" s="9">
        <v>45064</v>
      </c>
      <c r="B21" s="10" t="s">
        <v>26</v>
      </c>
      <c r="C21" s="11">
        <v>8925.66</v>
      </c>
      <c r="D21" s="11">
        <v>3992.75</v>
      </c>
      <c r="E21" s="11">
        <v>0</v>
      </c>
      <c r="F21" s="11">
        <v>101</v>
      </c>
      <c r="G21" s="11">
        <v>70</v>
      </c>
      <c r="H21" s="11">
        <v>416.78</v>
      </c>
      <c r="I21" s="11">
        <f t="shared" si="17"/>
        <v>13518.69</v>
      </c>
      <c r="J21" s="11">
        <v>2464.0100000000002</v>
      </c>
      <c r="K21" s="11">
        <v>0</v>
      </c>
      <c r="L21" s="11">
        <f t="shared" si="21"/>
        <v>10677.9</v>
      </c>
      <c r="M21" s="51">
        <f>1169.8+2781.12+5956.04</f>
        <v>9906.9599999999991</v>
      </c>
      <c r="N21" s="11">
        <v>0</v>
      </c>
      <c r="O21" s="11">
        <v>0</v>
      </c>
      <c r="P21" s="11">
        <v>67.23</v>
      </c>
      <c r="Q21" s="11">
        <v>111.33</v>
      </c>
      <c r="R21" s="11">
        <v>290.85000000000002</v>
      </c>
      <c r="S21" s="11">
        <v>301.52999999999997</v>
      </c>
      <c r="T21" s="11">
        <v>0</v>
      </c>
      <c r="U21" s="11">
        <v>523.22</v>
      </c>
      <c r="V21" s="33">
        <v>12.5</v>
      </c>
      <c r="W21" s="33">
        <v>45</v>
      </c>
      <c r="X21" s="11">
        <v>1367</v>
      </c>
      <c r="Y21" s="11">
        <v>450</v>
      </c>
      <c r="Z21" s="31">
        <f t="shared" si="18"/>
        <v>-516.29000000000019</v>
      </c>
      <c r="AA21" s="32">
        <f t="shared" si="2"/>
        <v>0</v>
      </c>
      <c r="AB21" s="32">
        <f t="shared" si="12"/>
        <v>35</v>
      </c>
      <c r="AC21" s="32">
        <v>35</v>
      </c>
      <c r="AD21" s="33">
        <f t="shared" si="19"/>
        <v>75</v>
      </c>
      <c r="AE21" s="33">
        <f>210+131.78</f>
        <v>341.78</v>
      </c>
      <c r="AF21" s="33"/>
      <c r="AG21" s="33">
        <f t="shared" si="20"/>
        <v>-416.78</v>
      </c>
    </row>
    <row r="22" spans="1:37" s="35" customFormat="1" ht="18.75">
      <c r="A22" s="9">
        <v>45065</v>
      </c>
      <c r="B22" s="10" t="s">
        <v>20</v>
      </c>
      <c r="C22" s="11">
        <v>10541.42</v>
      </c>
      <c r="D22" s="11">
        <v>5313.71</v>
      </c>
      <c r="E22" s="11">
        <v>40</v>
      </c>
      <c r="F22" s="11">
        <v>115</v>
      </c>
      <c r="G22" s="11">
        <v>20</v>
      </c>
      <c r="H22" s="11">
        <v>50</v>
      </c>
      <c r="I22" s="11">
        <f t="shared" si="17"/>
        <v>16081.630000000001</v>
      </c>
      <c r="J22" s="11">
        <v>2710.68</v>
      </c>
      <c r="K22" s="11">
        <v>0</v>
      </c>
      <c r="L22" s="11">
        <f t="shared" si="21"/>
        <v>13333.250000000002</v>
      </c>
      <c r="M22" s="51">
        <f>117.34+786.77+3671.05+8014.18</f>
        <v>12589.34</v>
      </c>
      <c r="N22" s="11">
        <v>138.18</v>
      </c>
      <c r="O22" s="11">
        <v>0</v>
      </c>
      <c r="P22" s="11">
        <v>85.08</v>
      </c>
      <c r="Q22" s="11">
        <v>159.33000000000001</v>
      </c>
      <c r="R22" s="11">
        <v>233.7</v>
      </c>
      <c r="S22" s="11">
        <v>73.62</v>
      </c>
      <c r="T22" s="11">
        <v>54</v>
      </c>
      <c r="U22" s="11">
        <v>590.33000000000004</v>
      </c>
      <c r="V22" s="33">
        <v>1.5</v>
      </c>
      <c r="W22" s="33">
        <v>104.7</v>
      </c>
      <c r="X22" s="11">
        <v>2038</v>
      </c>
      <c r="Y22" s="11">
        <v>450</v>
      </c>
      <c r="Z22" s="31">
        <f t="shared" si="18"/>
        <v>23.850000000000364</v>
      </c>
      <c r="AA22" s="32">
        <f t="shared" si="2"/>
        <v>-17.699999999998909</v>
      </c>
      <c r="AB22" s="32">
        <f t="shared" si="12"/>
        <v>0</v>
      </c>
      <c r="AC22" s="32">
        <v>20</v>
      </c>
      <c r="AD22" s="33">
        <f t="shared" si="19"/>
        <v>50</v>
      </c>
      <c r="AE22" s="33">
        <v>0</v>
      </c>
      <c r="AF22" s="33"/>
      <c r="AG22" s="33">
        <f t="shared" si="20"/>
        <v>-50</v>
      </c>
    </row>
    <row r="23" spans="1:37" s="35" customFormat="1" ht="18.75">
      <c r="A23" s="9">
        <v>45066</v>
      </c>
      <c r="B23" s="10" t="s">
        <v>21</v>
      </c>
      <c r="C23" s="11">
        <v>8057.51</v>
      </c>
      <c r="D23" s="11">
        <v>5554.37</v>
      </c>
      <c r="E23" s="11">
        <v>13</v>
      </c>
      <c r="F23" s="11">
        <v>141</v>
      </c>
      <c r="G23" s="11">
        <v>110.41</v>
      </c>
      <c r="H23" s="11">
        <v>40</v>
      </c>
      <c r="I23" s="11">
        <f t="shared" si="17"/>
        <v>13916.29</v>
      </c>
      <c r="J23" s="11">
        <v>2798.75</v>
      </c>
      <c r="K23" s="11">
        <v>0</v>
      </c>
      <c r="L23" s="11">
        <f t="shared" si="21"/>
        <v>11585.63</v>
      </c>
      <c r="M23" s="51">
        <f>1036.88+3381.12+6239.15</f>
        <v>10657.15</v>
      </c>
      <c r="N23" s="11">
        <v>51.24</v>
      </c>
      <c r="O23" s="11">
        <v>0</v>
      </c>
      <c r="P23" s="11">
        <v>0</v>
      </c>
      <c r="Q23" s="11">
        <v>112.1</v>
      </c>
      <c r="R23" s="11">
        <v>255.93</v>
      </c>
      <c r="S23" s="11">
        <v>331.15</v>
      </c>
      <c r="T23" s="11">
        <v>178.06</v>
      </c>
      <c r="U23" s="11">
        <v>0</v>
      </c>
      <c r="V23" s="33">
        <v>0</v>
      </c>
      <c r="W23" s="33">
        <v>119</v>
      </c>
      <c r="X23" s="11">
        <v>2682</v>
      </c>
      <c r="Y23" s="11">
        <v>450</v>
      </c>
      <c r="Z23" s="31">
        <f t="shared" si="18"/>
        <v>2.25</v>
      </c>
      <c r="AA23" s="32">
        <f t="shared" si="2"/>
        <v>561.08999999999833</v>
      </c>
      <c r="AB23" s="32">
        <f t="shared" si="12"/>
        <v>47.41</v>
      </c>
      <c r="AC23" s="32">
        <v>63</v>
      </c>
      <c r="AD23" s="33">
        <f t="shared" si="19"/>
        <v>10</v>
      </c>
      <c r="AE23" s="33">
        <v>30</v>
      </c>
      <c r="AF23" s="33"/>
      <c r="AG23" s="33">
        <f t="shared" si="20"/>
        <v>-40</v>
      </c>
    </row>
    <row r="24" spans="1:37" s="35" customFormat="1" ht="18.75">
      <c r="A24" s="9">
        <v>45067</v>
      </c>
      <c r="B24" s="10" t="s">
        <v>22</v>
      </c>
      <c r="C24" s="11">
        <v>8552.19</v>
      </c>
      <c r="D24" s="11">
        <v>4808.91</v>
      </c>
      <c r="E24" s="11">
        <v>12</v>
      </c>
      <c r="F24" s="11">
        <v>145</v>
      </c>
      <c r="G24" s="11">
        <v>230</v>
      </c>
      <c r="H24" s="11">
        <v>74</v>
      </c>
      <c r="I24" s="11">
        <f t="shared" si="17"/>
        <v>13903.1</v>
      </c>
      <c r="J24" s="11">
        <v>2863.15</v>
      </c>
      <c r="K24" s="11">
        <v>0</v>
      </c>
      <c r="L24" s="11">
        <f t="shared" si="21"/>
        <v>10757.950000000003</v>
      </c>
      <c r="M24" s="51">
        <f>688.48+3372.19+5670.05</f>
        <v>9730.7200000000012</v>
      </c>
      <c r="N24" s="11">
        <v>96.01</v>
      </c>
      <c r="O24" s="11">
        <v>0</v>
      </c>
      <c r="P24" s="11">
        <v>101.86</v>
      </c>
      <c r="Q24" s="11">
        <v>178.95</v>
      </c>
      <c r="R24" s="11">
        <v>134.97</v>
      </c>
      <c r="S24" s="11">
        <v>278.14999999999998</v>
      </c>
      <c r="T24" s="11">
        <v>237.29</v>
      </c>
      <c r="U24" s="11">
        <v>101.54</v>
      </c>
      <c r="V24" s="33">
        <v>81</v>
      </c>
      <c r="W24" s="33">
        <v>118</v>
      </c>
      <c r="X24" s="11">
        <v>2579.83</v>
      </c>
      <c r="Y24" s="11">
        <v>450</v>
      </c>
      <c r="Z24" s="31">
        <f t="shared" si="18"/>
        <v>17.2199999999998</v>
      </c>
      <c r="AA24" s="32">
        <f t="shared" si="2"/>
        <v>-126.99999999999818</v>
      </c>
      <c r="AB24" s="32">
        <f t="shared" si="12"/>
        <v>140</v>
      </c>
      <c r="AC24" s="32">
        <v>90</v>
      </c>
      <c r="AD24" s="33">
        <f t="shared" si="19"/>
        <v>9</v>
      </c>
      <c r="AE24" s="33">
        <v>65</v>
      </c>
      <c r="AF24" s="33">
        <v>4360</v>
      </c>
      <c r="AG24" s="33">
        <f t="shared" si="20"/>
        <v>4286</v>
      </c>
    </row>
    <row r="25" spans="1:37" ht="37.5" customHeight="1">
      <c r="A25" s="65" t="s">
        <v>27</v>
      </c>
      <c r="B25" s="66"/>
      <c r="C25" s="27">
        <f>SUM(C18:C24)</f>
        <v>61941.020000000004</v>
      </c>
      <c r="D25" s="27">
        <f t="shared" ref="D25:AG25" si="22">SUM(D18:D24)</f>
        <v>30709.279999999999</v>
      </c>
      <c r="E25" s="27">
        <f t="shared" si="22"/>
        <v>111.5</v>
      </c>
      <c r="F25" s="27">
        <f t="shared" si="22"/>
        <v>700</v>
      </c>
      <c r="G25" s="27">
        <f t="shared" si="22"/>
        <v>793.41</v>
      </c>
      <c r="H25" s="27">
        <f t="shared" si="22"/>
        <v>1481.42</v>
      </c>
      <c r="I25" s="27">
        <f t="shared" si="22"/>
        <v>95869.53</v>
      </c>
      <c r="J25" s="27">
        <f t="shared" si="22"/>
        <v>17542.400000000001</v>
      </c>
      <c r="K25" s="27">
        <f t="shared" si="22"/>
        <v>0</v>
      </c>
      <c r="L25" s="27">
        <f t="shared" si="22"/>
        <v>77214.41</v>
      </c>
      <c r="M25" s="27">
        <f t="shared" si="22"/>
        <v>70709.5</v>
      </c>
      <c r="N25" s="27">
        <f t="shared" si="22"/>
        <v>364.07</v>
      </c>
      <c r="O25" s="27">
        <f t="shared" si="22"/>
        <v>0</v>
      </c>
      <c r="P25" s="27">
        <f t="shared" si="22"/>
        <v>452.95</v>
      </c>
      <c r="Q25" s="27">
        <f t="shared" si="22"/>
        <v>871.69</v>
      </c>
      <c r="R25" s="27">
        <f t="shared" si="22"/>
        <v>2422.0299999999997</v>
      </c>
      <c r="S25" s="27">
        <f t="shared" si="22"/>
        <v>1701.7800000000002</v>
      </c>
      <c r="T25" s="27">
        <f t="shared" si="22"/>
        <v>692.39</v>
      </c>
      <c r="U25" s="27">
        <f t="shared" si="22"/>
        <v>1480.2600000000002</v>
      </c>
      <c r="V25" s="27">
        <f t="shared" si="22"/>
        <v>132.9</v>
      </c>
      <c r="W25" s="27">
        <f t="shared" si="22"/>
        <v>590.70000000000005</v>
      </c>
      <c r="X25" s="27">
        <f t="shared" si="22"/>
        <v>14760.83</v>
      </c>
      <c r="Y25" s="27">
        <f t="shared" si="22"/>
        <v>3150</v>
      </c>
      <c r="Z25" s="27">
        <f t="shared" si="22"/>
        <v>-577.70999999999981</v>
      </c>
      <c r="AA25" s="27">
        <f t="shared" si="22"/>
        <v>414.39000000000124</v>
      </c>
      <c r="AB25" s="27">
        <f t="shared" si="22"/>
        <v>345.40999999999997</v>
      </c>
      <c r="AC25" s="27">
        <f t="shared" si="22"/>
        <v>448</v>
      </c>
      <c r="AD25" s="27">
        <f t="shared" si="22"/>
        <v>402.31</v>
      </c>
      <c r="AE25" s="27">
        <f t="shared" si="22"/>
        <v>1079.1099999999999</v>
      </c>
      <c r="AF25" s="27">
        <f t="shared" si="22"/>
        <v>4360</v>
      </c>
      <c r="AG25" s="27">
        <f t="shared" si="22"/>
        <v>2878.58</v>
      </c>
    </row>
    <row r="26" spans="1:37" ht="20.25" customHeight="1">
      <c r="A26" s="9">
        <v>45068</v>
      </c>
      <c r="B26" s="10" t="s">
        <v>23</v>
      </c>
      <c r="C26" s="11">
        <v>9067.19</v>
      </c>
      <c r="D26" s="11">
        <v>3729.15</v>
      </c>
      <c r="E26" s="11">
        <v>3</v>
      </c>
      <c r="F26" s="11">
        <v>82</v>
      </c>
      <c r="G26" s="11">
        <v>55</v>
      </c>
      <c r="H26" s="11">
        <v>145</v>
      </c>
      <c r="I26" s="11">
        <f t="shared" ref="I26:I32" si="23">SUM(C26:H26,V26)</f>
        <v>13096.34</v>
      </c>
      <c r="J26" s="11">
        <v>2339.0100000000002</v>
      </c>
      <c r="K26" s="11">
        <v>0</v>
      </c>
      <c r="L26" s="11">
        <f>SUM(M26:T26)</f>
        <v>10557.33</v>
      </c>
      <c r="M26" s="51">
        <f>737.15+3460.72+5155.81</f>
        <v>9353.68</v>
      </c>
      <c r="N26" s="11">
        <v>0</v>
      </c>
      <c r="O26" s="11">
        <v>0</v>
      </c>
      <c r="P26" s="11">
        <v>0</v>
      </c>
      <c r="Q26" s="11">
        <v>155.52000000000001</v>
      </c>
      <c r="R26" s="11">
        <v>629.09</v>
      </c>
      <c r="S26" s="11">
        <v>305.88</v>
      </c>
      <c r="T26" s="11">
        <v>113.16</v>
      </c>
      <c r="U26" s="11">
        <v>262.61</v>
      </c>
      <c r="V26" s="33">
        <v>15</v>
      </c>
      <c r="W26" s="33">
        <v>57</v>
      </c>
      <c r="X26" s="11">
        <v>2026.04</v>
      </c>
      <c r="Y26" s="11">
        <v>450</v>
      </c>
      <c r="Z26" s="31">
        <f t="shared" ref="Z26:Z32" si="24">SUM(U26,V26,W26,X26)-J26</f>
        <v>21.639999999999873</v>
      </c>
      <c r="AA26" s="32">
        <f t="shared" si="2"/>
        <v>-20</v>
      </c>
      <c r="AB26" s="32">
        <f t="shared" si="12"/>
        <v>0</v>
      </c>
      <c r="AC26" s="32">
        <v>55</v>
      </c>
      <c r="AD26" s="33">
        <f t="shared" ref="AD26" si="25">SUM(H26-AE26)</f>
        <v>20</v>
      </c>
      <c r="AE26" s="33">
        <v>125</v>
      </c>
      <c r="AF26" s="33"/>
      <c r="AG26" s="33">
        <f>SUM(AF26-H26)</f>
        <v>-145</v>
      </c>
    </row>
    <row r="27" spans="1:37" ht="20.25" customHeight="1">
      <c r="A27" s="9">
        <v>45069</v>
      </c>
      <c r="B27" s="10" t="s">
        <v>24</v>
      </c>
      <c r="C27" s="11">
        <f>7839.2+86.85</f>
        <v>7926.05</v>
      </c>
      <c r="D27" s="11">
        <v>3847.03</v>
      </c>
      <c r="E27" s="11">
        <v>43</v>
      </c>
      <c r="F27" s="11">
        <v>102</v>
      </c>
      <c r="G27" s="11">
        <v>155</v>
      </c>
      <c r="H27" s="11">
        <v>58.25</v>
      </c>
      <c r="I27" s="11">
        <f t="shared" si="23"/>
        <v>12141.33</v>
      </c>
      <c r="J27" s="11">
        <v>2629.7</v>
      </c>
      <c r="K27" s="11">
        <v>0</v>
      </c>
      <c r="L27" s="11">
        <f>SUM(M27:T27)</f>
        <v>9393.1299999999992</v>
      </c>
      <c r="M27" s="51">
        <f>819.45+2710.05+4877.34</f>
        <v>8406.84</v>
      </c>
      <c r="N27" s="11">
        <v>0</v>
      </c>
      <c r="O27" s="11">
        <v>0</v>
      </c>
      <c r="P27" s="11">
        <v>0</v>
      </c>
      <c r="Q27" s="11">
        <v>120.39</v>
      </c>
      <c r="R27" s="11">
        <v>485.33</v>
      </c>
      <c r="S27" s="11">
        <v>312.74</v>
      </c>
      <c r="T27" s="11">
        <v>67.83</v>
      </c>
      <c r="U27" s="11">
        <v>1424</v>
      </c>
      <c r="V27" s="33">
        <v>10</v>
      </c>
      <c r="W27" s="33">
        <v>50</v>
      </c>
      <c r="X27" s="11">
        <v>1151</v>
      </c>
      <c r="Y27" s="11">
        <v>450</v>
      </c>
      <c r="Z27" s="31">
        <f t="shared" si="24"/>
        <v>5.3000000000001819</v>
      </c>
      <c r="AA27" s="32">
        <f t="shared" si="2"/>
        <v>-86.750000000001819</v>
      </c>
      <c r="AB27" s="32">
        <f t="shared" si="12"/>
        <v>155</v>
      </c>
      <c r="AC27" s="32">
        <v>0</v>
      </c>
      <c r="AD27" s="33">
        <f t="shared" ref="AD27:AD32" si="26">SUM(H27-AE27)</f>
        <v>26.5</v>
      </c>
      <c r="AE27" s="33">
        <v>31.75</v>
      </c>
      <c r="AF27" s="33"/>
      <c r="AG27" s="33">
        <f t="shared" ref="AG27:AG32" si="27">SUM(AF27-H27)</f>
        <v>-58.25</v>
      </c>
      <c r="AK27" t="s">
        <v>106</v>
      </c>
    </row>
    <row r="28" spans="1:37" ht="20.25" customHeight="1">
      <c r="A28" s="9">
        <v>45070</v>
      </c>
      <c r="B28" s="10" t="s">
        <v>25</v>
      </c>
      <c r="C28" s="11">
        <v>8755.7199999999993</v>
      </c>
      <c r="D28" s="11">
        <v>3972.17</v>
      </c>
      <c r="E28" s="11">
        <v>14</v>
      </c>
      <c r="F28" s="11">
        <v>44</v>
      </c>
      <c r="G28" s="11">
        <v>0</v>
      </c>
      <c r="H28" s="11">
        <v>10</v>
      </c>
      <c r="I28" s="11">
        <f>SUM(C28:H28,V28)</f>
        <v>12795.89</v>
      </c>
      <c r="J28" s="11">
        <v>2155.83</v>
      </c>
      <c r="K28" s="11">
        <v>0</v>
      </c>
      <c r="L28" s="11">
        <f t="shared" ref="L28:L32" si="28">SUM(M28:T28)</f>
        <v>10640.06</v>
      </c>
      <c r="M28" s="51">
        <f>882.13+3108.79+5558.99</f>
        <v>9549.91</v>
      </c>
      <c r="N28" s="11">
        <v>82.92</v>
      </c>
      <c r="O28" s="11">
        <v>0</v>
      </c>
      <c r="P28" s="11">
        <v>0</v>
      </c>
      <c r="Q28" s="11">
        <v>171.07</v>
      </c>
      <c r="R28" s="11">
        <v>425.05</v>
      </c>
      <c r="S28" s="11">
        <v>398.6</v>
      </c>
      <c r="T28" s="11">
        <v>12.51</v>
      </c>
      <c r="U28" s="11">
        <v>40</v>
      </c>
      <c r="V28" s="33">
        <v>0</v>
      </c>
      <c r="W28" s="33">
        <v>54</v>
      </c>
      <c r="X28" s="11">
        <v>2063</v>
      </c>
      <c r="Y28" s="11">
        <v>450</v>
      </c>
      <c r="Z28" s="31">
        <f t="shared" si="24"/>
        <v>1.1700000000000728</v>
      </c>
      <c r="AA28" s="32">
        <f t="shared" si="2"/>
        <v>0</v>
      </c>
      <c r="AB28" s="32">
        <f t="shared" si="12"/>
        <v>0</v>
      </c>
      <c r="AC28" s="32">
        <v>0</v>
      </c>
      <c r="AD28" s="33">
        <f t="shared" si="26"/>
        <v>10</v>
      </c>
      <c r="AE28" s="33">
        <v>0</v>
      </c>
      <c r="AF28" s="33"/>
      <c r="AG28" s="33">
        <f t="shared" si="27"/>
        <v>-10</v>
      </c>
    </row>
    <row r="29" spans="1:37" ht="20.25" customHeight="1">
      <c r="A29" s="9">
        <v>45071</v>
      </c>
      <c r="B29" s="10" t="s">
        <v>26</v>
      </c>
      <c r="C29" s="11">
        <v>9757.33</v>
      </c>
      <c r="D29" s="11">
        <v>4787.95</v>
      </c>
      <c r="E29" s="11">
        <v>3.5</v>
      </c>
      <c r="F29" s="11">
        <v>75</v>
      </c>
      <c r="G29" s="11">
        <v>116</v>
      </c>
      <c r="H29" s="11">
        <v>20</v>
      </c>
      <c r="I29" s="11">
        <f t="shared" si="23"/>
        <v>14789.779999999999</v>
      </c>
      <c r="J29" s="11">
        <v>2242.31</v>
      </c>
      <c r="K29" s="11">
        <v>0</v>
      </c>
      <c r="L29" s="11">
        <f t="shared" si="28"/>
        <v>12477.570000000002</v>
      </c>
      <c r="M29" s="51">
        <f>1293.71+3360.41+6701.22</f>
        <v>11355.34</v>
      </c>
      <c r="N29" s="11">
        <v>0</v>
      </c>
      <c r="O29" s="11">
        <v>0</v>
      </c>
      <c r="P29" s="11">
        <v>102.04</v>
      </c>
      <c r="Q29" s="11">
        <v>128.69999999999999</v>
      </c>
      <c r="R29" s="11">
        <v>761.56</v>
      </c>
      <c r="S29" s="11">
        <v>82.36</v>
      </c>
      <c r="T29" s="11">
        <v>47.57</v>
      </c>
      <c r="U29" s="11">
        <v>146.63999999999999</v>
      </c>
      <c r="V29" s="33">
        <v>30</v>
      </c>
      <c r="W29" s="33">
        <v>136</v>
      </c>
      <c r="X29" s="11">
        <v>1957</v>
      </c>
      <c r="Y29" s="11">
        <v>450</v>
      </c>
      <c r="Z29" s="31">
        <f t="shared" si="24"/>
        <v>27.329999999999927</v>
      </c>
      <c r="AA29" s="32">
        <f t="shared" si="2"/>
        <v>-3.8999999999978172</v>
      </c>
      <c r="AB29" s="32">
        <f t="shared" si="12"/>
        <v>70</v>
      </c>
      <c r="AC29" s="32">
        <v>46</v>
      </c>
      <c r="AD29" s="33">
        <f t="shared" si="26"/>
        <v>0</v>
      </c>
      <c r="AE29" s="33">
        <v>20</v>
      </c>
      <c r="AF29" s="33"/>
      <c r="AG29" s="33">
        <f t="shared" si="27"/>
        <v>-20</v>
      </c>
    </row>
    <row r="30" spans="1:37" ht="20.25" customHeight="1">
      <c r="A30" s="9">
        <v>45072</v>
      </c>
      <c r="B30" s="10" t="s">
        <v>20</v>
      </c>
      <c r="C30" s="11">
        <v>11032.27</v>
      </c>
      <c r="D30" s="11">
        <v>6240.35</v>
      </c>
      <c r="E30" s="11">
        <v>62.5</v>
      </c>
      <c r="F30" s="11">
        <v>178</v>
      </c>
      <c r="G30" s="11">
        <v>40</v>
      </c>
      <c r="H30" s="11">
        <v>210.53</v>
      </c>
      <c r="I30" s="11">
        <f t="shared" si="23"/>
        <v>17793.650000000001</v>
      </c>
      <c r="J30" s="11">
        <v>3123.96</v>
      </c>
      <c r="K30" s="11">
        <v>0</v>
      </c>
      <c r="L30" s="11">
        <f t="shared" si="28"/>
        <v>14471.72</v>
      </c>
      <c r="M30" s="51">
        <f>895.04+5061.09+7562.04</f>
        <v>13518.17</v>
      </c>
      <c r="N30" s="11">
        <v>0</v>
      </c>
      <c r="O30" s="11">
        <v>94.26</v>
      </c>
      <c r="P30" s="11">
        <v>0</v>
      </c>
      <c r="Q30" s="11">
        <v>0</v>
      </c>
      <c r="R30" s="11">
        <v>387.5</v>
      </c>
      <c r="S30" s="11">
        <v>390.31</v>
      </c>
      <c r="T30" s="11">
        <v>81.48</v>
      </c>
      <c r="U30" s="11">
        <v>726.68</v>
      </c>
      <c r="V30" s="33">
        <v>30</v>
      </c>
      <c r="W30" s="33">
        <v>73.900000000000006</v>
      </c>
      <c r="X30" s="11">
        <v>2302</v>
      </c>
      <c r="Y30" s="11">
        <v>450</v>
      </c>
      <c r="Z30" s="31">
        <f t="shared" si="24"/>
        <v>8.6199999999998909</v>
      </c>
      <c r="AA30" s="32">
        <f t="shared" si="2"/>
        <v>2.5599999999976717</v>
      </c>
      <c r="AB30" s="32">
        <f t="shared" si="12"/>
        <v>30</v>
      </c>
      <c r="AC30" s="32">
        <v>10</v>
      </c>
      <c r="AD30" s="33">
        <f t="shared" si="26"/>
        <v>20</v>
      </c>
      <c r="AE30" s="33">
        <v>190.53</v>
      </c>
      <c r="AF30" s="33"/>
      <c r="AG30" s="33">
        <f t="shared" si="27"/>
        <v>-210.53</v>
      </c>
    </row>
    <row r="31" spans="1:37" ht="20.25" customHeight="1">
      <c r="A31" s="9">
        <v>45073</v>
      </c>
      <c r="B31" s="10" t="s">
        <v>21</v>
      </c>
      <c r="C31" s="11">
        <v>8356.82</v>
      </c>
      <c r="D31" s="11">
        <v>6473.05</v>
      </c>
      <c r="E31" s="11">
        <v>20</v>
      </c>
      <c r="F31" s="11">
        <v>141</v>
      </c>
      <c r="G31" s="11">
        <v>70</v>
      </c>
      <c r="H31" s="11">
        <v>19</v>
      </c>
      <c r="I31" s="11">
        <f t="shared" si="23"/>
        <v>15109.869999999999</v>
      </c>
      <c r="J31" s="11">
        <v>2567.7399999999998</v>
      </c>
      <c r="K31" s="11">
        <v>0</v>
      </c>
      <c r="L31" s="11">
        <f t="shared" si="28"/>
        <v>12443.130000000001</v>
      </c>
      <c r="M31" s="51">
        <f>1013.02+3804.55+6837.24</f>
        <v>11654.81</v>
      </c>
      <c r="N31" s="11">
        <v>0</v>
      </c>
      <c r="O31" s="11">
        <v>0</v>
      </c>
      <c r="P31" s="11">
        <v>0</v>
      </c>
      <c r="Q31" s="11">
        <v>41.65</v>
      </c>
      <c r="R31" s="11">
        <v>223.2</v>
      </c>
      <c r="S31" s="11">
        <v>62.69</v>
      </c>
      <c r="T31" s="11">
        <v>460.78</v>
      </c>
      <c r="U31" s="11">
        <v>0</v>
      </c>
      <c r="V31" s="33">
        <v>30</v>
      </c>
      <c r="W31" s="33">
        <v>112</v>
      </c>
      <c r="X31" s="11">
        <v>2471.1999999999998</v>
      </c>
      <c r="Y31" s="11">
        <v>450</v>
      </c>
      <c r="Z31" s="31">
        <f t="shared" si="24"/>
        <v>45.460000000000036</v>
      </c>
      <c r="AA31" s="32">
        <f t="shared" si="2"/>
        <v>-49.999999999998181</v>
      </c>
      <c r="AB31" s="32">
        <f t="shared" si="12"/>
        <v>40</v>
      </c>
      <c r="AC31" s="32">
        <v>30</v>
      </c>
      <c r="AD31" s="33">
        <f t="shared" si="26"/>
        <v>0</v>
      </c>
      <c r="AE31" s="33">
        <v>19</v>
      </c>
      <c r="AF31" s="33"/>
      <c r="AG31" s="33">
        <f t="shared" si="27"/>
        <v>-19</v>
      </c>
    </row>
    <row r="32" spans="1:37" ht="20.25" customHeight="1">
      <c r="A32" s="9">
        <v>45074</v>
      </c>
      <c r="B32" s="10" t="s">
        <v>22</v>
      </c>
      <c r="C32" s="11">
        <v>6329.58</v>
      </c>
      <c r="D32" s="11">
        <v>4368.3</v>
      </c>
      <c r="E32" s="11">
        <v>0</v>
      </c>
      <c r="F32" s="11">
        <v>82</v>
      </c>
      <c r="G32" s="11">
        <v>165</v>
      </c>
      <c r="H32" s="11">
        <v>110</v>
      </c>
      <c r="I32" s="11">
        <f t="shared" si="23"/>
        <v>11074.880000000001</v>
      </c>
      <c r="J32" s="11">
        <v>2117.92</v>
      </c>
      <c r="K32" s="11">
        <v>0</v>
      </c>
      <c r="L32" s="11">
        <f t="shared" si="28"/>
        <v>8782.4299999999985</v>
      </c>
      <c r="M32" s="51">
        <f>911.6+2780.11+4806.53</f>
        <v>8498.24</v>
      </c>
      <c r="N32" s="11">
        <v>57.07</v>
      </c>
      <c r="O32" s="11">
        <v>0</v>
      </c>
      <c r="P32" s="11">
        <v>0</v>
      </c>
      <c r="Q32" s="11">
        <v>0</v>
      </c>
      <c r="R32" s="11">
        <v>0</v>
      </c>
      <c r="S32" s="11">
        <v>143.22999999999999</v>
      </c>
      <c r="T32" s="11">
        <v>83.89</v>
      </c>
      <c r="U32" s="11">
        <v>111.18</v>
      </c>
      <c r="V32" s="33">
        <v>20</v>
      </c>
      <c r="W32" s="33">
        <v>50</v>
      </c>
      <c r="X32" s="11">
        <v>1950</v>
      </c>
      <c r="Y32" s="11">
        <v>450</v>
      </c>
      <c r="Z32" s="31">
        <f t="shared" si="24"/>
        <v>13.259999999999764</v>
      </c>
      <c r="AA32" s="32">
        <f t="shared" si="2"/>
        <v>0.46999999999752617</v>
      </c>
      <c r="AB32" s="32">
        <f t="shared" si="12"/>
        <v>0</v>
      </c>
      <c r="AC32" s="32">
        <v>165</v>
      </c>
      <c r="AD32" s="33">
        <f t="shared" si="26"/>
        <v>100</v>
      </c>
      <c r="AE32" s="33">
        <v>10</v>
      </c>
      <c r="AF32" s="33">
        <v>4990</v>
      </c>
      <c r="AG32" s="33">
        <f t="shared" si="27"/>
        <v>4880</v>
      </c>
    </row>
    <row r="33" spans="1:33" ht="37.5" customHeight="1">
      <c r="A33" s="65" t="s">
        <v>27</v>
      </c>
      <c r="B33" s="66"/>
      <c r="C33" s="27">
        <f t="shared" ref="C33:AG33" si="29">SUM(C26:C32)</f>
        <v>61224.959999999999</v>
      </c>
      <c r="D33" s="27">
        <f t="shared" si="29"/>
        <v>33418</v>
      </c>
      <c r="E33" s="27">
        <f t="shared" si="29"/>
        <v>146</v>
      </c>
      <c r="F33" s="27">
        <f t="shared" si="29"/>
        <v>704</v>
      </c>
      <c r="G33" s="27">
        <f t="shared" si="29"/>
        <v>601</v>
      </c>
      <c r="H33" s="27">
        <f t="shared" si="29"/>
        <v>572.78</v>
      </c>
      <c r="I33" s="27">
        <f t="shared" si="29"/>
        <v>96801.739999999991</v>
      </c>
      <c r="J33" s="27">
        <f t="shared" si="29"/>
        <v>17176.47</v>
      </c>
      <c r="K33" s="27">
        <f t="shared" si="29"/>
        <v>0</v>
      </c>
      <c r="L33" s="27">
        <f t="shared" si="29"/>
        <v>78765.37</v>
      </c>
      <c r="M33" s="27">
        <f t="shared" si="29"/>
        <v>72336.990000000005</v>
      </c>
      <c r="N33" s="27">
        <f t="shared" si="29"/>
        <v>139.99</v>
      </c>
      <c r="O33" s="27">
        <f t="shared" si="29"/>
        <v>94.26</v>
      </c>
      <c r="P33" s="27">
        <f t="shared" si="29"/>
        <v>102.04</v>
      </c>
      <c r="Q33" s="27">
        <f t="shared" si="29"/>
        <v>617.33000000000004</v>
      </c>
      <c r="R33" s="27">
        <f t="shared" si="29"/>
        <v>2911.7299999999996</v>
      </c>
      <c r="S33" s="27">
        <f t="shared" si="29"/>
        <v>1695.81</v>
      </c>
      <c r="T33" s="27">
        <f t="shared" si="29"/>
        <v>867.21999999999991</v>
      </c>
      <c r="U33" s="27">
        <f t="shared" si="29"/>
        <v>2711.1099999999997</v>
      </c>
      <c r="V33" s="27">
        <f t="shared" si="29"/>
        <v>135</v>
      </c>
      <c r="W33" s="27">
        <f t="shared" si="29"/>
        <v>532.9</v>
      </c>
      <c r="X33" s="27">
        <f t="shared" si="29"/>
        <v>13920.240000000002</v>
      </c>
      <c r="Y33" s="27">
        <f t="shared" si="29"/>
        <v>3150</v>
      </c>
      <c r="Z33" s="27">
        <f t="shared" si="29"/>
        <v>122.77999999999975</v>
      </c>
      <c r="AA33" s="27">
        <f t="shared" si="29"/>
        <v>-157.62000000000262</v>
      </c>
      <c r="AB33" s="27">
        <f t="shared" si="29"/>
        <v>295</v>
      </c>
      <c r="AC33" s="27">
        <f t="shared" si="29"/>
        <v>306</v>
      </c>
      <c r="AD33" s="27">
        <f t="shared" si="29"/>
        <v>176.5</v>
      </c>
      <c r="AE33" s="27">
        <f t="shared" si="29"/>
        <v>396.28</v>
      </c>
      <c r="AF33" s="27">
        <f t="shared" si="29"/>
        <v>4990</v>
      </c>
      <c r="AG33" s="27">
        <f t="shared" si="29"/>
        <v>4417.22</v>
      </c>
    </row>
    <row r="34" spans="1:33" ht="20.25" customHeight="1">
      <c r="A34" s="9">
        <v>45075</v>
      </c>
      <c r="B34" s="10" t="s">
        <v>23</v>
      </c>
      <c r="C34" s="11">
        <f>5.01+6858.49</f>
        <v>6863.5</v>
      </c>
      <c r="D34" s="11">
        <v>4457.33</v>
      </c>
      <c r="E34" s="11">
        <v>0</v>
      </c>
      <c r="F34" s="11">
        <v>72</v>
      </c>
      <c r="G34" s="11">
        <v>30</v>
      </c>
      <c r="H34" s="11">
        <v>49</v>
      </c>
      <c r="I34" s="11">
        <f t="shared" ref="I34:I36" si="30">SUM(C34:H34,V34)</f>
        <v>11486.83</v>
      </c>
      <c r="J34" s="11">
        <v>2180.87</v>
      </c>
      <c r="K34" s="11">
        <v>0</v>
      </c>
      <c r="L34" s="11">
        <f>SUM(M34:T34)</f>
        <v>9236.9500000000007</v>
      </c>
      <c r="M34" s="51">
        <f>544.64+2805.59+5274.21</f>
        <v>8624.44</v>
      </c>
      <c r="N34" s="11">
        <v>0</v>
      </c>
      <c r="O34" s="11">
        <v>0</v>
      </c>
      <c r="P34" s="11">
        <v>0</v>
      </c>
      <c r="Q34" s="11">
        <v>0</v>
      </c>
      <c r="R34" s="11">
        <v>167.74</v>
      </c>
      <c r="S34" s="11">
        <v>353.85</v>
      </c>
      <c r="T34" s="11">
        <v>90.92</v>
      </c>
      <c r="U34" s="11">
        <v>210</v>
      </c>
      <c r="V34" s="33">
        <v>15</v>
      </c>
      <c r="W34" s="33">
        <v>83</v>
      </c>
      <c r="X34" s="11">
        <v>1872</v>
      </c>
      <c r="Y34" s="11">
        <v>450</v>
      </c>
      <c r="Z34" s="31">
        <f t="shared" ref="Z34:Z36" si="31">SUM(U34,V34,W34,X34)-J34</f>
        <v>-0.86999999999989086</v>
      </c>
      <c r="AA34" s="32">
        <f t="shared" ref="AA34:AA36" si="32">SUM(J34+K34+L34+AE34+AC34)-(I34)</f>
        <v>-5.0100000000002183</v>
      </c>
      <c r="AB34" s="32">
        <f t="shared" ref="AB34:AB36" si="33">SUM(G34-AC34)</f>
        <v>0</v>
      </c>
      <c r="AC34" s="32">
        <v>30</v>
      </c>
      <c r="AD34" s="33">
        <f t="shared" ref="AD34:AD36" si="34">SUM(H34-AE34)</f>
        <v>15</v>
      </c>
      <c r="AE34" s="33">
        <v>34</v>
      </c>
      <c r="AF34" s="33"/>
      <c r="AG34" s="33">
        <f t="shared" ref="AG34:AG36" si="35">SUM(AF34-H34)</f>
        <v>-49</v>
      </c>
    </row>
    <row r="35" spans="1:33" ht="20.25" customHeight="1">
      <c r="A35" s="9">
        <v>45076</v>
      </c>
      <c r="B35" s="10" t="s">
        <v>24</v>
      </c>
      <c r="C35" s="11">
        <v>8761.9699999999993</v>
      </c>
      <c r="D35" s="11">
        <v>3603.09</v>
      </c>
      <c r="E35" s="11">
        <v>20</v>
      </c>
      <c r="F35" s="11">
        <v>56</v>
      </c>
      <c r="G35" s="11">
        <v>115</v>
      </c>
      <c r="H35" s="11">
        <v>127</v>
      </c>
      <c r="I35" s="11">
        <f t="shared" si="30"/>
        <v>12708.07</v>
      </c>
      <c r="J35" s="11">
        <v>2199.67</v>
      </c>
      <c r="K35" s="11">
        <v>0</v>
      </c>
      <c r="L35" s="11">
        <f>SUM(M35:T35)</f>
        <v>10351.36</v>
      </c>
      <c r="M35" s="51">
        <f>844.28+2659.78+5175.77</f>
        <v>8679.8300000000017</v>
      </c>
      <c r="N35" s="11">
        <v>37</v>
      </c>
      <c r="O35" s="11">
        <v>0</v>
      </c>
      <c r="P35" s="11">
        <v>0</v>
      </c>
      <c r="Q35" s="11">
        <v>196.38</v>
      </c>
      <c r="R35" s="11">
        <v>890.01</v>
      </c>
      <c r="S35" s="11">
        <v>419.84</v>
      </c>
      <c r="T35" s="11">
        <v>128.30000000000001</v>
      </c>
      <c r="U35" s="11">
        <v>0</v>
      </c>
      <c r="V35" s="33">
        <v>25.01</v>
      </c>
      <c r="W35" s="33">
        <v>62</v>
      </c>
      <c r="X35" s="11">
        <v>3100</v>
      </c>
      <c r="Y35" s="11">
        <v>450</v>
      </c>
      <c r="Z35" s="31">
        <f t="shared" si="31"/>
        <v>987.34000000000015</v>
      </c>
      <c r="AA35" s="32">
        <f t="shared" si="32"/>
        <v>-3.9999999999054126E-2</v>
      </c>
      <c r="AB35" s="32">
        <f t="shared" si="33"/>
        <v>0</v>
      </c>
      <c r="AC35" s="32">
        <v>115</v>
      </c>
      <c r="AD35" s="33">
        <f t="shared" si="34"/>
        <v>85</v>
      </c>
      <c r="AE35" s="33">
        <v>42</v>
      </c>
      <c r="AF35" s="33"/>
      <c r="AG35" s="33">
        <f t="shared" si="35"/>
        <v>-127</v>
      </c>
    </row>
    <row r="36" spans="1:33" ht="20.25" customHeight="1">
      <c r="A36" s="9">
        <v>45077</v>
      </c>
      <c r="B36" s="10" t="s">
        <v>25</v>
      </c>
      <c r="C36" s="11">
        <v>7848.99</v>
      </c>
      <c r="D36" s="11">
        <v>3829.48</v>
      </c>
      <c r="E36" s="11">
        <v>23</v>
      </c>
      <c r="F36" s="11">
        <v>127</v>
      </c>
      <c r="G36" s="11">
        <v>195</v>
      </c>
      <c r="H36" s="11">
        <v>167.98</v>
      </c>
      <c r="I36" s="11">
        <f t="shared" si="30"/>
        <v>12243.449999999999</v>
      </c>
      <c r="J36" s="11">
        <v>2653.83</v>
      </c>
      <c r="K36" s="11">
        <v>0</v>
      </c>
      <c r="L36" s="11">
        <f t="shared" ref="L36" si="36">SUM(M36:T36)</f>
        <v>9289.19</v>
      </c>
      <c r="M36" s="51">
        <f>1053.86+2800.66+4349.27</f>
        <v>8203.7900000000009</v>
      </c>
      <c r="N36" s="11">
        <v>9.11</v>
      </c>
      <c r="O36" s="11">
        <v>0</v>
      </c>
      <c r="P36" s="11">
        <v>76.319999999999993</v>
      </c>
      <c r="Q36" s="11">
        <v>67.03</v>
      </c>
      <c r="R36" s="11">
        <v>733.91</v>
      </c>
      <c r="S36" s="11">
        <v>60.31</v>
      </c>
      <c r="T36" s="11">
        <v>138.72</v>
      </c>
      <c r="U36" s="11">
        <v>308.7</v>
      </c>
      <c r="V36" s="33">
        <v>52</v>
      </c>
      <c r="W36" s="33">
        <v>135</v>
      </c>
      <c r="X36" s="11">
        <v>2148</v>
      </c>
      <c r="Y36" s="11">
        <v>450</v>
      </c>
      <c r="Z36" s="31">
        <f t="shared" si="31"/>
        <v>-10.130000000000109</v>
      </c>
      <c r="AA36" s="32">
        <f t="shared" si="32"/>
        <v>-80.429999999998472</v>
      </c>
      <c r="AB36" s="32">
        <f t="shared" si="33"/>
        <v>25</v>
      </c>
      <c r="AC36" s="32">
        <v>170</v>
      </c>
      <c r="AD36" s="33">
        <f t="shared" si="34"/>
        <v>117.97999999999999</v>
      </c>
      <c r="AE36" s="33">
        <v>50</v>
      </c>
      <c r="AF36" s="33"/>
      <c r="AG36" s="33">
        <f t="shared" si="35"/>
        <v>-167.98</v>
      </c>
    </row>
    <row r="37" spans="1:33" ht="37.5" customHeight="1">
      <c r="A37" s="65" t="s">
        <v>27</v>
      </c>
      <c r="B37" s="66"/>
      <c r="C37" s="27">
        <f t="shared" ref="C37:N37" si="37">SUM(C34:C36)</f>
        <v>23474.46</v>
      </c>
      <c r="D37" s="27">
        <f t="shared" si="37"/>
        <v>11889.9</v>
      </c>
      <c r="E37" s="27">
        <f t="shared" si="37"/>
        <v>43</v>
      </c>
      <c r="F37" s="27">
        <f t="shared" si="37"/>
        <v>255</v>
      </c>
      <c r="G37" s="27">
        <f t="shared" si="37"/>
        <v>340</v>
      </c>
      <c r="H37" s="27">
        <f t="shared" si="37"/>
        <v>343.98</v>
      </c>
      <c r="I37" s="27">
        <f t="shared" si="37"/>
        <v>36438.35</v>
      </c>
      <c r="J37" s="27">
        <f t="shared" si="37"/>
        <v>7034.37</v>
      </c>
      <c r="K37" s="27">
        <f t="shared" si="37"/>
        <v>0</v>
      </c>
      <c r="L37" s="27">
        <f t="shared" si="37"/>
        <v>28877.5</v>
      </c>
      <c r="M37" s="27">
        <f t="shared" si="37"/>
        <v>25508.060000000005</v>
      </c>
      <c r="N37" s="27">
        <f t="shared" si="37"/>
        <v>46.11</v>
      </c>
      <c r="O37" s="27"/>
      <c r="P37" s="27">
        <f t="shared" ref="P37:AG37" si="38">SUM(P34:P36)</f>
        <v>76.319999999999993</v>
      </c>
      <c r="Q37" s="27">
        <f t="shared" si="38"/>
        <v>263.40999999999997</v>
      </c>
      <c r="R37" s="27">
        <f t="shared" si="38"/>
        <v>1791.6599999999999</v>
      </c>
      <c r="S37" s="27">
        <f t="shared" si="38"/>
        <v>834</v>
      </c>
      <c r="T37" s="27">
        <f t="shared" si="38"/>
        <v>357.94000000000005</v>
      </c>
      <c r="U37" s="27">
        <f t="shared" si="38"/>
        <v>518.70000000000005</v>
      </c>
      <c r="V37" s="27">
        <f t="shared" si="38"/>
        <v>92.01</v>
      </c>
      <c r="W37" s="27">
        <f t="shared" si="38"/>
        <v>280</v>
      </c>
      <c r="X37" s="27">
        <f t="shared" si="38"/>
        <v>7120</v>
      </c>
      <c r="Y37" s="27">
        <f t="shared" si="38"/>
        <v>1350</v>
      </c>
      <c r="Z37" s="27">
        <f t="shared" si="38"/>
        <v>976.34000000000015</v>
      </c>
      <c r="AA37" s="27">
        <f t="shared" si="38"/>
        <v>-85.479999999997744</v>
      </c>
      <c r="AB37" s="27">
        <f t="shared" si="38"/>
        <v>25</v>
      </c>
      <c r="AC37" s="27">
        <f t="shared" si="38"/>
        <v>315</v>
      </c>
      <c r="AD37" s="27">
        <f t="shared" si="38"/>
        <v>217.98</v>
      </c>
      <c r="AE37" s="27">
        <f t="shared" si="38"/>
        <v>126</v>
      </c>
      <c r="AF37" s="27">
        <f t="shared" si="38"/>
        <v>0</v>
      </c>
      <c r="AG37" s="27">
        <f t="shared" si="38"/>
        <v>-343.98</v>
      </c>
    </row>
    <row r="38" spans="1:33" ht="51.75" customHeight="1">
      <c r="A38" s="67" t="s">
        <v>17</v>
      </c>
      <c r="B38" s="68"/>
      <c r="C38" s="30">
        <f>SUM(C37,C33,C25,C17,C9)</f>
        <v>262945.78999999998</v>
      </c>
      <c r="D38" s="30">
        <f t="shared" ref="D38:AG38" si="39">SUM(D37,D33,D25,D17,D9)</f>
        <v>136861.89000000001</v>
      </c>
      <c r="E38" s="30">
        <f t="shared" si="39"/>
        <v>595.5</v>
      </c>
      <c r="F38" s="30">
        <f t="shared" si="39"/>
        <v>2722</v>
      </c>
      <c r="G38" s="30">
        <f t="shared" si="39"/>
        <v>3162.41</v>
      </c>
      <c r="H38" s="30">
        <f t="shared" si="39"/>
        <v>3801.04</v>
      </c>
      <c r="I38" s="30">
        <f t="shared" si="39"/>
        <v>410774.89</v>
      </c>
      <c r="J38" s="30">
        <f t="shared" si="39"/>
        <v>75920.23000000001</v>
      </c>
      <c r="K38" s="30">
        <f t="shared" si="39"/>
        <v>0</v>
      </c>
      <c r="L38" s="30">
        <f t="shared" si="39"/>
        <v>330248.35000000003</v>
      </c>
      <c r="M38" s="30">
        <f t="shared" si="39"/>
        <v>301989.17</v>
      </c>
      <c r="N38" s="30">
        <f t="shared" si="39"/>
        <v>1449.71</v>
      </c>
      <c r="O38" s="30">
        <f t="shared" si="39"/>
        <v>185.2</v>
      </c>
      <c r="P38" s="30">
        <f t="shared" si="39"/>
        <v>1007.7599999999999</v>
      </c>
      <c r="Q38" s="30">
        <f t="shared" si="39"/>
        <v>3672.94</v>
      </c>
      <c r="R38" s="30">
        <f t="shared" si="39"/>
        <v>11842.25</v>
      </c>
      <c r="S38" s="30">
        <f t="shared" si="39"/>
        <v>6716.9500000000007</v>
      </c>
      <c r="T38" s="30">
        <f t="shared" si="39"/>
        <v>3384.37</v>
      </c>
      <c r="U38" s="30">
        <f t="shared" si="39"/>
        <v>8039.16</v>
      </c>
      <c r="V38" s="30">
        <f t="shared" si="39"/>
        <v>686.26</v>
      </c>
      <c r="W38" s="30">
        <f t="shared" si="39"/>
        <v>2345.1999999999998</v>
      </c>
      <c r="X38" s="30">
        <f t="shared" si="39"/>
        <v>65185.07</v>
      </c>
      <c r="Y38" s="30">
        <f t="shared" si="39"/>
        <v>13950</v>
      </c>
      <c r="Z38" s="30">
        <f t="shared" si="39"/>
        <v>335.46000000000095</v>
      </c>
      <c r="AA38" s="30">
        <f t="shared" si="39"/>
        <v>-101.53999999998996</v>
      </c>
      <c r="AB38" s="30">
        <f t="shared" si="39"/>
        <v>1260.4099999999999</v>
      </c>
      <c r="AC38" s="30">
        <f t="shared" si="39"/>
        <v>1902</v>
      </c>
      <c r="AD38" s="30">
        <f t="shared" si="39"/>
        <v>1198.27</v>
      </c>
      <c r="AE38" s="30">
        <f t="shared" si="39"/>
        <v>2602.77</v>
      </c>
      <c r="AF38" s="30">
        <f t="shared" si="39"/>
        <v>16310</v>
      </c>
      <c r="AG38" s="30">
        <f t="shared" si="39"/>
        <v>12508.96</v>
      </c>
    </row>
    <row r="40" spans="1:33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41"/>
      <c r="AA40" s="41"/>
      <c r="AB40" s="41"/>
      <c r="AC40" s="41"/>
      <c r="AD40" s="41"/>
      <c r="AE40" s="41"/>
      <c r="AF40" s="41"/>
      <c r="AG40" s="41"/>
    </row>
    <row r="41" spans="1:33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</row>
    <row r="42" spans="1:33"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  <c r="X42" s="42"/>
      <c r="Y42" s="42"/>
      <c r="Z42" s="42"/>
      <c r="AA42" s="42"/>
      <c r="AB42" s="42"/>
      <c r="AC42" s="42"/>
      <c r="AD42" s="42"/>
      <c r="AE42" s="42"/>
      <c r="AF42" s="42"/>
      <c r="AG42" s="42"/>
    </row>
    <row r="43" spans="1:33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6" spans="1:33" hidden="1"/>
    <row r="47" spans="1:33" ht="18.75" hidden="1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33"/>
      <c r="W47" s="33"/>
      <c r="X47" s="11"/>
      <c r="Y47" s="11"/>
      <c r="Z47" s="31"/>
      <c r="AA47" s="32"/>
      <c r="AB47" s="32"/>
      <c r="AC47" s="32"/>
      <c r="AD47" s="33"/>
      <c r="AE47" s="33"/>
      <c r="AF47" s="33"/>
      <c r="AG47" s="33"/>
    </row>
    <row r="48" spans="1:33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33"/>
      <c r="W48" s="33"/>
      <c r="X48" s="11"/>
      <c r="Y48" s="11"/>
      <c r="Z48" s="31"/>
      <c r="AA48" s="32"/>
      <c r="AB48" s="32"/>
      <c r="AC48" s="32"/>
      <c r="AD48" s="33"/>
      <c r="AE48" s="33"/>
      <c r="AF48" s="33"/>
      <c r="AG48" s="33"/>
    </row>
    <row r="49" spans="1:33" s="28" customFormat="1" ht="18.75" hidden="1">
      <c r="A49"/>
      <c r="B4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33"/>
      <c r="W49" s="33"/>
      <c r="X49" s="11"/>
      <c r="Y49" s="11"/>
      <c r="Z49" s="31"/>
      <c r="AA49" s="32"/>
      <c r="AB49" s="32"/>
      <c r="AC49" s="32"/>
      <c r="AD49" s="33"/>
      <c r="AE49" s="33"/>
      <c r="AF49" s="33"/>
      <c r="AG49" s="33"/>
    </row>
    <row r="50" spans="1:33" s="28" customFormat="1" hidden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</row>
    <row r="51" spans="1:33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</sheetData>
  <sheetProtection password="CCFB" sheet="1" objects="1" scenarios="1"/>
  <mergeCells count="6">
    <mergeCell ref="A38:B38"/>
    <mergeCell ref="A9:B9"/>
    <mergeCell ref="A17:B17"/>
    <mergeCell ref="A25:B25"/>
    <mergeCell ref="A33:B33"/>
    <mergeCell ref="A37:B37"/>
  </mergeCells>
  <conditionalFormatting sqref="Z47:AC49 Z10:AB16 Z18:AC24 Z26:AC32 Z2:AC8 Z34:AC36">
    <cfRule type="cellIs" dxfId="135" priority="7" operator="lessThan">
      <formula>0</formula>
    </cfRule>
    <cfRule type="cellIs" dxfId="134" priority="8" operator="greaterThan">
      <formula>0</formula>
    </cfRule>
  </conditionalFormatting>
  <conditionalFormatting sqref="Z47:AD49 Z10:AB16 Z18:AD24 Z26:AD32 AD10:AD16 Z34:AD36 Z2:AD8">
    <cfRule type="cellIs" dxfId="133" priority="4" operator="equal">
      <formula>0</formula>
    </cfRule>
    <cfRule type="cellIs" dxfId="132" priority="5" operator="lessThan">
      <formula>0</formula>
    </cfRule>
    <cfRule type="cellIs" dxfId="131" priority="6" operator="greaterThan">
      <formula>0</formula>
    </cfRule>
  </conditionalFormatting>
  <conditionalFormatting sqref="AG18:AG24 AG26:AG32 AG10:AG16 AG2:AG8 AG34:AG36">
    <cfRule type="cellIs" dxfId="130" priority="1" operator="equal">
      <formula>0</formula>
    </cfRule>
    <cfRule type="cellIs" dxfId="129" priority="2" operator="lessThan">
      <formula>0</formula>
    </cfRule>
    <cfRule type="cellIs" dxfId="128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Z9:AG9 Z17:AG17 Z25:AG25 Z33 I9:L9 I17:L17 I25:L25 I33:L33 I18 L18" formula="1"/>
  </ignoredErrors>
</worksheet>
</file>

<file path=xl/worksheets/sheet26.xml><?xml version="1.0" encoding="utf-8"?>
<worksheet xmlns="http://schemas.openxmlformats.org/spreadsheetml/2006/main" xmlns:r="http://schemas.openxmlformats.org/officeDocument/2006/relationships">
  <dimension ref="A1:AG54"/>
  <sheetViews>
    <sheetView topLeftCell="A10" zoomScale="60" zoomScaleNormal="60" workbookViewId="0">
      <selection activeCell="C36" sqref="C36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5.7109375" customWidth="1"/>
    <col min="17" max="17" width="16.42578125" customWidth="1"/>
    <col min="18" max="20" width="15.5703125" customWidth="1"/>
    <col min="21" max="21" width="13.85546875" customWidth="1"/>
    <col min="22" max="22" width="13.5703125" customWidth="1"/>
    <col min="23" max="23" width="14.28515625" customWidth="1"/>
    <col min="24" max="24" width="13" customWidth="1"/>
    <col min="25" max="25" width="14.85546875" customWidth="1"/>
    <col min="26" max="26" width="15.85546875" customWidth="1"/>
    <col min="27" max="29" width="16.5703125" customWidth="1"/>
    <col min="30" max="30" width="14" customWidth="1"/>
    <col min="31" max="31" width="13" customWidth="1"/>
    <col min="32" max="32" width="14.85546875" customWidth="1"/>
    <col min="33" max="33" width="15.5703125" customWidth="1"/>
  </cols>
  <sheetData>
    <row r="1" spans="1:33" ht="64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108</v>
      </c>
      <c r="P1" s="8" t="s">
        <v>96</v>
      </c>
      <c r="Q1" s="8" t="s">
        <v>109</v>
      </c>
      <c r="R1" s="8" t="s">
        <v>110</v>
      </c>
      <c r="S1" s="8" t="s">
        <v>111</v>
      </c>
      <c r="T1" s="8" t="s">
        <v>107</v>
      </c>
      <c r="U1" s="8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34</v>
      </c>
      <c r="AB1" s="23" t="s">
        <v>94</v>
      </c>
      <c r="AC1" s="23" t="s">
        <v>95</v>
      </c>
      <c r="AD1" s="23" t="s">
        <v>39</v>
      </c>
      <c r="AE1" s="23" t="s">
        <v>40</v>
      </c>
      <c r="AF1" s="23" t="s">
        <v>78</v>
      </c>
      <c r="AG1" s="23" t="s">
        <v>79</v>
      </c>
    </row>
    <row r="2" spans="1:33" ht="20.25" customHeight="1">
      <c r="A2" s="9">
        <v>45075</v>
      </c>
      <c r="B2" s="10" t="s">
        <v>23</v>
      </c>
      <c r="C2" s="11">
        <f>5.01+6858.49</f>
        <v>6863.5</v>
      </c>
      <c r="D2" s="11">
        <v>4457.33</v>
      </c>
      <c r="E2" s="11">
        <v>0</v>
      </c>
      <c r="F2" s="11">
        <v>72</v>
      </c>
      <c r="G2" s="11">
        <v>30</v>
      </c>
      <c r="H2" s="11">
        <v>49</v>
      </c>
      <c r="I2" s="11">
        <f t="shared" ref="I2:I4" si="0">SUM(C2:H2,V2)</f>
        <v>11486.83</v>
      </c>
      <c r="J2" s="11">
        <v>2180.87</v>
      </c>
      <c r="K2" s="11">
        <v>0</v>
      </c>
      <c r="L2" s="11">
        <f>SUM(M2:T2)</f>
        <v>9236.9500000000007</v>
      </c>
      <c r="M2" s="51">
        <f>544.64+2805.59+5274.21</f>
        <v>8624.44</v>
      </c>
      <c r="N2" s="11">
        <v>0</v>
      </c>
      <c r="O2" s="11">
        <v>0</v>
      </c>
      <c r="P2" s="11">
        <v>0</v>
      </c>
      <c r="Q2" s="11">
        <v>0</v>
      </c>
      <c r="R2" s="11">
        <v>167.74</v>
      </c>
      <c r="S2" s="11">
        <v>353.85</v>
      </c>
      <c r="T2" s="11">
        <v>90.92</v>
      </c>
      <c r="U2" s="11">
        <v>210</v>
      </c>
      <c r="V2" s="33">
        <v>15</v>
      </c>
      <c r="W2" s="33">
        <v>83</v>
      </c>
      <c r="X2" s="11">
        <v>1872</v>
      </c>
      <c r="Y2" s="11">
        <v>450</v>
      </c>
      <c r="Z2" s="31">
        <f t="shared" ref="Z2:Z4" si="1">SUM(U2,V2,W2,X2)-J2</f>
        <v>-0.86999999999989086</v>
      </c>
      <c r="AA2" s="32">
        <f t="shared" ref="AA2:AA4" si="2">SUM(J2+K2+L2+AE2+AC2)-(I2)</f>
        <v>-5.0100000000002183</v>
      </c>
      <c r="AB2" s="32">
        <f t="shared" ref="AB2:AB4" si="3">SUM(G2-AC2)</f>
        <v>0</v>
      </c>
      <c r="AC2" s="32">
        <v>30</v>
      </c>
      <c r="AD2" s="33">
        <f t="shared" ref="AD2:AD8" si="4">SUM(H2-AE2)</f>
        <v>15</v>
      </c>
      <c r="AE2" s="33">
        <v>34</v>
      </c>
      <c r="AF2" s="33"/>
      <c r="AG2" s="33">
        <f t="shared" ref="AG2:AG4" si="5">SUM(AF2-H2)</f>
        <v>-49</v>
      </c>
    </row>
    <row r="3" spans="1:33" ht="20.25" customHeight="1">
      <c r="A3" s="9">
        <v>45076</v>
      </c>
      <c r="B3" s="10" t="s">
        <v>24</v>
      </c>
      <c r="C3" s="11">
        <v>8761.9699999999993</v>
      </c>
      <c r="D3" s="11">
        <v>3603.09</v>
      </c>
      <c r="E3" s="11">
        <v>20</v>
      </c>
      <c r="F3" s="11">
        <v>56</v>
      </c>
      <c r="G3" s="11">
        <v>115</v>
      </c>
      <c r="H3" s="11">
        <v>127</v>
      </c>
      <c r="I3" s="11">
        <f t="shared" si="0"/>
        <v>12708.07</v>
      </c>
      <c r="J3" s="11">
        <v>2199.67</v>
      </c>
      <c r="K3" s="11">
        <v>0</v>
      </c>
      <c r="L3" s="11">
        <f>SUM(M3:T3)</f>
        <v>10351.36</v>
      </c>
      <c r="M3" s="51">
        <f>844.28+2659.78+5175.77</f>
        <v>8679.8300000000017</v>
      </c>
      <c r="N3" s="11">
        <v>37</v>
      </c>
      <c r="O3" s="11">
        <v>0</v>
      </c>
      <c r="P3" s="11">
        <v>0</v>
      </c>
      <c r="Q3" s="11">
        <v>196.38</v>
      </c>
      <c r="R3" s="11">
        <v>890.01</v>
      </c>
      <c r="S3" s="11">
        <v>419.84</v>
      </c>
      <c r="T3" s="11">
        <v>128.30000000000001</v>
      </c>
      <c r="U3" s="11">
        <v>0</v>
      </c>
      <c r="V3" s="33">
        <v>25.01</v>
      </c>
      <c r="W3" s="33">
        <v>62</v>
      </c>
      <c r="X3" s="11">
        <v>2100</v>
      </c>
      <c r="Y3" s="11">
        <v>450</v>
      </c>
      <c r="Z3" s="31">
        <f t="shared" si="1"/>
        <v>-12.659999999999854</v>
      </c>
      <c r="AA3" s="32">
        <f t="shared" si="2"/>
        <v>-3.9999999999054126E-2</v>
      </c>
      <c r="AB3" s="32">
        <f t="shared" si="3"/>
        <v>0</v>
      </c>
      <c r="AC3" s="32">
        <v>115</v>
      </c>
      <c r="AD3" s="33">
        <f t="shared" si="4"/>
        <v>85</v>
      </c>
      <c r="AE3" s="33">
        <v>42</v>
      </c>
      <c r="AF3" s="33"/>
      <c r="AG3" s="33">
        <f t="shared" si="5"/>
        <v>-127</v>
      </c>
    </row>
    <row r="4" spans="1:33" ht="20.25" customHeight="1">
      <c r="A4" s="9">
        <v>45077</v>
      </c>
      <c r="B4" s="10" t="s">
        <v>25</v>
      </c>
      <c r="C4" s="11">
        <v>7848.99</v>
      </c>
      <c r="D4" s="11">
        <v>3829.48</v>
      </c>
      <c r="E4" s="11">
        <v>23</v>
      </c>
      <c r="F4" s="11">
        <v>127</v>
      </c>
      <c r="G4" s="11">
        <v>195</v>
      </c>
      <c r="H4" s="11">
        <v>167.98</v>
      </c>
      <c r="I4" s="11">
        <f t="shared" si="0"/>
        <v>12243.449999999999</v>
      </c>
      <c r="J4" s="11">
        <v>2653.83</v>
      </c>
      <c r="K4" s="11">
        <v>0</v>
      </c>
      <c r="L4" s="11">
        <f t="shared" ref="L4" si="6">SUM(M4:T4)</f>
        <v>9289.19</v>
      </c>
      <c r="M4" s="51">
        <f>1053.86+2800.66+4349.27</f>
        <v>8203.7900000000009</v>
      </c>
      <c r="N4" s="11">
        <v>9.11</v>
      </c>
      <c r="O4" s="11">
        <v>0</v>
      </c>
      <c r="P4" s="11">
        <v>76.319999999999993</v>
      </c>
      <c r="Q4" s="11">
        <v>67.03</v>
      </c>
      <c r="R4" s="11">
        <v>733.91</v>
      </c>
      <c r="S4" s="11">
        <v>60.31</v>
      </c>
      <c r="T4" s="11">
        <v>138.72</v>
      </c>
      <c r="U4" s="11">
        <v>308.7</v>
      </c>
      <c r="V4" s="33">
        <v>52</v>
      </c>
      <c r="W4" s="33">
        <v>135</v>
      </c>
      <c r="X4" s="11">
        <v>2148</v>
      </c>
      <c r="Y4" s="11">
        <v>450</v>
      </c>
      <c r="Z4" s="31">
        <f t="shared" si="1"/>
        <v>-10.130000000000109</v>
      </c>
      <c r="AA4" s="32">
        <f t="shared" si="2"/>
        <v>-80.429999999998472</v>
      </c>
      <c r="AB4" s="32">
        <f t="shared" si="3"/>
        <v>25</v>
      </c>
      <c r="AC4" s="32">
        <v>170</v>
      </c>
      <c r="AD4" s="33">
        <f t="shared" si="4"/>
        <v>117.97999999999999</v>
      </c>
      <c r="AE4" s="33">
        <v>50</v>
      </c>
      <c r="AF4" s="33"/>
      <c r="AG4" s="33">
        <f t="shared" si="5"/>
        <v>-167.98</v>
      </c>
    </row>
    <row r="5" spans="1:33" s="35" customFormat="1" ht="18.75">
      <c r="A5" s="9">
        <v>45078</v>
      </c>
      <c r="B5" s="10" t="s">
        <v>26</v>
      </c>
      <c r="C5" s="11">
        <v>7871.16</v>
      </c>
      <c r="D5" s="11">
        <v>4200.2700000000004</v>
      </c>
      <c r="E5" s="11">
        <v>7.5</v>
      </c>
      <c r="F5" s="11">
        <v>152</v>
      </c>
      <c r="G5" s="11">
        <v>68</v>
      </c>
      <c r="H5" s="11">
        <v>85</v>
      </c>
      <c r="I5" s="11">
        <f t="shared" ref="I5:I8" si="7">SUM(C5:H5,V5)</f>
        <v>12383.93</v>
      </c>
      <c r="J5" s="11">
        <v>2219.75</v>
      </c>
      <c r="K5" s="11">
        <v>0</v>
      </c>
      <c r="L5" s="11">
        <f t="shared" ref="L5:L8" si="8">SUM(M5:T5)</f>
        <v>10046.68</v>
      </c>
      <c r="M5" s="51">
        <f>391.12+3118.85+5671.12</f>
        <v>9181.09</v>
      </c>
      <c r="N5" s="11">
        <v>0</v>
      </c>
      <c r="O5" s="11">
        <v>0</v>
      </c>
      <c r="P5" s="11">
        <v>0</v>
      </c>
      <c r="Q5" s="11">
        <v>0</v>
      </c>
      <c r="R5" s="11">
        <v>337.55</v>
      </c>
      <c r="S5" s="11">
        <v>459.34</v>
      </c>
      <c r="T5" s="11">
        <v>68.7</v>
      </c>
      <c r="U5" s="11">
        <v>1034.01</v>
      </c>
      <c r="V5" s="33">
        <v>0</v>
      </c>
      <c r="W5" s="33">
        <v>125</v>
      </c>
      <c r="X5" s="11">
        <v>915</v>
      </c>
      <c r="Y5" s="11">
        <v>450</v>
      </c>
      <c r="Z5" s="31">
        <f t="shared" ref="Z5:Z8" si="9">SUM(U5,V5,W5,X5)-J5</f>
        <v>-145.73999999999978</v>
      </c>
      <c r="AA5" s="32">
        <f t="shared" ref="AA5:AA32" si="10">SUM(J5+K5+L5+AE5+AC5)-(I5)</f>
        <v>2.5</v>
      </c>
      <c r="AB5" s="32">
        <f t="shared" ref="AB5:AB8" si="11">SUM(G5-AC5)</f>
        <v>18</v>
      </c>
      <c r="AC5" s="32">
        <v>50</v>
      </c>
      <c r="AD5" s="33">
        <f t="shared" si="4"/>
        <v>15</v>
      </c>
      <c r="AE5" s="33">
        <v>70</v>
      </c>
      <c r="AF5" s="33"/>
      <c r="AG5" s="33">
        <f t="shared" ref="AG5:AG8" si="12">SUM(AF5-H5)</f>
        <v>-85</v>
      </c>
    </row>
    <row r="6" spans="1:33" s="35" customFormat="1" ht="18.75">
      <c r="A6" s="9">
        <v>45079</v>
      </c>
      <c r="B6" s="10" t="s">
        <v>20</v>
      </c>
      <c r="C6" s="11">
        <v>8359.48</v>
      </c>
      <c r="D6" s="11">
        <v>6194.3</v>
      </c>
      <c r="E6" s="11">
        <v>76.5</v>
      </c>
      <c r="F6" s="11">
        <v>174</v>
      </c>
      <c r="G6" s="11">
        <v>164</v>
      </c>
      <c r="H6" s="11">
        <v>10</v>
      </c>
      <c r="I6" s="11">
        <f t="shared" si="7"/>
        <v>14998.3</v>
      </c>
      <c r="J6" s="11">
        <v>2599.33</v>
      </c>
      <c r="K6" s="11">
        <v>0</v>
      </c>
      <c r="L6" s="11">
        <f t="shared" si="8"/>
        <v>12214.31</v>
      </c>
      <c r="M6" s="51">
        <f>746.09+3579.06+7004.06</f>
        <v>11329.21</v>
      </c>
      <c r="N6" s="11">
        <v>0</v>
      </c>
      <c r="O6" s="11">
        <v>0</v>
      </c>
      <c r="P6" s="11">
        <v>0</v>
      </c>
      <c r="Q6" s="11">
        <v>111.63</v>
      </c>
      <c r="R6" s="11">
        <v>422.77</v>
      </c>
      <c r="S6" s="11">
        <v>89.6</v>
      </c>
      <c r="T6" s="11">
        <v>261.10000000000002</v>
      </c>
      <c r="U6" s="11">
        <v>297.27</v>
      </c>
      <c r="V6" s="33">
        <v>20.02</v>
      </c>
      <c r="W6" s="33">
        <v>123.4</v>
      </c>
      <c r="X6" s="11">
        <v>2201.5</v>
      </c>
      <c r="Y6" s="11">
        <v>450</v>
      </c>
      <c r="Z6" s="31">
        <f t="shared" si="9"/>
        <v>42.860000000000127</v>
      </c>
      <c r="AA6" s="32">
        <f t="shared" si="10"/>
        <v>-164.65999999999985</v>
      </c>
      <c r="AB6" s="32">
        <f t="shared" si="11"/>
        <v>154</v>
      </c>
      <c r="AC6" s="32">
        <v>10</v>
      </c>
      <c r="AD6" s="33">
        <f t="shared" si="4"/>
        <v>0</v>
      </c>
      <c r="AE6" s="33">
        <v>10</v>
      </c>
      <c r="AF6" s="33"/>
      <c r="AG6" s="33">
        <f t="shared" si="12"/>
        <v>-10</v>
      </c>
    </row>
    <row r="7" spans="1:33" ht="18.75">
      <c r="A7" s="9">
        <v>45080</v>
      </c>
      <c r="B7" s="10" t="s">
        <v>21</v>
      </c>
      <c r="C7" s="11">
        <v>7729.47</v>
      </c>
      <c r="D7" s="11">
        <v>5695.22</v>
      </c>
      <c r="E7" s="11">
        <v>10.5</v>
      </c>
      <c r="F7" s="11">
        <v>158</v>
      </c>
      <c r="G7" s="11">
        <v>0</v>
      </c>
      <c r="H7" s="11">
        <v>0</v>
      </c>
      <c r="I7" s="11">
        <f t="shared" si="7"/>
        <v>13593.19</v>
      </c>
      <c r="J7" s="11">
        <v>2521.6</v>
      </c>
      <c r="K7" s="11">
        <v>0</v>
      </c>
      <c r="L7" s="11">
        <f t="shared" si="8"/>
        <v>10980.84</v>
      </c>
      <c r="M7" s="51">
        <f>618.14+3228.6+5928.75</f>
        <v>9775.49</v>
      </c>
      <c r="N7" s="11">
        <v>120.92</v>
      </c>
      <c r="O7" s="11">
        <v>0</v>
      </c>
      <c r="P7" s="11">
        <v>146.54</v>
      </c>
      <c r="Q7" s="11">
        <v>54.43</v>
      </c>
      <c r="R7" s="11">
        <v>144.9</v>
      </c>
      <c r="S7" s="11">
        <v>246.15</v>
      </c>
      <c r="T7" s="11">
        <v>492.41</v>
      </c>
      <c r="U7" s="11">
        <v>1350</v>
      </c>
      <c r="V7" s="33">
        <v>0</v>
      </c>
      <c r="W7" s="33">
        <v>64</v>
      </c>
      <c r="X7" s="11">
        <v>1116.44</v>
      </c>
      <c r="Y7" s="11">
        <v>450</v>
      </c>
      <c r="Z7" s="31">
        <f t="shared" si="9"/>
        <v>8.8400000000001455</v>
      </c>
      <c r="AA7" s="32">
        <f t="shared" si="10"/>
        <v>-90.75</v>
      </c>
      <c r="AB7" s="32">
        <v>0</v>
      </c>
      <c r="AC7" s="32">
        <v>0</v>
      </c>
      <c r="AD7" s="33">
        <f t="shared" si="4"/>
        <v>0</v>
      </c>
      <c r="AE7" s="33">
        <v>0</v>
      </c>
      <c r="AF7" s="33"/>
      <c r="AG7" s="33">
        <f t="shared" si="12"/>
        <v>0</v>
      </c>
    </row>
    <row r="8" spans="1:33" ht="18.75">
      <c r="A8" s="9">
        <v>45081</v>
      </c>
      <c r="B8" s="10" t="s">
        <v>22</v>
      </c>
      <c r="C8" s="11">
        <v>7145.51</v>
      </c>
      <c r="D8" s="11">
        <v>4366.96</v>
      </c>
      <c r="E8" s="11">
        <v>13.5</v>
      </c>
      <c r="F8" s="11">
        <v>107</v>
      </c>
      <c r="G8" s="11">
        <v>10</v>
      </c>
      <c r="H8" s="11">
        <v>10</v>
      </c>
      <c r="I8" s="11">
        <f t="shared" si="7"/>
        <v>11698.970000000001</v>
      </c>
      <c r="J8" s="11">
        <v>2029.61</v>
      </c>
      <c r="K8" s="11">
        <v>0</v>
      </c>
      <c r="L8" s="11">
        <f t="shared" si="8"/>
        <v>9659.36</v>
      </c>
      <c r="M8" s="51">
        <f>867.46+2846.79+5590.47</f>
        <v>9304.7200000000012</v>
      </c>
      <c r="N8" s="11">
        <v>50.04</v>
      </c>
      <c r="O8" s="11">
        <v>0</v>
      </c>
      <c r="P8" s="11">
        <v>0</v>
      </c>
      <c r="Q8" s="11">
        <v>0</v>
      </c>
      <c r="R8" s="11">
        <v>94.14</v>
      </c>
      <c r="S8" s="11">
        <v>141.56</v>
      </c>
      <c r="T8" s="11">
        <v>68.900000000000006</v>
      </c>
      <c r="U8" s="11">
        <v>94</v>
      </c>
      <c r="V8" s="33">
        <v>46</v>
      </c>
      <c r="W8" s="33">
        <v>191.7</v>
      </c>
      <c r="X8" s="11">
        <v>1730</v>
      </c>
      <c r="Y8" s="11">
        <v>450</v>
      </c>
      <c r="Z8" s="31">
        <f t="shared" si="9"/>
        <v>32.089999999999918</v>
      </c>
      <c r="AA8" s="32">
        <f t="shared" si="10"/>
        <v>0</v>
      </c>
      <c r="AB8" s="32">
        <f t="shared" si="11"/>
        <v>10</v>
      </c>
      <c r="AC8" s="32">
        <v>0</v>
      </c>
      <c r="AD8" s="33">
        <f t="shared" si="4"/>
        <v>0</v>
      </c>
      <c r="AE8" s="33">
        <v>10</v>
      </c>
      <c r="AF8" s="33">
        <f>340+840+2970+470</f>
        <v>4620</v>
      </c>
      <c r="AG8" s="33">
        <f t="shared" si="12"/>
        <v>4610</v>
      </c>
    </row>
    <row r="9" spans="1:33" ht="37.5" customHeight="1">
      <c r="A9" s="65" t="s">
        <v>27</v>
      </c>
      <c r="B9" s="66"/>
      <c r="C9" s="27">
        <f t="shared" ref="C9:AG9" si="13">SUM(C2:C8)</f>
        <v>54580.08</v>
      </c>
      <c r="D9" s="27">
        <f t="shared" si="13"/>
        <v>32346.65</v>
      </c>
      <c r="E9" s="27">
        <f t="shared" si="13"/>
        <v>151</v>
      </c>
      <c r="F9" s="27">
        <f t="shared" si="13"/>
        <v>846</v>
      </c>
      <c r="G9" s="27">
        <f t="shared" si="13"/>
        <v>582</v>
      </c>
      <c r="H9" s="27">
        <f t="shared" si="13"/>
        <v>448.98</v>
      </c>
      <c r="I9" s="27">
        <f t="shared" si="13"/>
        <v>89112.74</v>
      </c>
      <c r="J9" s="27">
        <f t="shared" si="13"/>
        <v>16404.66</v>
      </c>
      <c r="K9" s="27">
        <f t="shared" si="13"/>
        <v>0</v>
      </c>
      <c r="L9" s="27">
        <f t="shared" si="13"/>
        <v>71778.69</v>
      </c>
      <c r="M9" s="27">
        <f t="shared" si="13"/>
        <v>65098.570000000007</v>
      </c>
      <c r="N9" s="27">
        <f t="shared" si="13"/>
        <v>217.07</v>
      </c>
      <c r="O9" s="27">
        <f t="shared" si="13"/>
        <v>0</v>
      </c>
      <c r="P9" s="27">
        <f t="shared" si="13"/>
        <v>222.85999999999999</v>
      </c>
      <c r="Q9" s="27">
        <f t="shared" si="13"/>
        <v>429.46999999999997</v>
      </c>
      <c r="R9" s="27">
        <f t="shared" si="13"/>
        <v>2791.02</v>
      </c>
      <c r="S9" s="27">
        <f t="shared" si="13"/>
        <v>1770.6499999999999</v>
      </c>
      <c r="T9" s="27">
        <f t="shared" si="13"/>
        <v>1249.0500000000002</v>
      </c>
      <c r="U9" s="27">
        <f t="shared" si="13"/>
        <v>3293.98</v>
      </c>
      <c r="V9" s="27">
        <f t="shared" si="13"/>
        <v>158.03</v>
      </c>
      <c r="W9" s="27">
        <f t="shared" si="13"/>
        <v>784.09999999999991</v>
      </c>
      <c r="X9" s="27">
        <f t="shared" si="13"/>
        <v>12082.94</v>
      </c>
      <c r="Y9" s="27">
        <f t="shared" si="13"/>
        <v>3150</v>
      </c>
      <c r="Z9" s="27">
        <f t="shared" si="13"/>
        <v>-85.609999999999445</v>
      </c>
      <c r="AA9" s="27">
        <f t="shared" si="13"/>
        <v>-338.3899999999976</v>
      </c>
      <c r="AB9" s="27">
        <f t="shared" si="13"/>
        <v>207</v>
      </c>
      <c r="AC9" s="27">
        <f t="shared" si="13"/>
        <v>375</v>
      </c>
      <c r="AD9" s="27">
        <f t="shared" si="13"/>
        <v>232.98</v>
      </c>
      <c r="AE9" s="27">
        <f t="shared" si="13"/>
        <v>216</v>
      </c>
      <c r="AF9" s="27">
        <f t="shared" si="13"/>
        <v>4620</v>
      </c>
      <c r="AG9" s="27">
        <f t="shared" si="13"/>
        <v>4171.0200000000004</v>
      </c>
    </row>
    <row r="10" spans="1:33" s="35" customFormat="1" ht="18.75">
      <c r="A10" s="9">
        <v>45082</v>
      </c>
      <c r="B10" s="10" t="s">
        <v>23</v>
      </c>
      <c r="C10" s="11">
        <v>7521.06</v>
      </c>
      <c r="D10" s="11">
        <v>3842.96</v>
      </c>
      <c r="E10" s="11">
        <v>19</v>
      </c>
      <c r="F10" s="11">
        <v>126</v>
      </c>
      <c r="G10" s="11">
        <v>55</v>
      </c>
      <c r="H10" s="11">
        <v>60</v>
      </c>
      <c r="I10" s="11">
        <f t="shared" ref="I10:I16" si="14">SUM(C10:H10,V10)</f>
        <v>11624.02</v>
      </c>
      <c r="J10" s="11">
        <v>2288.2399999999998</v>
      </c>
      <c r="K10" s="11">
        <v>0</v>
      </c>
      <c r="L10" s="11">
        <f>SUM(M10:T10)</f>
        <v>9315.7800000000007</v>
      </c>
      <c r="M10" s="51">
        <f>575.2+2591.03+4900.29</f>
        <v>8066.52</v>
      </c>
      <c r="N10" s="11">
        <v>0</v>
      </c>
      <c r="O10" s="11">
        <v>0</v>
      </c>
      <c r="P10" s="11">
        <v>69.5</v>
      </c>
      <c r="Q10" s="11">
        <v>0</v>
      </c>
      <c r="R10" s="11">
        <v>899.65</v>
      </c>
      <c r="S10" s="11">
        <v>201.43</v>
      </c>
      <c r="T10" s="11">
        <v>78.680000000000007</v>
      </c>
      <c r="U10" s="11">
        <v>451.8</v>
      </c>
      <c r="V10" s="33">
        <v>0</v>
      </c>
      <c r="W10" s="33">
        <v>96</v>
      </c>
      <c r="X10" s="11">
        <v>1740</v>
      </c>
      <c r="Y10" s="11">
        <v>450</v>
      </c>
      <c r="Z10" s="31">
        <f t="shared" ref="Z10:Z16" si="15">SUM(U10,V10,W10,X10)-J10</f>
        <v>-0.43999999999959982</v>
      </c>
      <c r="AA10" s="32">
        <f t="shared" si="10"/>
        <v>0</v>
      </c>
      <c r="AB10" s="32">
        <f>SUM(G10-AC10)</f>
        <v>55</v>
      </c>
      <c r="AC10" s="33">
        <v>0</v>
      </c>
      <c r="AD10" s="33">
        <f>SUM(H10-AE10)</f>
        <v>40</v>
      </c>
      <c r="AE10" s="33">
        <v>20</v>
      </c>
      <c r="AF10" s="33"/>
      <c r="AG10" s="33">
        <f>SUM(AF10-H10)</f>
        <v>-60</v>
      </c>
    </row>
    <row r="11" spans="1:33" s="35" customFormat="1" ht="18.75">
      <c r="A11" s="9">
        <v>45083</v>
      </c>
      <c r="B11" s="10" t="s">
        <v>24</v>
      </c>
      <c r="C11" s="11">
        <v>7228.16</v>
      </c>
      <c r="D11" s="11">
        <f>3752.84-57.27</f>
        <v>3695.57</v>
      </c>
      <c r="E11" s="11">
        <v>10</v>
      </c>
      <c r="F11" s="11">
        <v>96</v>
      </c>
      <c r="G11" s="11">
        <v>70</v>
      </c>
      <c r="H11" s="11">
        <v>26.69</v>
      </c>
      <c r="I11" s="11">
        <f t="shared" si="14"/>
        <v>11346.42</v>
      </c>
      <c r="J11" s="11">
        <f>2139.57-57.36</f>
        <v>2082.21</v>
      </c>
      <c r="K11" s="11">
        <v>0</v>
      </c>
      <c r="L11" s="11">
        <f>SUM(M11:T11)</f>
        <v>9204.2100000000009</v>
      </c>
      <c r="M11" s="51">
        <f>369.28+2929.31+4844.1</f>
        <v>8142.6900000000005</v>
      </c>
      <c r="N11" s="11">
        <v>0</v>
      </c>
      <c r="O11" s="11">
        <v>0</v>
      </c>
      <c r="P11" s="11">
        <v>0</v>
      </c>
      <c r="Q11" s="11">
        <v>299.41000000000003</v>
      </c>
      <c r="R11" s="11">
        <v>469.5</v>
      </c>
      <c r="S11" s="11">
        <v>175.02</v>
      </c>
      <c r="T11" s="11">
        <v>117.59</v>
      </c>
      <c r="U11" s="11">
        <v>0</v>
      </c>
      <c r="V11" s="33">
        <v>220</v>
      </c>
      <c r="W11" s="33">
        <v>115</v>
      </c>
      <c r="X11" s="11">
        <v>1748</v>
      </c>
      <c r="Y11" s="11">
        <v>450</v>
      </c>
      <c r="Z11" s="31">
        <f t="shared" si="15"/>
        <v>0.78999999999996362</v>
      </c>
      <c r="AA11" s="32">
        <f t="shared" si="10"/>
        <v>0</v>
      </c>
      <c r="AB11" s="32">
        <f t="shared" ref="AB11:AB32" si="16">SUM(G11-AC11)</f>
        <v>20</v>
      </c>
      <c r="AC11" s="33">
        <v>50</v>
      </c>
      <c r="AD11" s="33">
        <f t="shared" ref="AD11:AD16" si="17">SUM(H11-AE11)</f>
        <v>16.690000000000001</v>
      </c>
      <c r="AE11" s="33">
        <v>10</v>
      </c>
      <c r="AF11" s="33"/>
      <c r="AG11" s="33">
        <f t="shared" ref="AG11:AG15" si="18">SUM(AF11-H11)</f>
        <v>-26.69</v>
      </c>
    </row>
    <row r="12" spans="1:33" s="35" customFormat="1" ht="18.75">
      <c r="A12" s="9">
        <v>45084</v>
      </c>
      <c r="B12" s="10" t="s">
        <v>25</v>
      </c>
      <c r="C12" s="11">
        <v>8907.9500000000007</v>
      </c>
      <c r="D12" s="11">
        <v>4423.38</v>
      </c>
      <c r="E12" s="11">
        <v>6</v>
      </c>
      <c r="F12" s="11">
        <v>116</v>
      </c>
      <c r="G12" s="11">
        <v>152</v>
      </c>
      <c r="H12" s="11">
        <v>20</v>
      </c>
      <c r="I12" s="11">
        <f t="shared" si="14"/>
        <v>13645.330000000002</v>
      </c>
      <c r="J12" s="11">
        <f>1916.08+10</f>
        <v>1926.08</v>
      </c>
      <c r="K12" s="11">
        <v>0</v>
      </c>
      <c r="L12" s="11">
        <f t="shared" ref="L12:L16" si="19">SUM(M12:T12)</f>
        <v>11679.250000000002</v>
      </c>
      <c r="M12" s="51">
        <f>1063.66+3689.64+5240.47</f>
        <v>9993.77</v>
      </c>
      <c r="N12" s="11">
        <v>158.84</v>
      </c>
      <c r="O12" s="11">
        <v>0</v>
      </c>
      <c r="P12" s="11">
        <v>178.27</v>
      </c>
      <c r="Q12" s="11">
        <v>0</v>
      </c>
      <c r="R12" s="11">
        <v>615.86</v>
      </c>
      <c r="S12" s="11">
        <v>671.28</v>
      </c>
      <c r="T12" s="11">
        <v>61.23</v>
      </c>
      <c r="U12" s="11">
        <f>483.98+298.77</f>
        <v>782.75</v>
      </c>
      <c r="V12" s="33">
        <v>20</v>
      </c>
      <c r="W12" s="33">
        <v>98</v>
      </c>
      <c r="X12" s="11">
        <v>1028</v>
      </c>
      <c r="Y12" s="11">
        <v>450</v>
      </c>
      <c r="Z12" s="31">
        <f t="shared" si="15"/>
        <v>2.6700000000000728</v>
      </c>
      <c r="AA12" s="32">
        <f t="shared" si="10"/>
        <v>0</v>
      </c>
      <c r="AB12" s="32">
        <f t="shared" si="16"/>
        <v>132</v>
      </c>
      <c r="AC12" s="33">
        <v>20</v>
      </c>
      <c r="AD12" s="33">
        <f t="shared" si="17"/>
        <v>0</v>
      </c>
      <c r="AE12" s="33">
        <v>20</v>
      </c>
      <c r="AF12" s="33"/>
      <c r="AG12" s="33">
        <f t="shared" si="18"/>
        <v>-20</v>
      </c>
    </row>
    <row r="13" spans="1:33" s="35" customFormat="1" ht="18.75">
      <c r="A13" s="9">
        <v>45085</v>
      </c>
      <c r="B13" s="10" t="s">
        <v>26</v>
      </c>
      <c r="C13" s="11">
        <v>8140.66</v>
      </c>
      <c r="D13" s="11">
        <v>4570.68</v>
      </c>
      <c r="E13" s="11">
        <v>6.5</v>
      </c>
      <c r="F13" s="11">
        <v>201</v>
      </c>
      <c r="G13" s="11">
        <v>30</v>
      </c>
      <c r="H13" s="11">
        <v>49.62</v>
      </c>
      <c r="I13" s="11">
        <f t="shared" si="14"/>
        <v>13149.77</v>
      </c>
      <c r="J13" s="11">
        <f>3307.53+5</f>
        <v>3312.53</v>
      </c>
      <c r="K13" s="11">
        <v>0</v>
      </c>
      <c r="L13" s="11">
        <f t="shared" si="19"/>
        <v>9792.239999999998</v>
      </c>
      <c r="M13" s="51">
        <f>719.98+3188.24+4427.18</f>
        <v>8335.4</v>
      </c>
      <c r="N13" s="11">
        <v>43.44</v>
      </c>
      <c r="O13" s="11">
        <v>0</v>
      </c>
      <c r="P13" s="11">
        <v>137.06</v>
      </c>
      <c r="Q13" s="11">
        <v>232.92</v>
      </c>
      <c r="R13" s="11">
        <v>502.21</v>
      </c>
      <c r="S13" s="11">
        <v>210.38</v>
      </c>
      <c r="T13" s="11">
        <v>330.83</v>
      </c>
      <c r="U13" s="11">
        <v>0</v>
      </c>
      <c r="V13" s="33">
        <v>151.31</v>
      </c>
      <c r="W13" s="33">
        <v>167</v>
      </c>
      <c r="X13" s="11">
        <v>2910</v>
      </c>
      <c r="Y13" s="11">
        <v>450</v>
      </c>
      <c r="Z13" s="31">
        <f t="shared" si="15"/>
        <v>-84.220000000000255</v>
      </c>
      <c r="AA13" s="32">
        <f t="shared" si="10"/>
        <v>0</v>
      </c>
      <c r="AB13" s="32">
        <f t="shared" si="16"/>
        <v>20</v>
      </c>
      <c r="AC13" s="33">
        <v>10</v>
      </c>
      <c r="AD13" s="33">
        <f t="shared" si="17"/>
        <v>14.619999999999997</v>
      </c>
      <c r="AE13" s="33">
        <v>35</v>
      </c>
      <c r="AF13" s="33"/>
      <c r="AG13" s="33">
        <f t="shared" si="18"/>
        <v>-49.62</v>
      </c>
    </row>
    <row r="14" spans="1:33" s="35" customFormat="1" ht="18.75">
      <c r="A14" s="9">
        <v>45086</v>
      </c>
      <c r="B14" s="10" t="s">
        <v>20</v>
      </c>
      <c r="C14" s="11">
        <v>8698.84</v>
      </c>
      <c r="D14" s="11">
        <v>5601.31</v>
      </c>
      <c r="E14" s="11">
        <v>27</v>
      </c>
      <c r="F14" s="11">
        <v>140</v>
      </c>
      <c r="G14" s="11">
        <v>145</v>
      </c>
      <c r="H14" s="11">
        <v>110</v>
      </c>
      <c r="I14" s="11">
        <f t="shared" si="14"/>
        <v>14752.150000000001</v>
      </c>
      <c r="J14" s="43">
        <f>2800.88+60</f>
        <v>2860.88</v>
      </c>
      <c r="K14" s="43">
        <v>0</v>
      </c>
      <c r="L14" s="11">
        <f t="shared" si="19"/>
        <v>11773.25</v>
      </c>
      <c r="M14" s="51">
        <f>925.37+3740.85+6021.21</f>
        <v>10687.43</v>
      </c>
      <c r="N14" s="11">
        <v>0.99</v>
      </c>
      <c r="O14" s="11">
        <v>0</v>
      </c>
      <c r="P14" s="11">
        <v>50.01</v>
      </c>
      <c r="Q14" s="11">
        <v>79.27</v>
      </c>
      <c r="R14" s="11">
        <v>313.25</v>
      </c>
      <c r="S14" s="11">
        <v>126.92</v>
      </c>
      <c r="T14" s="11">
        <v>515.38</v>
      </c>
      <c r="U14" s="11">
        <v>0</v>
      </c>
      <c r="V14" s="33">
        <v>30</v>
      </c>
      <c r="W14" s="33">
        <v>100</v>
      </c>
      <c r="X14" s="11">
        <v>2832.6</v>
      </c>
      <c r="Y14" s="11">
        <v>450</v>
      </c>
      <c r="Z14" s="31">
        <f t="shared" si="15"/>
        <v>101.7199999999998</v>
      </c>
      <c r="AA14" s="32">
        <f t="shared" si="10"/>
        <v>1.9799999999995634</v>
      </c>
      <c r="AB14" s="32">
        <f t="shared" si="16"/>
        <v>135</v>
      </c>
      <c r="AC14" s="33">
        <v>10</v>
      </c>
      <c r="AD14" s="33">
        <f t="shared" si="17"/>
        <v>0</v>
      </c>
      <c r="AE14" s="33">
        <v>110</v>
      </c>
      <c r="AF14" s="33"/>
      <c r="AG14" s="33">
        <f t="shared" si="18"/>
        <v>-110</v>
      </c>
    </row>
    <row r="15" spans="1:33" s="35" customFormat="1" ht="18.75">
      <c r="A15" s="9">
        <v>45087</v>
      </c>
      <c r="B15" s="10" t="s">
        <v>21</v>
      </c>
      <c r="C15" s="11">
        <v>6951.01</v>
      </c>
      <c r="D15" s="11">
        <v>6857.6</v>
      </c>
      <c r="E15" s="11">
        <v>32</v>
      </c>
      <c r="F15" s="11">
        <v>85</v>
      </c>
      <c r="G15" s="11">
        <v>20</v>
      </c>
      <c r="H15" s="11">
        <v>35</v>
      </c>
      <c r="I15" s="11">
        <f t="shared" si="14"/>
        <v>14045.29</v>
      </c>
      <c r="J15" s="11">
        <v>3110.15</v>
      </c>
      <c r="K15" s="11">
        <v>0</v>
      </c>
      <c r="L15" s="11">
        <f t="shared" si="19"/>
        <v>10892.86</v>
      </c>
      <c r="M15" s="51">
        <f>593.58+3423.46+6209</f>
        <v>10226.040000000001</v>
      </c>
      <c r="N15" s="11">
        <v>0</v>
      </c>
      <c r="O15" s="11">
        <v>0</v>
      </c>
      <c r="P15" s="11">
        <v>75.900000000000006</v>
      </c>
      <c r="Q15" s="11">
        <v>201.62</v>
      </c>
      <c r="R15" s="11">
        <v>213.8</v>
      </c>
      <c r="S15" s="11">
        <v>16.55</v>
      </c>
      <c r="T15" s="11">
        <v>158.94999999999999</v>
      </c>
      <c r="U15" s="11">
        <v>0</v>
      </c>
      <c r="V15" s="33">
        <v>64.680000000000007</v>
      </c>
      <c r="W15" s="33">
        <v>45</v>
      </c>
      <c r="X15" s="11">
        <v>2998</v>
      </c>
      <c r="Y15" s="11">
        <v>450</v>
      </c>
      <c r="Z15" s="31">
        <f t="shared" si="15"/>
        <v>-2.4700000000002547</v>
      </c>
      <c r="AA15" s="32">
        <f t="shared" si="10"/>
        <v>-2.2800000000006548</v>
      </c>
      <c r="AB15" s="32">
        <f t="shared" si="16"/>
        <v>0</v>
      </c>
      <c r="AC15" s="33">
        <v>20</v>
      </c>
      <c r="AD15" s="33">
        <f t="shared" si="17"/>
        <v>15</v>
      </c>
      <c r="AE15" s="33">
        <v>20</v>
      </c>
      <c r="AF15" s="33"/>
      <c r="AG15" s="33">
        <f t="shared" si="18"/>
        <v>-35</v>
      </c>
    </row>
    <row r="16" spans="1:33" s="35" customFormat="1" ht="18.75">
      <c r="A16" s="53">
        <v>45088</v>
      </c>
      <c r="B16" s="54" t="s">
        <v>22</v>
      </c>
      <c r="C16" s="11">
        <v>7769.94</v>
      </c>
      <c r="D16" s="11">
        <v>5141.93</v>
      </c>
      <c r="E16" s="11">
        <v>0</v>
      </c>
      <c r="F16" s="11">
        <v>104</v>
      </c>
      <c r="G16" s="11">
        <v>7</v>
      </c>
      <c r="H16" s="11">
        <v>0</v>
      </c>
      <c r="I16" s="11">
        <f t="shared" si="14"/>
        <v>13027.869999999999</v>
      </c>
      <c r="J16" s="11">
        <v>2339.5700000000002</v>
      </c>
      <c r="K16" s="11">
        <v>0</v>
      </c>
      <c r="L16" s="11">
        <f t="shared" si="19"/>
        <v>10568.32</v>
      </c>
      <c r="M16" s="51">
        <f>43.02+913.06+3252.32+5857.51</f>
        <v>10065.91</v>
      </c>
      <c r="N16" s="11">
        <v>0</v>
      </c>
      <c r="O16" s="11">
        <v>0</v>
      </c>
      <c r="P16" s="11">
        <v>0</v>
      </c>
      <c r="Q16" s="11">
        <v>0</v>
      </c>
      <c r="R16" s="11">
        <v>139.63</v>
      </c>
      <c r="S16" s="11">
        <v>218.87</v>
      </c>
      <c r="T16" s="11">
        <v>143.91</v>
      </c>
      <c r="U16" s="11">
        <v>118.52</v>
      </c>
      <c r="V16" s="33">
        <v>5</v>
      </c>
      <c r="W16" s="33">
        <v>79</v>
      </c>
      <c r="X16" s="11">
        <v>2139</v>
      </c>
      <c r="Y16" s="11">
        <v>450</v>
      </c>
      <c r="Z16" s="31">
        <f t="shared" si="15"/>
        <v>1.9499999999998181</v>
      </c>
      <c r="AA16" s="32">
        <f t="shared" si="10"/>
        <v>-119.97999999999956</v>
      </c>
      <c r="AB16" s="32">
        <f t="shared" si="16"/>
        <v>7</v>
      </c>
      <c r="AC16" s="33">
        <v>0</v>
      </c>
      <c r="AD16" s="33">
        <f t="shared" si="17"/>
        <v>0</v>
      </c>
      <c r="AE16" s="33">
        <v>0</v>
      </c>
      <c r="AF16" s="33">
        <v>4300</v>
      </c>
      <c r="AG16" s="33">
        <f>SUM(AF16-H16)</f>
        <v>4300</v>
      </c>
    </row>
    <row r="17" spans="1:33" ht="37.5" customHeight="1">
      <c r="A17" s="65" t="s">
        <v>27</v>
      </c>
      <c r="B17" s="66"/>
      <c r="C17" s="27">
        <f>SUM(C10:C16)</f>
        <v>55217.62</v>
      </c>
      <c r="D17" s="27">
        <f t="shared" ref="D17:AG17" si="20">SUM(D10:D16)</f>
        <v>34133.43</v>
      </c>
      <c r="E17" s="27">
        <f t="shared" si="20"/>
        <v>100.5</v>
      </c>
      <c r="F17" s="27">
        <f t="shared" si="20"/>
        <v>868</v>
      </c>
      <c r="G17" s="27">
        <f t="shared" si="20"/>
        <v>479</v>
      </c>
      <c r="H17" s="27">
        <f t="shared" si="20"/>
        <v>301.31</v>
      </c>
      <c r="I17" s="27">
        <f t="shared" si="20"/>
        <v>91590.85</v>
      </c>
      <c r="J17" s="27">
        <f t="shared" si="20"/>
        <v>17919.66</v>
      </c>
      <c r="K17" s="27">
        <f t="shared" si="20"/>
        <v>0</v>
      </c>
      <c r="L17" s="27">
        <f t="shared" si="20"/>
        <v>73225.91</v>
      </c>
      <c r="M17" s="27">
        <f t="shared" si="20"/>
        <v>65517.760000000009</v>
      </c>
      <c r="N17" s="27">
        <f t="shared" si="20"/>
        <v>203.27</v>
      </c>
      <c r="O17" s="27">
        <f t="shared" si="20"/>
        <v>0</v>
      </c>
      <c r="P17" s="27">
        <f t="shared" si="20"/>
        <v>510.74</v>
      </c>
      <c r="Q17" s="27">
        <f t="shared" si="20"/>
        <v>813.22</v>
      </c>
      <c r="R17" s="27">
        <f t="shared" si="20"/>
        <v>3153.9000000000005</v>
      </c>
      <c r="S17" s="27">
        <f t="shared" si="20"/>
        <v>1620.4500000000003</v>
      </c>
      <c r="T17" s="27">
        <f t="shared" si="20"/>
        <v>1406.5700000000002</v>
      </c>
      <c r="U17" s="27">
        <f t="shared" si="20"/>
        <v>1353.07</v>
      </c>
      <c r="V17" s="27">
        <f t="shared" si="20"/>
        <v>490.99</v>
      </c>
      <c r="W17" s="27">
        <f t="shared" si="20"/>
        <v>700</v>
      </c>
      <c r="X17" s="27">
        <f t="shared" si="20"/>
        <v>15395.6</v>
      </c>
      <c r="Y17" s="27">
        <f t="shared" si="20"/>
        <v>3150</v>
      </c>
      <c r="Z17" s="27">
        <f t="shared" si="20"/>
        <v>19.999999999999545</v>
      </c>
      <c r="AA17" s="27">
        <f t="shared" si="20"/>
        <v>-120.28000000000065</v>
      </c>
      <c r="AB17" s="27">
        <f t="shared" si="20"/>
        <v>369</v>
      </c>
      <c r="AC17" s="27">
        <f t="shared" si="20"/>
        <v>110</v>
      </c>
      <c r="AD17" s="27">
        <f t="shared" si="20"/>
        <v>86.31</v>
      </c>
      <c r="AE17" s="27">
        <f t="shared" si="20"/>
        <v>215</v>
      </c>
      <c r="AF17" s="27">
        <f>SUM(AF10:AF16)</f>
        <v>4300</v>
      </c>
      <c r="AG17" s="27">
        <f t="shared" si="20"/>
        <v>3998.69</v>
      </c>
    </row>
    <row r="18" spans="1:33" s="35" customFormat="1" ht="18.75">
      <c r="A18" s="56">
        <v>45089</v>
      </c>
      <c r="B18" s="10" t="s">
        <v>23</v>
      </c>
      <c r="C18" s="11">
        <v>8785.7900000000009</v>
      </c>
      <c r="D18" s="11">
        <v>3853.68</v>
      </c>
      <c r="E18" s="11">
        <v>18</v>
      </c>
      <c r="F18" s="11">
        <v>88</v>
      </c>
      <c r="G18" s="11">
        <v>70</v>
      </c>
      <c r="H18" s="11">
        <v>67</v>
      </c>
      <c r="I18" s="11">
        <f>SUM(C18:H18,V18)</f>
        <v>12887.470000000001</v>
      </c>
      <c r="J18" s="11">
        <f>2810.36</f>
        <v>2810.36</v>
      </c>
      <c r="K18" s="11">
        <v>0</v>
      </c>
      <c r="L18" s="11">
        <f>SUM(M18:T18)</f>
        <v>10002.099999999999</v>
      </c>
      <c r="M18" s="51">
        <f>949.86+2750.14+4866.61</f>
        <v>8566.61</v>
      </c>
      <c r="N18" s="11">
        <v>130.05000000000001</v>
      </c>
      <c r="O18" s="11">
        <v>0</v>
      </c>
      <c r="P18" s="11">
        <v>0</v>
      </c>
      <c r="Q18" s="11">
        <v>172.39</v>
      </c>
      <c r="R18" s="11">
        <v>703.98</v>
      </c>
      <c r="S18" s="11">
        <v>117.1</v>
      </c>
      <c r="T18" s="11">
        <v>311.97000000000003</v>
      </c>
      <c r="U18" s="11">
        <v>20</v>
      </c>
      <c r="V18" s="33">
        <v>5</v>
      </c>
      <c r="W18" s="33">
        <v>115</v>
      </c>
      <c r="X18" s="11">
        <v>2680</v>
      </c>
      <c r="Y18" s="11">
        <v>450</v>
      </c>
      <c r="Z18" s="31">
        <f t="shared" ref="Z18:Z24" si="21">SUM(U18,V18,W18,X18)-J18</f>
        <v>9.6399999999998727</v>
      </c>
      <c r="AA18" s="32">
        <f t="shared" si="10"/>
        <v>-5.0100000000020373</v>
      </c>
      <c r="AB18" s="32">
        <f t="shared" si="16"/>
        <v>25</v>
      </c>
      <c r="AC18" s="32">
        <v>45</v>
      </c>
      <c r="AD18" s="33">
        <f t="shared" ref="AD18:AD24" si="22">SUM(H18-AE18)</f>
        <v>42</v>
      </c>
      <c r="AE18" s="33">
        <v>25</v>
      </c>
      <c r="AF18" s="33"/>
      <c r="AG18" s="33">
        <f t="shared" ref="AG18:AG24" si="23">SUM(AF18-H18)</f>
        <v>-67</v>
      </c>
    </row>
    <row r="19" spans="1:33" s="35" customFormat="1" ht="18.75">
      <c r="A19" s="56">
        <v>45090</v>
      </c>
      <c r="B19" s="10" t="s">
        <v>24</v>
      </c>
      <c r="C19" s="11">
        <v>8732.2999999999993</v>
      </c>
      <c r="D19" s="11">
        <v>4416.0200000000004</v>
      </c>
      <c r="E19" s="11">
        <v>22.5</v>
      </c>
      <c r="F19" s="11">
        <v>142</v>
      </c>
      <c r="G19" s="11">
        <v>195</v>
      </c>
      <c r="H19" s="11">
        <v>67.3</v>
      </c>
      <c r="I19" s="11">
        <f t="shared" ref="I19:I24" si="24">SUM(C19:H19,V19)</f>
        <v>13575.119999999999</v>
      </c>
      <c r="J19" s="11">
        <f>2695.57+15</f>
        <v>2710.57</v>
      </c>
      <c r="K19" s="11">
        <v>0</v>
      </c>
      <c r="L19" s="11">
        <f>SUM(M19:T19)</f>
        <v>10727.25</v>
      </c>
      <c r="M19" s="51">
        <f>678.86+3414.61+5247.11</f>
        <v>9340.58</v>
      </c>
      <c r="N19" s="11">
        <v>53.06</v>
      </c>
      <c r="O19" s="11">
        <v>0</v>
      </c>
      <c r="P19" s="11">
        <v>0</v>
      </c>
      <c r="Q19" s="11">
        <f>129.05+62.44</f>
        <v>191.49</v>
      </c>
      <c r="R19" s="11">
        <v>627.32000000000005</v>
      </c>
      <c r="S19" s="11">
        <v>210.36</v>
      </c>
      <c r="T19" s="11">
        <v>304.44</v>
      </c>
      <c r="U19" s="11">
        <v>83.6</v>
      </c>
      <c r="V19" s="33">
        <v>0</v>
      </c>
      <c r="W19" s="33">
        <v>95</v>
      </c>
      <c r="X19" s="11">
        <v>2536</v>
      </c>
      <c r="Y19" s="11">
        <v>450</v>
      </c>
      <c r="Z19" s="31">
        <f t="shared" si="21"/>
        <v>4.0299999999997453</v>
      </c>
      <c r="AA19" s="32">
        <f t="shared" si="10"/>
        <v>0</v>
      </c>
      <c r="AB19" s="32">
        <f t="shared" si="16"/>
        <v>115</v>
      </c>
      <c r="AC19" s="32">
        <v>80</v>
      </c>
      <c r="AD19" s="33">
        <f t="shared" si="22"/>
        <v>10</v>
      </c>
      <c r="AE19" s="33">
        <v>57.3</v>
      </c>
      <c r="AF19" s="33"/>
      <c r="AG19" s="33">
        <f t="shared" si="23"/>
        <v>-67.3</v>
      </c>
    </row>
    <row r="20" spans="1:33" s="35" customFormat="1" ht="18.75">
      <c r="A20" s="56">
        <v>45091</v>
      </c>
      <c r="B20" s="55" t="s">
        <v>25</v>
      </c>
      <c r="C20" s="11">
        <f>9732.64+9.93</f>
        <v>9742.57</v>
      </c>
      <c r="D20" s="11">
        <v>4448.1899999999996</v>
      </c>
      <c r="E20" s="11">
        <v>22.5</v>
      </c>
      <c r="F20" s="11">
        <v>102</v>
      </c>
      <c r="G20" s="11">
        <v>52</v>
      </c>
      <c r="H20" s="11">
        <v>10</v>
      </c>
      <c r="I20" s="11">
        <f t="shared" si="24"/>
        <v>14429.279999999999</v>
      </c>
      <c r="J20" s="11">
        <v>2729.69</v>
      </c>
      <c r="K20" s="11">
        <v>0</v>
      </c>
      <c r="L20" s="11">
        <f t="shared" ref="L20:L24" si="25">SUM(M20:T20)</f>
        <v>11669.660000000002</v>
      </c>
      <c r="M20" s="51">
        <f>1189.11+2907.45+6473.97</f>
        <v>10570.529999999999</v>
      </c>
      <c r="N20" s="11">
        <v>0</v>
      </c>
      <c r="O20" s="11">
        <v>0</v>
      </c>
      <c r="P20" s="11">
        <v>86.37</v>
      </c>
      <c r="Q20" s="11">
        <v>251.85</v>
      </c>
      <c r="R20" s="11">
        <v>635.02</v>
      </c>
      <c r="S20" s="11">
        <v>72.77</v>
      </c>
      <c r="T20" s="11">
        <v>53.12</v>
      </c>
      <c r="U20" s="11">
        <v>551.76</v>
      </c>
      <c r="V20" s="33">
        <v>52.02</v>
      </c>
      <c r="W20" s="33">
        <v>147</v>
      </c>
      <c r="X20" s="11">
        <v>1970</v>
      </c>
      <c r="Y20" s="11">
        <v>450</v>
      </c>
      <c r="Z20" s="31">
        <f t="shared" si="21"/>
        <v>-8.9100000000003092</v>
      </c>
      <c r="AA20" s="32">
        <f t="shared" si="10"/>
        <v>-9.9299999999966531</v>
      </c>
      <c r="AB20" s="32">
        <f t="shared" si="16"/>
        <v>42</v>
      </c>
      <c r="AC20" s="32">
        <v>10</v>
      </c>
      <c r="AD20" s="33">
        <f t="shared" si="22"/>
        <v>0</v>
      </c>
      <c r="AE20" s="33">
        <v>10</v>
      </c>
      <c r="AF20" s="33"/>
      <c r="AG20" s="33">
        <f t="shared" si="23"/>
        <v>-10</v>
      </c>
    </row>
    <row r="21" spans="1:33" s="35" customFormat="1" ht="18.75">
      <c r="A21" s="56">
        <v>45092</v>
      </c>
      <c r="B21" s="10" t="s">
        <v>26</v>
      </c>
      <c r="C21" s="11">
        <v>9532.3799999999992</v>
      </c>
      <c r="D21" s="11">
        <f>3363.21+834.27</f>
        <v>4197.4799999999996</v>
      </c>
      <c r="E21" s="11">
        <v>22.5</v>
      </c>
      <c r="F21" s="11">
        <v>85</v>
      </c>
      <c r="G21" s="11">
        <v>110</v>
      </c>
      <c r="H21" s="11">
        <v>20</v>
      </c>
      <c r="I21" s="11">
        <f t="shared" si="24"/>
        <v>13967.359999999999</v>
      </c>
      <c r="J21" s="11">
        <v>2903.72</v>
      </c>
      <c r="K21" s="11">
        <v>0</v>
      </c>
      <c r="L21" s="11">
        <f t="shared" si="25"/>
        <v>11043.640000000003</v>
      </c>
      <c r="M21" s="51">
        <f>1154.05+2782.22+5386.75</f>
        <v>9323.02</v>
      </c>
      <c r="N21" s="11">
        <v>0</v>
      </c>
      <c r="O21" s="11">
        <v>0</v>
      </c>
      <c r="P21" s="11">
        <v>66.180000000000007</v>
      </c>
      <c r="Q21" s="11">
        <v>207.7</v>
      </c>
      <c r="R21" s="11">
        <v>609.37</v>
      </c>
      <c r="S21" s="11">
        <v>340.94</v>
      </c>
      <c r="T21" s="11">
        <v>496.43</v>
      </c>
      <c r="U21" s="11">
        <v>834.27</v>
      </c>
      <c r="V21" s="33">
        <v>0</v>
      </c>
      <c r="W21" s="33">
        <v>30</v>
      </c>
      <c r="X21" s="11">
        <v>2052</v>
      </c>
      <c r="Y21" s="11">
        <v>450</v>
      </c>
      <c r="Z21" s="31">
        <f t="shared" si="21"/>
        <v>12.550000000000182</v>
      </c>
      <c r="AA21" s="32">
        <f t="shared" si="10"/>
        <v>0</v>
      </c>
      <c r="AB21" s="32">
        <f t="shared" si="16"/>
        <v>110</v>
      </c>
      <c r="AC21" s="32">
        <v>0</v>
      </c>
      <c r="AD21" s="33">
        <f t="shared" si="22"/>
        <v>0</v>
      </c>
      <c r="AE21" s="33">
        <v>20</v>
      </c>
      <c r="AF21" s="33"/>
      <c r="AG21" s="33">
        <f t="shared" si="23"/>
        <v>-20</v>
      </c>
    </row>
    <row r="22" spans="1:33" s="35" customFormat="1" ht="18.75">
      <c r="A22" s="56">
        <v>45093</v>
      </c>
      <c r="B22" s="10" t="s">
        <v>20</v>
      </c>
      <c r="C22" s="11">
        <v>9708.6</v>
      </c>
      <c r="D22" s="11">
        <v>5965.81</v>
      </c>
      <c r="E22" s="11">
        <v>54</v>
      </c>
      <c r="F22" s="11">
        <v>102</v>
      </c>
      <c r="G22" s="11">
        <v>140</v>
      </c>
      <c r="H22" s="11">
        <v>41</v>
      </c>
      <c r="I22" s="11">
        <f t="shared" si="24"/>
        <v>16011.41</v>
      </c>
      <c r="J22" s="11">
        <f>2946.87+15</f>
        <v>2961.87</v>
      </c>
      <c r="K22" s="11">
        <v>0</v>
      </c>
      <c r="L22" s="11">
        <f t="shared" si="25"/>
        <v>12769.820000000002</v>
      </c>
      <c r="M22" s="51">
        <f>866.09+4058.68+6111.04</f>
        <v>11035.81</v>
      </c>
      <c r="N22" s="11">
        <v>0</v>
      </c>
      <c r="O22" s="11">
        <v>0</v>
      </c>
      <c r="P22" s="11">
        <v>72.349999999999994</v>
      </c>
      <c r="Q22" s="11">
        <v>45</v>
      </c>
      <c r="R22" s="11">
        <v>254.43</v>
      </c>
      <c r="S22" s="11">
        <f>57.29+187.41+105.01+99.91</f>
        <v>449.62</v>
      </c>
      <c r="T22" s="11">
        <v>912.61</v>
      </c>
      <c r="U22" s="11">
        <v>552.70000000000005</v>
      </c>
      <c r="V22" s="33">
        <v>0</v>
      </c>
      <c r="W22" s="33">
        <v>30</v>
      </c>
      <c r="X22" s="11">
        <v>2405.9299999999998</v>
      </c>
      <c r="Y22" s="11">
        <v>450</v>
      </c>
      <c r="Z22" s="31">
        <f t="shared" si="21"/>
        <v>26.760000000000218</v>
      </c>
      <c r="AA22" s="32">
        <f t="shared" si="10"/>
        <v>-144.71999999999753</v>
      </c>
      <c r="AB22" s="32">
        <f t="shared" si="16"/>
        <v>10</v>
      </c>
      <c r="AC22" s="32">
        <v>130</v>
      </c>
      <c r="AD22" s="33">
        <f t="shared" si="22"/>
        <v>36</v>
      </c>
      <c r="AE22" s="33">
        <v>5</v>
      </c>
      <c r="AF22" s="33"/>
      <c r="AG22" s="33">
        <f t="shared" si="23"/>
        <v>-41</v>
      </c>
    </row>
    <row r="23" spans="1:33" s="35" customFormat="1" ht="18.75">
      <c r="A23" s="57">
        <v>45094</v>
      </c>
      <c r="B23" s="10" t="s">
        <v>21</v>
      </c>
      <c r="C23" s="11">
        <f>6116.42+93.47</f>
        <v>6209.89</v>
      </c>
      <c r="D23" s="11">
        <f>5674.34</f>
        <v>5674.34</v>
      </c>
      <c r="E23" s="11">
        <v>16</v>
      </c>
      <c r="F23" s="11">
        <v>98</v>
      </c>
      <c r="G23" s="11">
        <v>40</v>
      </c>
      <c r="H23" s="11">
        <v>10</v>
      </c>
      <c r="I23" s="11">
        <f t="shared" si="24"/>
        <v>12093.23</v>
      </c>
      <c r="J23" s="11">
        <v>2732.9</v>
      </c>
      <c r="K23" s="11">
        <v>0</v>
      </c>
      <c r="L23" s="11">
        <f t="shared" si="25"/>
        <v>9258.84</v>
      </c>
      <c r="M23" s="51">
        <f>585.03+3079.01+4778.45</f>
        <v>8442.49</v>
      </c>
      <c r="N23" s="11">
        <v>25</v>
      </c>
      <c r="O23" s="11">
        <v>0</v>
      </c>
      <c r="P23" s="11">
        <v>0</v>
      </c>
      <c r="Q23" s="11">
        <v>0</v>
      </c>
      <c r="R23" s="11">
        <v>67.28</v>
      </c>
      <c r="S23" s="11">
        <v>0</v>
      </c>
      <c r="T23" s="11">
        <v>724.07</v>
      </c>
      <c r="U23" s="11">
        <v>75</v>
      </c>
      <c r="V23" s="33">
        <v>45</v>
      </c>
      <c r="W23" s="33">
        <v>121</v>
      </c>
      <c r="X23" s="11">
        <v>2492.5</v>
      </c>
      <c r="Y23" s="11">
        <v>450</v>
      </c>
      <c r="Z23" s="31">
        <f t="shared" si="21"/>
        <v>0.59999999999990905</v>
      </c>
      <c r="AA23" s="32">
        <f t="shared" si="10"/>
        <v>-91.489999999999782</v>
      </c>
      <c r="AB23" s="32">
        <f t="shared" si="16"/>
        <v>40</v>
      </c>
      <c r="AC23" s="32">
        <v>0</v>
      </c>
      <c r="AD23" s="33">
        <f t="shared" si="22"/>
        <v>0</v>
      </c>
      <c r="AE23" s="33">
        <v>10</v>
      </c>
      <c r="AF23" s="33"/>
      <c r="AG23" s="33">
        <f t="shared" si="23"/>
        <v>-10</v>
      </c>
    </row>
    <row r="24" spans="1:33" s="35" customFormat="1" ht="18.75">
      <c r="A24" s="56">
        <v>45095</v>
      </c>
      <c r="B24" s="10" t="s">
        <v>22</v>
      </c>
      <c r="C24" s="11">
        <v>6117.3</v>
      </c>
      <c r="D24" s="11">
        <v>3993.11</v>
      </c>
      <c r="E24" s="11">
        <v>6</v>
      </c>
      <c r="F24" s="11">
        <v>98</v>
      </c>
      <c r="G24" s="11">
        <v>100</v>
      </c>
      <c r="H24" s="11">
        <v>10</v>
      </c>
      <c r="I24" s="11">
        <f t="shared" si="24"/>
        <v>10326.91</v>
      </c>
      <c r="J24" s="11">
        <v>2336.0500000000002</v>
      </c>
      <c r="K24" s="11">
        <v>0</v>
      </c>
      <c r="L24" s="11">
        <f t="shared" si="25"/>
        <v>7990.86</v>
      </c>
      <c r="M24" s="51">
        <v>6935.49</v>
      </c>
      <c r="N24" s="11">
        <v>100.71</v>
      </c>
      <c r="O24" s="11">
        <v>0</v>
      </c>
      <c r="P24" s="11">
        <v>0</v>
      </c>
      <c r="Q24" s="11">
        <v>171.1</v>
      </c>
      <c r="R24" s="11">
        <v>213.7</v>
      </c>
      <c r="S24" s="11">
        <v>297.66000000000003</v>
      </c>
      <c r="T24" s="11">
        <v>272.2</v>
      </c>
      <c r="U24" s="11">
        <v>120.72</v>
      </c>
      <c r="V24" s="33">
        <v>2.5</v>
      </c>
      <c r="W24" s="33">
        <v>27.7</v>
      </c>
      <c r="X24" s="11">
        <v>2187</v>
      </c>
      <c r="Y24" s="11">
        <v>450</v>
      </c>
      <c r="Z24" s="31">
        <f t="shared" si="21"/>
        <v>1.8699999999998909</v>
      </c>
      <c r="AA24" s="32">
        <f t="shared" si="10"/>
        <v>0</v>
      </c>
      <c r="AB24" s="32">
        <f t="shared" si="16"/>
        <v>100</v>
      </c>
      <c r="AC24" s="32">
        <v>0</v>
      </c>
      <c r="AD24" s="33">
        <f t="shared" si="22"/>
        <v>10</v>
      </c>
      <c r="AE24" s="33">
        <v>0</v>
      </c>
      <c r="AF24" s="33">
        <v>3210</v>
      </c>
      <c r="AG24" s="33">
        <f t="shared" si="23"/>
        <v>3200</v>
      </c>
    </row>
    <row r="25" spans="1:33" ht="37.5" customHeight="1">
      <c r="A25" s="65" t="s">
        <v>27</v>
      </c>
      <c r="B25" s="66"/>
      <c r="C25" s="27">
        <f>SUM(C18:C24)</f>
        <v>58828.83</v>
      </c>
      <c r="D25" s="27">
        <f t="shared" ref="D25:AG25" si="26">SUM(D18:D24)</f>
        <v>32548.63</v>
      </c>
      <c r="E25" s="27">
        <f t="shared" si="26"/>
        <v>161.5</v>
      </c>
      <c r="F25" s="27">
        <f t="shared" si="26"/>
        <v>715</v>
      </c>
      <c r="G25" s="27">
        <f t="shared" si="26"/>
        <v>707</v>
      </c>
      <c r="H25" s="27">
        <f t="shared" si="26"/>
        <v>225.3</v>
      </c>
      <c r="I25" s="27">
        <f t="shared" si="26"/>
        <v>93290.78</v>
      </c>
      <c r="J25" s="27">
        <f t="shared" si="26"/>
        <v>19185.16</v>
      </c>
      <c r="K25" s="27">
        <f t="shared" si="26"/>
        <v>0</v>
      </c>
      <c r="L25" s="27">
        <f t="shared" si="26"/>
        <v>73462.170000000013</v>
      </c>
      <c r="M25" s="27">
        <f t="shared" si="26"/>
        <v>64214.53</v>
      </c>
      <c r="N25" s="27">
        <f t="shared" si="26"/>
        <v>308.82</v>
      </c>
      <c r="O25" s="27">
        <f t="shared" si="26"/>
        <v>0</v>
      </c>
      <c r="P25" s="27">
        <f t="shared" si="26"/>
        <v>224.9</v>
      </c>
      <c r="Q25" s="27">
        <f t="shared" si="26"/>
        <v>1039.53</v>
      </c>
      <c r="R25" s="27">
        <f t="shared" si="26"/>
        <v>3111.1</v>
      </c>
      <c r="S25" s="27">
        <f t="shared" si="26"/>
        <v>1488.45</v>
      </c>
      <c r="T25" s="27">
        <f t="shared" si="26"/>
        <v>3074.84</v>
      </c>
      <c r="U25" s="27">
        <f t="shared" si="26"/>
        <v>2238.0499999999997</v>
      </c>
      <c r="V25" s="27">
        <f t="shared" si="26"/>
        <v>104.52000000000001</v>
      </c>
      <c r="W25" s="27">
        <f t="shared" si="26"/>
        <v>565.70000000000005</v>
      </c>
      <c r="X25" s="27">
        <f t="shared" si="26"/>
        <v>16323.43</v>
      </c>
      <c r="Y25" s="27">
        <f t="shared" si="26"/>
        <v>3150</v>
      </c>
      <c r="Z25" s="27">
        <f t="shared" si="26"/>
        <v>46.539999999999509</v>
      </c>
      <c r="AA25" s="27">
        <f t="shared" si="26"/>
        <v>-251.149999999996</v>
      </c>
      <c r="AB25" s="27">
        <f t="shared" si="26"/>
        <v>442</v>
      </c>
      <c r="AC25" s="27">
        <f t="shared" si="26"/>
        <v>265</v>
      </c>
      <c r="AD25" s="27">
        <f t="shared" si="26"/>
        <v>98</v>
      </c>
      <c r="AE25" s="27">
        <f t="shared" si="26"/>
        <v>127.3</v>
      </c>
      <c r="AF25" s="27">
        <f t="shared" si="26"/>
        <v>3210</v>
      </c>
      <c r="AG25" s="27">
        <f t="shared" si="26"/>
        <v>2984.7</v>
      </c>
    </row>
    <row r="26" spans="1:33" ht="20.25" customHeight="1">
      <c r="A26" s="56">
        <v>45096</v>
      </c>
      <c r="B26" s="10" t="s">
        <v>23</v>
      </c>
      <c r="C26" s="11">
        <v>7792.83</v>
      </c>
      <c r="D26" s="11">
        <v>3915.5</v>
      </c>
      <c r="E26" s="11">
        <v>20.5</v>
      </c>
      <c r="F26" s="11">
        <v>71</v>
      </c>
      <c r="G26" s="11">
        <v>85</v>
      </c>
      <c r="H26" s="11">
        <v>153.6</v>
      </c>
      <c r="I26" s="11">
        <v>12039.43</v>
      </c>
      <c r="J26" s="11">
        <v>2082.33</v>
      </c>
      <c r="K26" s="11">
        <v>0</v>
      </c>
      <c r="L26" s="11">
        <v>9803.5</v>
      </c>
      <c r="M26" s="51">
        <f>752.47+2786.25+5122.54</f>
        <v>8661.26</v>
      </c>
      <c r="N26" s="11">
        <v>57.64</v>
      </c>
      <c r="O26" s="11">
        <v>0</v>
      </c>
      <c r="P26" s="11">
        <v>70.02</v>
      </c>
      <c r="Q26" s="11">
        <v>249.95</v>
      </c>
      <c r="R26" s="11">
        <v>469.09</v>
      </c>
      <c r="S26" s="11">
        <v>204.22</v>
      </c>
      <c r="T26" s="11">
        <v>99.61</v>
      </c>
      <c r="U26" s="11">
        <v>199.14</v>
      </c>
      <c r="V26" s="33">
        <v>1</v>
      </c>
      <c r="W26" s="33">
        <v>51.9</v>
      </c>
      <c r="X26" s="11">
        <v>1831</v>
      </c>
      <c r="Y26" s="11">
        <v>450</v>
      </c>
      <c r="Z26" s="31">
        <f t="shared" ref="Z26:Z32" si="27">SUM(U26,V26,W26,X26)-J26</f>
        <v>0.71000000000003638</v>
      </c>
      <c r="AA26" s="32">
        <f t="shared" si="10"/>
        <v>0</v>
      </c>
      <c r="AB26" s="32">
        <f t="shared" si="16"/>
        <v>85</v>
      </c>
      <c r="AC26" s="32">
        <v>0</v>
      </c>
      <c r="AD26" s="33">
        <f t="shared" ref="AD26:AD32" si="28">SUM(H26-AE26)</f>
        <v>0</v>
      </c>
      <c r="AE26" s="33">
        <v>153.6</v>
      </c>
      <c r="AF26" s="33"/>
      <c r="AG26" s="33">
        <f>SUM(AF26-H26)</f>
        <v>-153.6</v>
      </c>
    </row>
    <row r="27" spans="1:33" ht="20.25" customHeight="1">
      <c r="A27" s="56">
        <v>45097</v>
      </c>
      <c r="B27" s="10" t="s">
        <v>24</v>
      </c>
      <c r="C27" s="11">
        <v>8098.01</v>
      </c>
      <c r="D27" s="11">
        <v>3893.77</v>
      </c>
      <c r="E27" s="11">
        <v>22.5</v>
      </c>
      <c r="F27" s="11">
        <v>61</v>
      </c>
      <c r="G27" s="11">
        <v>40</v>
      </c>
      <c r="H27" s="11">
        <v>85</v>
      </c>
      <c r="I27" s="11">
        <f t="shared" ref="I27:I32" si="29">SUM(C27:H27,V27)</f>
        <v>12230.28</v>
      </c>
      <c r="J27" s="11">
        <v>2351.2800000000002</v>
      </c>
      <c r="K27" s="11">
        <v>0</v>
      </c>
      <c r="L27" s="11">
        <f>SUM(M27:T27)</f>
        <v>9760.130000000001</v>
      </c>
      <c r="M27" s="51">
        <f>819.86+2898.38+4623.5</f>
        <v>8341.74</v>
      </c>
      <c r="N27" s="11">
        <v>44.17</v>
      </c>
      <c r="O27" s="11">
        <v>0</v>
      </c>
      <c r="P27" s="11">
        <v>136.12</v>
      </c>
      <c r="Q27" s="11">
        <v>130.77000000000001</v>
      </c>
      <c r="R27" s="11">
        <v>628.17999999999995</v>
      </c>
      <c r="S27" s="11">
        <v>277</v>
      </c>
      <c r="T27" s="11">
        <v>202.15</v>
      </c>
      <c r="U27" s="11">
        <v>0</v>
      </c>
      <c r="V27" s="33">
        <v>30</v>
      </c>
      <c r="W27" s="33">
        <v>33</v>
      </c>
      <c r="X27" s="11">
        <v>2307</v>
      </c>
      <c r="Y27" s="11">
        <v>450</v>
      </c>
      <c r="Z27" s="31">
        <f t="shared" si="27"/>
        <v>18.7199999999998</v>
      </c>
      <c r="AA27" s="32">
        <f t="shared" si="10"/>
        <v>-43.869999999998981</v>
      </c>
      <c r="AB27" s="32">
        <f t="shared" si="16"/>
        <v>0</v>
      </c>
      <c r="AC27" s="32">
        <v>40</v>
      </c>
      <c r="AD27" s="33">
        <v>30</v>
      </c>
      <c r="AE27" s="33">
        <v>35</v>
      </c>
      <c r="AF27" s="33"/>
      <c r="AG27" s="33">
        <f t="shared" ref="AG27:AG32" si="30">SUM(AF27-H27)</f>
        <v>-85</v>
      </c>
    </row>
    <row r="28" spans="1:33" ht="20.25" customHeight="1">
      <c r="A28" s="56">
        <v>45098</v>
      </c>
      <c r="B28" s="10" t="s">
        <v>25</v>
      </c>
      <c r="C28" s="11">
        <v>10141.540000000001</v>
      </c>
      <c r="D28" s="11">
        <v>4490.54</v>
      </c>
      <c r="E28" s="11">
        <v>46</v>
      </c>
      <c r="F28" s="11">
        <v>65</v>
      </c>
      <c r="G28" s="11">
        <v>140</v>
      </c>
      <c r="H28" s="11">
        <v>62</v>
      </c>
      <c r="I28" s="11">
        <f>SUM(C28:H28,V28)</f>
        <v>15105.080000000002</v>
      </c>
      <c r="J28" s="11">
        <v>2697.73</v>
      </c>
      <c r="K28" s="11">
        <v>0</v>
      </c>
      <c r="L28" s="11">
        <f t="shared" ref="L28:L32" si="31">SUM(M28:T28)</f>
        <v>12350.349999999999</v>
      </c>
      <c r="M28" s="51">
        <f>983.18+3630.31+6048.49</f>
        <v>10661.98</v>
      </c>
      <c r="N28" s="11">
        <v>133.88</v>
      </c>
      <c r="O28" s="11">
        <v>87.2</v>
      </c>
      <c r="P28" s="11">
        <v>0</v>
      </c>
      <c r="Q28" s="11">
        <v>82.8</v>
      </c>
      <c r="R28" s="11">
        <v>636.51</v>
      </c>
      <c r="S28" s="11">
        <v>502.08</v>
      </c>
      <c r="T28" s="11">
        <v>245.9</v>
      </c>
      <c r="U28" s="11">
        <v>346</v>
      </c>
      <c r="V28" s="33">
        <v>160</v>
      </c>
      <c r="W28" s="33">
        <v>27</v>
      </c>
      <c r="X28" s="11">
        <v>2191</v>
      </c>
      <c r="Y28" s="11">
        <v>450</v>
      </c>
      <c r="Z28" s="31">
        <f t="shared" si="27"/>
        <v>26.269999999999982</v>
      </c>
      <c r="AA28" s="32">
        <f t="shared" si="10"/>
        <v>0</v>
      </c>
      <c r="AB28" s="32">
        <f t="shared" si="16"/>
        <v>125</v>
      </c>
      <c r="AC28" s="32">
        <v>15</v>
      </c>
      <c r="AD28" s="33">
        <f t="shared" si="28"/>
        <v>20</v>
      </c>
      <c r="AE28" s="33">
        <v>42</v>
      </c>
      <c r="AF28" s="33"/>
      <c r="AG28" s="33">
        <f t="shared" si="30"/>
        <v>-62</v>
      </c>
    </row>
    <row r="29" spans="1:33" ht="20.25" customHeight="1">
      <c r="A29" s="57">
        <v>45099</v>
      </c>
      <c r="B29" s="10" t="s">
        <v>26</v>
      </c>
      <c r="C29" s="11">
        <f>8162.46+10.01</f>
        <v>8172.47</v>
      </c>
      <c r="D29" s="11">
        <v>4503.0600000000004</v>
      </c>
      <c r="E29" s="11">
        <v>15.5</v>
      </c>
      <c r="F29" s="11">
        <v>125</v>
      </c>
      <c r="G29" s="11">
        <v>0</v>
      </c>
      <c r="H29" s="11">
        <v>139.88999999999999</v>
      </c>
      <c r="I29" s="11">
        <f t="shared" si="29"/>
        <v>12960.92</v>
      </c>
      <c r="J29" s="11">
        <v>2615.77</v>
      </c>
      <c r="K29" s="11">
        <v>0</v>
      </c>
      <c r="L29" s="11">
        <f t="shared" si="31"/>
        <v>10313.92</v>
      </c>
      <c r="M29" s="51">
        <f>668.84+3115.41+5810.81</f>
        <v>9595.0600000000013</v>
      </c>
      <c r="N29" s="11">
        <v>0</v>
      </c>
      <c r="O29" s="11">
        <v>0</v>
      </c>
      <c r="P29" s="11">
        <v>40.15</v>
      </c>
      <c r="Q29" s="11">
        <v>94.58</v>
      </c>
      <c r="R29" s="11">
        <v>433.06</v>
      </c>
      <c r="S29" s="11">
        <v>110.5</v>
      </c>
      <c r="T29" s="11">
        <v>40.57</v>
      </c>
      <c r="U29" s="11">
        <v>0</v>
      </c>
      <c r="V29" s="33">
        <v>5</v>
      </c>
      <c r="W29" s="33">
        <v>62</v>
      </c>
      <c r="X29" s="11">
        <v>2548</v>
      </c>
      <c r="Y29" s="11">
        <v>450</v>
      </c>
      <c r="Z29" s="31">
        <f t="shared" si="27"/>
        <v>-0.76999999999998181</v>
      </c>
      <c r="AA29" s="32">
        <f t="shared" si="10"/>
        <v>-8.0299999999988358</v>
      </c>
      <c r="AB29" s="32">
        <f t="shared" si="16"/>
        <v>0</v>
      </c>
      <c r="AC29" s="32">
        <v>0</v>
      </c>
      <c r="AD29" s="33">
        <f t="shared" si="28"/>
        <v>116.68999999999998</v>
      </c>
      <c r="AE29" s="33">
        <v>23.2</v>
      </c>
      <c r="AF29" s="33"/>
      <c r="AG29" s="33">
        <f t="shared" si="30"/>
        <v>-139.88999999999999</v>
      </c>
    </row>
    <row r="30" spans="1:33" ht="20.25" customHeight="1">
      <c r="A30" s="56">
        <v>45100</v>
      </c>
      <c r="B30" s="10" t="s">
        <v>20</v>
      </c>
      <c r="C30" s="11">
        <v>10519.37</v>
      </c>
      <c r="D30" s="11">
        <v>5618.1</v>
      </c>
      <c r="E30" s="11">
        <v>27.5</v>
      </c>
      <c r="F30" s="11">
        <v>114</v>
      </c>
      <c r="G30" s="11">
        <v>49</v>
      </c>
      <c r="H30" s="11">
        <v>45</v>
      </c>
      <c r="I30" s="11">
        <f t="shared" si="29"/>
        <v>16418.95</v>
      </c>
      <c r="J30" s="11">
        <v>3082.71</v>
      </c>
      <c r="K30" s="11">
        <v>0</v>
      </c>
      <c r="L30" s="11">
        <f t="shared" si="31"/>
        <v>13316.24</v>
      </c>
      <c r="M30" s="51">
        <f>910.28+4928.8+6429.69</f>
        <v>12268.77</v>
      </c>
      <c r="N30" s="11">
        <v>69.650000000000006</v>
      </c>
      <c r="O30" s="11">
        <v>0</v>
      </c>
      <c r="P30" s="11">
        <v>90.04</v>
      </c>
      <c r="Q30" s="11">
        <v>90.06</v>
      </c>
      <c r="R30" s="11">
        <v>380.91</v>
      </c>
      <c r="S30" s="11">
        <v>397.82</v>
      </c>
      <c r="T30" s="11">
        <v>18.989999999999998</v>
      </c>
      <c r="U30" s="11">
        <v>976.29</v>
      </c>
      <c r="V30" s="33">
        <v>45.98</v>
      </c>
      <c r="W30" s="33">
        <v>45.98</v>
      </c>
      <c r="X30" s="11">
        <v>2020</v>
      </c>
      <c r="Y30" s="11">
        <v>450</v>
      </c>
      <c r="Z30" s="31">
        <f t="shared" si="27"/>
        <v>5.5399999999999636</v>
      </c>
      <c r="AA30" s="32">
        <f t="shared" si="10"/>
        <v>-20</v>
      </c>
      <c r="AB30" s="32">
        <f t="shared" si="16"/>
        <v>49</v>
      </c>
      <c r="AC30" s="32">
        <v>0</v>
      </c>
      <c r="AD30" s="33">
        <f t="shared" si="28"/>
        <v>45</v>
      </c>
      <c r="AE30" s="33">
        <v>0</v>
      </c>
      <c r="AF30" s="33"/>
      <c r="AG30" s="33">
        <f t="shared" si="30"/>
        <v>-45</v>
      </c>
    </row>
    <row r="31" spans="1:33" ht="20.25" customHeight="1">
      <c r="A31" s="56">
        <v>45101</v>
      </c>
      <c r="B31" s="10" t="s">
        <v>21</v>
      </c>
      <c r="C31" s="11">
        <v>8316.23</v>
      </c>
      <c r="D31" s="11">
        <v>5825.17</v>
      </c>
      <c r="E31" s="11">
        <v>21</v>
      </c>
      <c r="F31" s="11">
        <v>137</v>
      </c>
      <c r="G31" s="11">
        <v>270</v>
      </c>
      <c r="H31" s="11">
        <v>80</v>
      </c>
      <c r="I31" s="11">
        <f t="shared" si="29"/>
        <v>14690.369999999999</v>
      </c>
      <c r="J31" s="11">
        <f>2998.58+11</f>
        <v>3009.58</v>
      </c>
      <c r="K31" s="11">
        <v>0</v>
      </c>
      <c r="L31" s="11">
        <f t="shared" si="31"/>
        <v>11645.790999999999</v>
      </c>
      <c r="M31" s="51">
        <f>965.23+3189.28+6875.67</f>
        <v>11030.18</v>
      </c>
      <c r="N31" s="11">
        <v>41.73</v>
      </c>
      <c r="O31" s="11">
        <v>0</v>
      </c>
      <c r="P31" s="11">
        <v>0</v>
      </c>
      <c r="Q31" s="11">
        <v>107.121</v>
      </c>
      <c r="R31" s="11">
        <v>36.15</v>
      </c>
      <c r="S31" s="11">
        <v>202.08</v>
      </c>
      <c r="T31" s="11">
        <v>228.53</v>
      </c>
      <c r="U31" s="11">
        <v>0</v>
      </c>
      <c r="V31" s="33">
        <v>40.97</v>
      </c>
      <c r="W31" s="33">
        <v>84</v>
      </c>
      <c r="X31" s="11">
        <v>2815.5</v>
      </c>
      <c r="Y31" s="11">
        <v>450</v>
      </c>
      <c r="Z31" s="31">
        <f t="shared" si="27"/>
        <v>-69.110000000000127</v>
      </c>
      <c r="AA31" s="32">
        <f t="shared" si="10"/>
        <v>1.0000000002037268E-3</v>
      </c>
      <c r="AB31" s="32">
        <f t="shared" si="16"/>
        <v>245</v>
      </c>
      <c r="AC31" s="32">
        <v>25</v>
      </c>
      <c r="AD31" s="33">
        <f t="shared" si="28"/>
        <v>70</v>
      </c>
      <c r="AE31" s="33">
        <v>10</v>
      </c>
      <c r="AF31" s="33"/>
      <c r="AG31" s="33">
        <f t="shared" si="30"/>
        <v>-80</v>
      </c>
    </row>
    <row r="32" spans="1:33" ht="20.25" customHeight="1">
      <c r="A32" s="9">
        <v>45102</v>
      </c>
      <c r="B32" s="10" t="s">
        <v>22</v>
      </c>
      <c r="C32" s="11">
        <v>7034.38</v>
      </c>
      <c r="D32" s="11">
        <v>4262.78</v>
      </c>
      <c r="E32" s="11">
        <v>0</v>
      </c>
      <c r="F32" s="11">
        <v>106</v>
      </c>
      <c r="G32" s="11">
        <v>30</v>
      </c>
      <c r="H32" s="11">
        <v>30</v>
      </c>
      <c r="I32" s="11">
        <f t="shared" si="29"/>
        <v>11513.39</v>
      </c>
      <c r="J32" s="11">
        <v>2421.94</v>
      </c>
      <c r="K32" s="11">
        <v>0</v>
      </c>
      <c r="L32" s="11">
        <f t="shared" si="31"/>
        <v>9027.5300000000007</v>
      </c>
      <c r="M32" s="51">
        <f>684.3+2200.44+5178.19</f>
        <v>8062.9299999999994</v>
      </c>
      <c r="N32" s="11">
        <v>0</v>
      </c>
      <c r="O32" s="11">
        <v>93.5</v>
      </c>
      <c r="P32" s="11">
        <v>0</v>
      </c>
      <c r="Q32" s="11">
        <v>0</v>
      </c>
      <c r="R32" s="11">
        <v>46.57</v>
      </c>
      <c r="S32" s="11">
        <v>262.12</v>
      </c>
      <c r="T32" s="11">
        <v>562.41</v>
      </c>
      <c r="U32" s="11">
        <v>118.22</v>
      </c>
      <c r="V32" s="33">
        <v>50.23</v>
      </c>
      <c r="W32" s="33">
        <v>249</v>
      </c>
      <c r="X32" s="11">
        <v>2052</v>
      </c>
      <c r="Y32" s="11">
        <v>450</v>
      </c>
      <c r="Z32" s="31">
        <f t="shared" si="27"/>
        <v>47.509999999999764</v>
      </c>
      <c r="AA32" s="32">
        <f t="shared" si="10"/>
        <v>-3.9199999999982538</v>
      </c>
      <c r="AB32" s="32">
        <f t="shared" si="16"/>
        <v>0</v>
      </c>
      <c r="AC32" s="32">
        <v>30</v>
      </c>
      <c r="AD32" s="33">
        <f t="shared" si="28"/>
        <v>0</v>
      </c>
      <c r="AE32" s="33">
        <v>30</v>
      </c>
      <c r="AF32" s="33">
        <v>5100</v>
      </c>
      <c r="AG32" s="33">
        <f t="shared" si="30"/>
        <v>5070</v>
      </c>
    </row>
    <row r="33" spans="1:33" ht="37.5" customHeight="1">
      <c r="A33" s="65" t="s">
        <v>27</v>
      </c>
      <c r="B33" s="66"/>
      <c r="C33" s="27">
        <f t="shared" ref="C33:AG33" si="32">SUM(C26:C32)</f>
        <v>60074.829999999994</v>
      </c>
      <c r="D33" s="27">
        <f t="shared" si="32"/>
        <v>32508.92</v>
      </c>
      <c r="E33" s="27">
        <f t="shared" si="32"/>
        <v>153</v>
      </c>
      <c r="F33" s="27">
        <f t="shared" si="32"/>
        <v>679</v>
      </c>
      <c r="G33" s="27">
        <f t="shared" si="32"/>
        <v>614</v>
      </c>
      <c r="H33" s="27">
        <f t="shared" si="32"/>
        <v>595.49</v>
      </c>
      <c r="I33" s="27">
        <f t="shared" si="32"/>
        <v>94958.42</v>
      </c>
      <c r="J33" s="27">
        <f t="shared" si="32"/>
        <v>18261.34</v>
      </c>
      <c r="K33" s="27">
        <f t="shared" si="32"/>
        <v>0</v>
      </c>
      <c r="L33" s="27">
        <f t="shared" si="32"/>
        <v>76217.460999999996</v>
      </c>
      <c r="M33" s="27">
        <f t="shared" si="32"/>
        <v>68621.919999999998</v>
      </c>
      <c r="N33" s="27">
        <f t="shared" si="32"/>
        <v>347.07000000000005</v>
      </c>
      <c r="O33" s="27">
        <f t="shared" si="32"/>
        <v>180.7</v>
      </c>
      <c r="P33" s="27">
        <f t="shared" si="32"/>
        <v>336.33</v>
      </c>
      <c r="Q33" s="27">
        <f t="shared" si="32"/>
        <v>755.28100000000006</v>
      </c>
      <c r="R33" s="27">
        <f t="shared" si="32"/>
        <v>2630.4700000000003</v>
      </c>
      <c r="S33" s="27">
        <f t="shared" si="32"/>
        <v>1955.8199999999997</v>
      </c>
      <c r="T33" s="27">
        <f t="shared" si="32"/>
        <v>1398.1599999999999</v>
      </c>
      <c r="U33" s="27">
        <f t="shared" si="32"/>
        <v>1639.6499999999999</v>
      </c>
      <c r="V33" s="27">
        <f t="shared" si="32"/>
        <v>333.18</v>
      </c>
      <c r="W33" s="27">
        <f t="shared" si="32"/>
        <v>552.88</v>
      </c>
      <c r="X33" s="27">
        <f t="shared" si="32"/>
        <v>15764.5</v>
      </c>
      <c r="Y33" s="27">
        <f t="shared" si="32"/>
        <v>3150</v>
      </c>
      <c r="Z33" s="27">
        <f t="shared" si="32"/>
        <v>28.869999999999436</v>
      </c>
      <c r="AA33" s="27">
        <f t="shared" si="32"/>
        <v>-75.818999999995867</v>
      </c>
      <c r="AB33" s="27">
        <f t="shared" si="32"/>
        <v>504</v>
      </c>
      <c r="AC33" s="27">
        <f t="shared" si="32"/>
        <v>110</v>
      </c>
      <c r="AD33" s="27">
        <f t="shared" si="32"/>
        <v>281.69</v>
      </c>
      <c r="AE33" s="27">
        <f t="shared" si="32"/>
        <v>293.79999999999995</v>
      </c>
      <c r="AF33" s="27">
        <f t="shared" si="32"/>
        <v>5100</v>
      </c>
      <c r="AG33" s="27">
        <f t="shared" si="32"/>
        <v>4504.51</v>
      </c>
    </row>
    <row r="34" spans="1:33" ht="20.25" customHeight="1">
      <c r="A34" s="9">
        <v>45103</v>
      </c>
      <c r="B34" s="10" t="s">
        <v>23</v>
      </c>
      <c r="C34" s="11">
        <v>8677.7800000000007</v>
      </c>
      <c r="D34" s="11">
        <v>3883</v>
      </c>
      <c r="E34" s="11">
        <v>22</v>
      </c>
      <c r="F34" s="11">
        <v>72</v>
      </c>
      <c r="G34" s="11">
        <v>55</v>
      </c>
      <c r="H34" s="11">
        <v>204</v>
      </c>
      <c r="I34" s="11">
        <f t="shared" ref="I34" si="33">SUM(C34:H34,V34)</f>
        <v>12978.78</v>
      </c>
      <c r="J34" s="11">
        <v>2484.27</v>
      </c>
      <c r="K34" s="11">
        <v>0</v>
      </c>
      <c r="L34" s="11">
        <f>SUM(M34:T34)</f>
        <v>10255.51</v>
      </c>
      <c r="M34" s="51">
        <f>778.28+3087.99+5148.34</f>
        <v>9014.61</v>
      </c>
      <c r="N34" s="11">
        <v>30.01</v>
      </c>
      <c r="O34" s="11">
        <v>0</v>
      </c>
      <c r="P34" s="11">
        <v>54</v>
      </c>
      <c r="Q34" s="11">
        <v>175.91</v>
      </c>
      <c r="R34" s="11">
        <v>772.75</v>
      </c>
      <c r="S34" s="11">
        <v>208.23</v>
      </c>
      <c r="T34" s="11">
        <v>0</v>
      </c>
      <c r="U34" s="11">
        <v>241.8</v>
      </c>
      <c r="V34" s="33">
        <v>65</v>
      </c>
      <c r="W34" s="33">
        <v>45</v>
      </c>
      <c r="X34" s="11">
        <v>2120</v>
      </c>
      <c r="Y34" s="11">
        <v>450</v>
      </c>
      <c r="Z34" s="31">
        <f t="shared" ref="Z34" si="34">SUM(U34,V34,W34,X34)-J34</f>
        <v>-12.4699999999998</v>
      </c>
      <c r="AA34" s="32">
        <f t="shared" ref="AA34" si="35">SUM(J34+K34+L34+AE34+AC34)-(I34)</f>
        <v>0</v>
      </c>
      <c r="AB34" s="32">
        <f t="shared" ref="AB34" si="36">SUM(G34-AC34)</f>
        <v>20</v>
      </c>
      <c r="AC34" s="32">
        <v>35</v>
      </c>
      <c r="AD34" s="33">
        <f t="shared" ref="AD34" si="37">SUM(H34-AE34)</f>
        <v>0</v>
      </c>
      <c r="AE34" s="33">
        <v>204</v>
      </c>
      <c r="AF34" s="33"/>
      <c r="AG34" s="33">
        <f t="shared" ref="AG34" si="38">SUM(AF34-H34)</f>
        <v>-204</v>
      </c>
    </row>
    <row r="35" spans="1:33" ht="20.25" customHeight="1">
      <c r="A35" s="9">
        <v>45104</v>
      </c>
      <c r="B35" s="10" t="s">
        <v>24</v>
      </c>
      <c r="C35" s="11">
        <v>7876.59</v>
      </c>
      <c r="D35" s="11">
        <v>3674.01</v>
      </c>
      <c r="E35" s="11">
        <v>12.5</v>
      </c>
      <c r="F35" s="11">
        <v>42</v>
      </c>
      <c r="G35" s="11">
        <v>94</v>
      </c>
      <c r="H35" s="11">
        <v>62</v>
      </c>
      <c r="I35" s="11">
        <f t="shared" ref="I35:I38" si="39">SUM(C35:H35,V35)</f>
        <v>11769.44</v>
      </c>
      <c r="J35" s="11">
        <v>2038.91</v>
      </c>
      <c r="K35" s="11">
        <v>0</v>
      </c>
      <c r="L35" s="11">
        <f t="shared" ref="L35:L38" si="40">SUM(M35:T35)</f>
        <v>9671.5299999999988</v>
      </c>
      <c r="M35" s="51">
        <f>594+2766.73+5048.24</f>
        <v>8408.9699999999993</v>
      </c>
      <c r="N35" s="11">
        <v>0</v>
      </c>
      <c r="O35" s="11">
        <v>0</v>
      </c>
      <c r="P35" s="11">
        <v>0</v>
      </c>
      <c r="Q35" s="11">
        <v>50.13</v>
      </c>
      <c r="R35" s="11">
        <v>528.94000000000005</v>
      </c>
      <c r="S35" s="11">
        <v>559.54</v>
      </c>
      <c r="T35" s="11">
        <v>123.95</v>
      </c>
      <c r="U35" s="11">
        <v>0</v>
      </c>
      <c r="V35" s="33">
        <v>8.34</v>
      </c>
      <c r="W35" s="33">
        <v>25</v>
      </c>
      <c r="X35" s="11">
        <v>2020</v>
      </c>
      <c r="Y35" s="11">
        <v>450</v>
      </c>
      <c r="Z35" s="31">
        <f t="shared" ref="Z35:Z38" si="41">SUM(U35,V35,W35,X35)-J35</f>
        <v>14.430000000000064</v>
      </c>
      <c r="AA35" s="32">
        <f t="shared" ref="AA35:AA38" si="42">SUM(J35+K35+L35+AE35+AC35)-(I35)</f>
        <v>-20.000000000001819</v>
      </c>
      <c r="AB35" s="32">
        <f t="shared" ref="AB35:AB38" si="43">SUM(G35-AC35)</f>
        <v>80</v>
      </c>
      <c r="AC35" s="32">
        <v>14</v>
      </c>
      <c r="AD35" s="33">
        <f t="shared" ref="AD35:AD38" si="44">SUM(H35-AE35)</f>
        <v>37</v>
      </c>
      <c r="AE35" s="33">
        <v>25</v>
      </c>
      <c r="AF35" s="33"/>
      <c r="AG35" s="33">
        <f t="shared" ref="AG35:AG38" si="45">SUM(AF35-H35)</f>
        <v>-62</v>
      </c>
    </row>
    <row r="36" spans="1:33" ht="20.25" customHeight="1">
      <c r="A36" s="9">
        <v>45105</v>
      </c>
      <c r="B36" s="10" t="s">
        <v>25</v>
      </c>
      <c r="C36" s="11">
        <v>9995.01</v>
      </c>
      <c r="D36" s="11">
        <v>4015.64</v>
      </c>
      <c r="E36" s="11">
        <v>12</v>
      </c>
      <c r="F36" s="11">
        <v>153</v>
      </c>
      <c r="G36" s="11">
        <v>140</v>
      </c>
      <c r="H36" s="11">
        <v>56</v>
      </c>
      <c r="I36" s="11">
        <f t="shared" si="39"/>
        <v>14381.65</v>
      </c>
      <c r="J36" s="11">
        <v>2333.37</v>
      </c>
      <c r="K36" s="11">
        <v>0</v>
      </c>
      <c r="L36" s="11">
        <f t="shared" si="40"/>
        <v>11832.579999999998</v>
      </c>
      <c r="M36" s="51">
        <f>815.62+3009.41+6464.23</f>
        <v>10289.259999999998</v>
      </c>
      <c r="N36" s="11">
        <v>0</v>
      </c>
      <c r="O36" s="11">
        <v>0</v>
      </c>
      <c r="P36" s="11">
        <v>0</v>
      </c>
      <c r="Q36" s="11">
        <v>283.56</v>
      </c>
      <c r="R36" s="11">
        <v>716.41</v>
      </c>
      <c r="S36" s="11">
        <v>321.66000000000003</v>
      </c>
      <c r="T36" s="11">
        <v>221.69</v>
      </c>
      <c r="U36" s="11">
        <v>290.39999999999998</v>
      </c>
      <c r="V36" s="33">
        <v>10</v>
      </c>
      <c r="W36" s="33">
        <v>57</v>
      </c>
      <c r="X36" s="11">
        <v>1975</v>
      </c>
      <c r="Y36" s="11">
        <v>450</v>
      </c>
      <c r="Z36" s="31">
        <f t="shared" si="41"/>
        <v>-0.96999999999979991</v>
      </c>
      <c r="AA36" s="32">
        <f t="shared" si="42"/>
        <v>-125.70000000000255</v>
      </c>
      <c r="AB36" s="32">
        <f t="shared" si="43"/>
        <v>80</v>
      </c>
      <c r="AC36" s="32">
        <v>60</v>
      </c>
      <c r="AD36" s="33">
        <f t="shared" si="44"/>
        <v>26</v>
      </c>
      <c r="AE36" s="33">
        <v>30</v>
      </c>
      <c r="AF36" s="33"/>
      <c r="AG36" s="33">
        <f t="shared" si="45"/>
        <v>-56</v>
      </c>
    </row>
    <row r="37" spans="1:33" ht="20.25" customHeight="1">
      <c r="A37" s="9">
        <v>45106</v>
      </c>
      <c r="B37" s="10" t="s">
        <v>26</v>
      </c>
      <c r="C37" s="11">
        <v>8772.41</v>
      </c>
      <c r="D37" s="11">
        <v>4466.7299999999996</v>
      </c>
      <c r="E37" s="11">
        <v>8.5</v>
      </c>
      <c r="F37" s="11">
        <v>93</v>
      </c>
      <c r="G37" s="11">
        <v>60</v>
      </c>
      <c r="H37" s="11">
        <v>90</v>
      </c>
      <c r="I37" s="11">
        <f t="shared" si="39"/>
        <v>13510.67</v>
      </c>
      <c r="J37" s="11">
        <v>2203.42</v>
      </c>
      <c r="K37" s="11">
        <v>0</v>
      </c>
      <c r="L37" s="11">
        <f t="shared" si="40"/>
        <v>11307.250000000002</v>
      </c>
      <c r="M37" s="51">
        <f>493.07+3671.58+5550.3</f>
        <v>9714.9500000000007</v>
      </c>
      <c r="N37" s="11">
        <v>0</v>
      </c>
      <c r="O37" s="11">
        <v>0</v>
      </c>
      <c r="P37" s="11">
        <v>99.04</v>
      </c>
      <c r="Q37" s="11">
        <v>319.60000000000002</v>
      </c>
      <c r="R37" s="11">
        <v>801.4</v>
      </c>
      <c r="S37" s="11">
        <v>159.38999999999999</v>
      </c>
      <c r="T37" s="11">
        <v>212.87</v>
      </c>
      <c r="U37" s="11">
        <v>0</v>
      </c>
      <c r="V37" s="33">
        <v>20.03</v>
      </c>
      <c r="W37" s="33">
        <v>100</v>
      </c>
      <c r="X37" s="11">
        <v>171</v>
      </c>
      <c r="Y37" s="11">
        <v>450</v>
      </c>
      <c r="Z37" s="31">
        <f t="shared" si="41"/>
        <v>-1912.39</v>
      </c>
      <c r="AA37" s="32">
        <f t="shared" si="42"/>
        <v>50.000000000001819</v>
      </c>
      <c r="AB37" s="32">
        <f t="shared" si="43"/>
        <v>60</v>
      </c>
      <c r="AC37" s="32">
        <v>0</v>
      </c>
      <c r="AD37" s="33">
        <f t="shared" si="44"/>
        <v>40</v>
      </c>
      <c r="AE37" s="33">
        <v>50</v>
      </c>
      <c r="AF37" s="33"/>
      <c r="AG37" s="33">
        <f t="shared" si="45"/>
        <v>-90</v>
      </c>
    </row>
    <row r="38" spans="1:33" ht="20.25" customHeight="1">
      <c r="A38" s="9">
        <v>45107</v>
      </c>
      <c r="B38" s="10" t="s">
        <v>20</v>
      </c>
      <c r="C38" s="11">
        <v>9862.09</v>
      </c>
      <c r="D38" s="11">
        <v>5108.18</v>
      </c>
      <c r="E38" s="11">
        <v>35</v>
      </c>
      <c r="F38" s="11">
        <v>88</v>
      </c>
      <c r="G38" s="11">
        <v>100</v>
      </c>
      <c r="H38" s="11">
        <v>25</v>
      </c>
      <c r="I38" s="11">
        <f t="shared" si="39"/>
        <v>15280.77</v>
      </c>
      <c r="J38" s="11">
        <v>2433.63</v>
      </c>
      <c r="K38" s="11">
        <v>0</v>
      </c>
      <c r="L38" s="11">
        <f t="shared" si="40"/>
        <v>12772.039999999997</v>
      </c>
      <c r="M38" s="51">
        <f>1192.03+3498.05+6973</f>
        <v>11663.08</v>
      </c>
      <c r="N38" s="11">
        <v>35.15</v>
      </c>
      <c r="O38" s="11">
        <v>0</v>
      </c>
      <c r="P38" s="11">
        <v>50</v>
      </c>
      <c r="Q38" s="11">
        <v>209.23</v>
      </c>
      <c r="R38" s="11">
        <v>167.06</v>
      </c>
      <c r="S38" s="11">
        <v>249.39</v>
      </c>
      <c r="T38" s="11">
        <v>398.13</v>
      </c>
      <c r="U38" s="11">
        <v>536.85</v>
      </c>
      <c r="V38" s="33">
        <v>62.5</v>
      </c>
      <c r="W38" s="33">
        <v>126.8</v>
      </c>
      <c r="X38" s="11">
        <v>1738</v>
      </c>
      <c r="Y38" s="11">
        <v>450</v>
      </c>
      <c r="Z38" s="31">
        <f t="shared" si="41"/>
        <v>30.519999999999982</v>
      </c>
      <c r="AA38" s="32">
        <f t="shared" si="42"/>
        <v>2.8999999999978172</v>
      </c>
      <c r="AB38" s="32">
        <f t="shared" si="43"/>
        <v>22</v>
      </c>
      <c r="AC38" s="32">
        <v>78</v>
      </c>
      <c r="AD38" s="33">
        <f t="shared" si="44"/>
        <v>25</v>
      </c>
      <c r="AE38" s="33">
        <v>0</v>
      </c>
      <c r="AF38" s="33"/>
      <c r="AG38" s="33">
        <f t="shared" si="45"/>
        <v>-25</v>
      </c>
    </row>
    <row r="39" spans="1:33" ht="37.5" customHeight="1">
      <c r="A39" s="65" t="s">
        <v>27</v>
      </c>
      <c r="B39" s="66"/>
      <c r="C39" s="27">
        <f t="shared" ref="C39:O39" si="46">SUM(C34:C38)</f>
        <v>45183.880000000005</v>
      </c>
      <c r="D39" s="27">
        <f t="shared" si="46"/>
        <v>21147.559999999998</v>
      </c>
      <c r="E39" s="27">
        <f t="shared" si="46"/>
        <v>90</v>
      </c>
      <c r="F39" s="27">
        <f t="shared" si="46"/>
        <v>448</v>
      </c>
      <c r="G39" s="27">
        <f t="shared" si="46"/>
        <v>449</v>
      </c>
      <c r="H39" s="27">
        <f t="shared" si="46"/>
        <v>437</v>
      </c>
      <c r="I39" s="27">
        <f t="shared" si="46"/>
        <v>67921.31</v>
      </c>
      <c r="J39" s="27">
        <f t="shared" si="46"/>
        <v>11493.600000000002</v>
      </c>
      <c r="K39" s="27">
        <f t="shared" si="46"/>
        <v>0</v>
      </c>
      <c r="L39" s="27">
        <f t="shared" si="46"/>
        <v>55838.91</v>
      </c>
      <c r="M39" s="27">
        <f t="shared" si="46"/>
        <v>49090.87</v>
      </c>
      <c r="N39" s="27">
        <f t="shared" si="46"/>
        <v>65.16</v>
      </c>
      <c r="O39" s="27">
        <f t="shared" si="46"/>
        <v>0</v>
      </c>
      <c r="P39" s="27">
        <f t="shared" ref="P39:AG39" si="47">SUM(P34:P38)</f>
        <v>203.04000000000002</v>
      </c>
      <c r="Q39" s="27">
        <f t="shared" si="47"/>
        <v>1038.43</v>
      </c>
      <c r="R39" s="27">
        <f t="shared" si="47"/>
        <v>2986.56</v>
      </c>
      <c r="S39" s="27">
        <f t="shared" si="47"/>
        <v>1498.21</v>
      </c>
      <c r="T39" s="27">
        <f t="shared" si="47"/>
        <v>956.64</v>
      </c>
      <c r="U39" s="27">
        <f t="shared" si="47"/>
        <v>1069.0500000000002</v>
      </c>
      <c r="V39" s="27">
        <f t="shared" si="47"/>
        <v>165.87</v>
      </c>
      <c r="W39" s="27">
        <f t="shared" si="47"/>
        <v>353.8</v>
      </c>
      <c r="X39" s="27">
        <f t="shared" si="47"/>
        <v>8024</v>
      </c>
      <c r="Y39" s="27">
        <f t="shared" si="47"/>
        <v>2250</v>
      </c>
      <c r="Z39" s="27">
        <f t="shared" si="47"/>
        <v>-1880.8799999999997</v>
      </c>
      <c r="AA39" s="27">
        <f t="shared" si="47"/>
        <v>-92.800000000004729</v>
      </c>
      <c r="AB39" s="27">
        <f t="shared" si="47"/>
        <v>262</v>
      </c>
      <c r="AC39" s="27">
        <f t="shared" si="47"/>
        <v>187</v>
      </c>
      <c r="AD39" s="27">
        <f t="shared" si="47"/>
        <v>128</v>
      </c>
      <c r="AE39" s="27">
        <f t="shared" si="47"/>
        <v>309</v>
      </c>
      <c r="AF39" s="27">
        <f t="shared" si="47"/>
        <v>0</v>
      </c>
      <c r="AG39" s="27">
        <f t="shared" si="47"/>
        <v>-437</v>
      </c>
    </row>
    <row r="40" spans="1:33" ht="51.75" customHeight="1">
      <c r="A40" s="67" t="s">
        <v>17</v>
      </c>
      <c r="B40" s="68"/>
      <c r="C40" s="30">
        <f>SUM(C39,C33,C25,C17,C9)</f>
        <v>273885.24</v>
      </c>
      <c r="D40" s="30">
        <f t="shared" ref="D40:AG40" si="48">SUM(D39,D33,D25,D17,D9)</f>
        <v>152685.19</v>
      </c>
      <c r="E40" s="30">
        <f t="shared" si="48"/>
        <v>656</v>
      </c>
      <c r="F40" s="30">
        <f t="shared" si="48"/>
        <v>3556</v>
      </c>
      <c r="G40" s="30">
        <f t="shared" si="48"/>
        <v>2831</v>
      </c>
      <c r="H40" s="30">
        <f t="shared" si="48"/>
        <v>2008.08</v>
      </c>
      <c r="I40" s="30">
        <f t="shared" si="48"/>
        <v>436874.1</v>
      </c>
      <c r="J40" s="30">
        <f t="shared" si="48"/>
        <v>83264.420000000013</v>
      </c>
      <c r="K40" s="30">
        <f t="shared" si="48"/>
        <v>0</v>
      </c>
      <c r="L40" s="30">
        <f t="shared" si="48"/>
        <v>350523.141</v>
      </c>
      <c r="M40" s="30">
        <f t="shared" si="48"/>
        <v>312543.65000000002</v>
      </c>
      <c r="N40" s="30">
        <f t="shared" si="48"/>
        <v>1141.3899999999999</v>
      </c>
      <c r="O40" s="30">
        <f t="shared" si="48"/>
        <v>180.7</v>
      </c>
      <c r="P40" s="30">
        <f t="shared" si="48"/>
        <v>1497.87</v>
      </c>
      <c r="Q40" s="30">
        <f t="shared" si="48"/>
        <v>4075.931</v>
      </c>
      <c r="R40" s="30">
        <f t="shared" si="48"/>
        <v>14673.050000000003</v>
      </c>
      <c r="S40" s="30">
        <f t="shared" si="48"/>
        <v>8333.58</v>
      </c>
      <c r="T40" s="30">
        <f t="shared" si="48"/>
        <v>8085.2599999999993</v>
      </c>
      <c r="U40" s="30">
        <f t="shared" si="48"/>
        <v>9593.7999999999993</v>
      </c>
      <c r="V40" s="30">
        <f t="shared" si="48"/>
        <v>1252.5899999999999</v>
      </c>
      <c r="W40" s="30">
        <f t="shared" si="48"/>
        <v>2956.48</v>
      </c>
      <c r="X40" s="30">
        <f t="shared" si="48"/>
        <v>67590.47</v>
      </c>
      <c r="Y40" s="30">
        <f t="shared" si="48"/>
        <v>14850</v>
      </c>
      <c r="Z40" s="30">
        <f t="shared" si="48"/>
        <v>-1871.0800000000006</v>
      </c>
      <c r="AA40" s="30">
        <f t="shared" si="48"/>
        <v>-878.43899999999485</v>
      </c>
      <c r="AB40" s="30">
        <f t="shared" si="48"/>
        <v>1784</v>
      </c>
      <c r="AC40" s="30">
        <f t="shared" si="48"/>
        <v>1047</v>
      </c>
      <c r="AD40" s="30">
        <f t="shared" si="48"/>
        <v>826.98</v>
      </c>
      <c r="AE40" s="30">
        <f t="shared" si="48"/>
        <v>1161.0999999999999</v>
      </c>
      <c r="AF40" s="30">
        <f t="shared" si="48"/>
        <v>17230</v>
      </c>
      <c r="AG40" s="30">
        <f t="shared" si="48"/>
        <v>15221.92</v>
      </c>
    </row>
    <row r="42" spans="1:33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</row>
    <row r="43" spans="1:33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  <c r="AG43" s="41"/>
    </row>
    <row r="44" spans="1:33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  <c r="AG45" s="42"/>
    </row>
    <row r="46" spans="1:33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8" spans="1:33" hidden="1"/>
    <row r="49" spans="1:33" ht="18.75" hidden="1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33"/>
      <c r="W49" s="33"/>
      <c r="X49" s="11"/>
      <c r="Y49" s="11"/>
      <c r="Z49" s="31"/>
      <c r="AA49" s="32"/>
      <c r="AB49" s="32"/>
      <c r="AC49" s="32"/>
      <c r="AD49" s="33"/>
      <c r="AE49" s="33"/>
      <c r="AF49" s="33"/>
      <c r="AG49" s="33"/>
    </row>
    <row r="50" spans="1:33" ht="18.75" hidden="1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33"/>
      <c r="W50" s="33"/>
      <c r="X50" s="11"/>
      <c r="Y50" s="11"/>
      <c r="Z50" s="31"/>
      <c r="AA50" s="32"/>
      <c r="AB50" s="32"/>
      <c r="AC50" s="32"/>
      <c r="AD50" s="33"/>
      <c r="AE50" s="33"/>
      <c r="AF50" s="33"/>
      <c r="AG50" s="33"/>
    </row>
    <row r="51" spans="1:33" s="28" customFormat="1" ht="18.75" hidden="1">
      <c r="A51"/>
      <c r="B51"/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33"/>
      <c r="W51" s="33"/>
      <c r="X51" s="11"/>
      <c r="Y51" s="11"/>
      <c r="Z51" s="31"/>
      <c r="AA51" s="32"/>
      <c r="AB51" s="32"/>
      <c r="AC51" s="32"/>
      <c r="AD51" s="33"/>
      <c r="AE51" s="33"/>
      <c r="AF51" s="33"/>
      <c r="AG51" s="33"/>
    </row>
    <row r="52" spans="1:33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  <row r="54" spans="1:33" s="28" customFormat="1" hidden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</sheetData>
  <sheetProtection password="CCFB" sheet="1" objects="1" scenarios="1"/>
  <mergeCells count="6">
    <mergeCell ref="A40:B40"/>
    <mergeCell ref="A9:B9"/>
    <mergeCell ref="A17:B17"/>
    <mergeCell ref="A25:B25"/>
    <mergeCell ref="A33:B33"/>
    <mergeCell ref="A39:B39"/>
  </mergeCells>
  <conditionalFormatting sqref="Z49:AC51 Z2:AC8 Z34:AC38 Z10:AB16 Z18:AC24 Z26:AC32">
    <cfRule type="cellIs" dxfId="127" priority="7" operator="lessThan">
      <formula>0</formula>
    </cfRule>
    <cfRule type="cellIs" dxfId="126" priority="8" operator="greaterThan">
      <formula>0</formula>
    </cfRule>
  </conditionalFormatting>
  <conditionalFormatting sqref="Z49:AD51 AD10:AD16 Z34:AD38 Z2:AD8 Z10:AB16 Z18:AD24 Z26:AD32">
    <cfRule type="cellIs" dxfId="125" priority="4" operator="equal">
      <formula>0</formula>
    </cfRule>
    <cfRule type="cellIs" dxfId="124" priority="5" operator="lessThan">
      <formula>0</formula>
    </cfRule>
    <cfRule type="cellIs" dxfId="123" priority="6" operator="greaterThan">
      <formula>0</formula>
    </cfRule>
  </conditionalFormatting>
  <conditionalFormatting sqref="AG18:AG24 AG26:AG32 AG10:AG16 AG2:AG8 AG34:AG38">
    <cfRule type="cellIs" dxfId="122" priority="1" operator="equal">
      <formula>0</formula>
    </cfRule>
    <cfRule type="cellIs" dxfId="121" priority="2" operator="lessThan">
      <formula>0</formula>
    </cfRule>
    <cfRule type="cellIs" dxfId="12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AG58"/>
  <sheetViews>
    <sheetView topLeftCell="A16" zoomScale="60" zoomScaleNormal="60" workbookViewId="0">
      <selection activeCell="H49" sqref="H49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5.7109375" customWidth="1"/>
    <col min="17" max="17" width="16.42578125" customWidth="1"/>
    <col min="18" max="20" width="15.5703125" customWidth="1"/>
    <col min="21" max="21" width="13.85546875" customWidth="1"/>
    <col min="22" max="22" width="13.5703125" customWidth="1"/>
    <col min="23" max="23" width="14.28515625" customWidth="1"/>
    <col min="24" max="24" width="13" customWidth="1"/>
    <col min="25" max="25" width="14.85546875" customWidth="1"/>
    <col min="26" max="26" width="15.85546875" customWidth="1"/>
    <col min="27" max="29" width="16.5703125" customWidth="1"/>
    <col min="30" max="30" width="14" customWidth="1"/>
    <col min="31" max="31" width="13" customWidth="1"/>
    <col min="32" max="32" width="14.85546875" customWidth="1"/>
    <col min="33" max="33" width="15.5703125" customWidth="1"/>
  </cols>
  <sheetData>
    <row r="1" spans="1:33" ht="64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108</v>
      </c>
      <c r="P1" s="8" t="s">
        <v>96</v>
      </c>
      <c r="Q1" s="8" t="s">
        <v>109</v>
      </c>
      <c r="R1" s="8" t="s">
        <v>110</v>
      </c>
      <c r="S1" s="8" t="s">
        <v>111</v>
      </c>
      <c r="T1" s="8" t="s">
        <v>107</v>
      </c>
      <c r="U1" s="8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34</v>
      </c>
      <c r="AB1" s="23" t="s">
        <v>94</v>
      </c>
      <c r="AC1" s="23" t="s">
        <v>95</v>
      </c>
      <c r="AD1" s="23" t="s">
        <v>39</v>
      </c>
      <c r="AE1" s="23" t="s">
        <v>40</v>
      </c>
      <c r="AF1" s="23" t="s">
        <v>78</v>
      </c>
      <c r="AG1" s="23" t="s">
        <v>79</v>
      </c>
    </row>
    <row r="2" spans="1:33" ht="20.25" customHeight="1">
      <c r="A2" s="9">
        <v>45103</v>
      </c>
      <c r="B2" s="10" t="s">
        <v>23</v>
      </c>
      <c r="C2" s="11">
        <v>8677.7800000000007</v>
      </c>
      <c r="D2" s="11">
        <v>3883</v>
      </c>
      <c r="E2" s="11">
        <v>22</v>
      </c>
      <c r="F2" s="11">
        <v>72</v>
      </c>
      <c r="G2" s="11">
        <v>55</v>
      </c>
      <c r="H2" s="11">
        <v>204</v>
      </c>
      <c r="I2" s="11">
        <f t="shared" ref="I2:I6" si="0">SUM(C2:H2,V2)</f>
        <v>12978.78</v>
      </c>
      <c r="J2" s="11">
        <v>2484.27</v>
      </c>
      <c r="K2" s="11">
        <v>0</v>
      </c>
      <c r="L2" s="11">
        <f>SUM(M2:T2)</f>
        <v>10255.51</v>
      </c>
      <c r="M2" s="51">
        <f>778.28+3087.99+5148.34</f>
        <v>9014.61</v>
      </c>
      <c r="N2" s="11">
        <v>30.01</v>
      </c>
      <c r="O2" s="11">
        <v>0</v>
      </c>
      <c r="P2" s="11">
        <v>54</v>
      </c>
      <c r="Q2" s="11">
        <v>175.91</v>
      </c>
      <c r="R2" s="11">
        <v>772.75</v>
      </c>
      <c r="S2" s="11">
        <v>208.23</v>
      </c>
      <c r="T2" s="11">
        <v>0</v>
      </c>
      <c r="U2" s="11">
        <v>241.8</v>
      </c>
      <c r="V2" s="33">
        <v>65</v>
      </c>
      <c r="W2" s="33">
        <v>45</v>
      </c>
      <c r="X2" s="11">
        <v>2120</v>
      </c>
      <c r="Y2" s="11">
        <v>450</v>
      </c>
      <c r="Z2" s="31">
        <f t="shared" ref="Z2:Z6" si="1">SUM(U2,V2,W2,X2)-J2</f>
        <v>-12.4699999999998</v>
      </c>
      <c r="AA2" s="32">
        <f t="shared" ref="AA2:AA6" si="2">SUM(J2+K2+L2+AE2+AC2)-(I2)</f>
        <v>0</v>
      </c>
      <c r="AB2" s="32">
        <f t="shared" ref="AB2:AB6" si="3">SUM(G2-AC2)</f>
        <v>20</v>
      </c>
      <c r="AC2" s="32">
        <v>35</v>
      </c>
      <c r="AD2" s="33">
        <f t="shared" ref="AD2:AD6" si="4">SUM(H2-AE2)</f>
        <v>0</v>
      </c>
      <c r="AE2" s="33">
        <v>204</v>
      </c>
      <c r="AF2" s="33"/>
      <c r="AG2" s="33">
        <f t="shared" ref="AG2:AG6" si="5">SUM(AF2-H2)</f>
        <v>-204</v>
      </c>
    </row>
    <row r="3" spans="1:33" ht="20.25" customHeight="1">
      <c r="A3" s="9">
        <v>45104</v>
      </c>
      <c r="B3" s="10" t="s">
        <v>24</v>
      </c>
      <c r="C3" s="11">
        <v>7876.59</v>
      </c>
      <c r="D3" s="11">
        <v>3674.01</v>
      </c>
      <c r="E3" s="11">
        <v>12.5</v>
      </c>
      <c r="F3" s="11">
        <v>42</v>
      </c>
      <c r="G3" s="11">
        <v>94</v>
      </c>
      <c r="H3" s="11">
        <v>62</v>
      </c>
      <c r="I3" s="11">
        <f t="shared" si="0"/>
        <v>11769.44</v>
      </c>
      <c r="J3" s="11">
        <v>2038.91</v>
      </c>
      <c r="K3" s="11">
        <v>0</v>
      </c>
      <c r="L3" s="11">
        <f t="shared" ref="L3:L6" si="6">SUM(M3:T3)</f>
        <v>9671.5299999999988</v>
      </c>
      <c r="M3" s="51">
        <f>594+2766.73+5048.24</f>
        <v>8408.9699999999993</v>
      </c>
      <c r="N3" s="11">
        <v>0</v>
      </c>
      <c r="O3" s="11">
        <v>0</v>
      </c>
      <c r="P3" s="11">
        <v>0</v>
      </c>
      <c r="Q3" s="11">
        <v>50.13</v>
      </c>
      <c r="R3" s="11">
        <v>528.94000000000005</v>
      </c>
      <c r="S3" s="11">
        <v>559.54</v>
      </c>
      <c r="T3" s="11">
        <v>123.95</v>
      </c>
      <c r="U3" s="11">
        <v>0</v>
      </c>
      <c r="V3" s="33">
        <v>8.34</v>
      </c>
      <c r="W3" s="33">
        <v>25</v>
      </c>
      <c r="X3" s="11">
        <v>2020</v>
      </c>
      <c r="Y3" s="11">
        <v>450</v>
      </c>
      <c r="Z3" s="31">
        <f t="shared" si="1"/>
        <v>14.430000000000064</v>
      </c>
      <c r="AA3" s="32">
        <f t="shared" si="2"/>
        <v>-20.000000000001819</v>
      </c>
      <c r="AB3" s="32">
        <f t="shared" si="3"/>
        <v>80</v>
      </c>
      <c r="AC3" s="32">
        <v>14</v>
      </c>
      <c r="AD3" s="33">
        <f t="shared" si="4"/>
        <v>37</v>
      </c>
      <c r="AE3" s="33">
        <v>25</v>
      </c>
      <c r="AF3" s="33"/>
      <c r="AG3" s="33">
        <f t="shared" si="5"/>
        <v>-62</v>
      </c>
    </row>
    <row r="4" spans="1:33" ht="20.25" customHeight="1">
      <c r="A4" s="9">
        <v>45105</v>
      </c>
      <c r="B4" s="10" t="s">
        <v>25</v>
      </c>
      <c r="C4" s="11">
        <v>9995.01</v>
      </c>
      <c r="D4" s="11">
        <v>4015.64</v>
      </c>
      <c r="E4" s="11">
        <v>12</v>
      </c>
      <c r="F4" s="11">
        <v>153</v>
      </c>
      <c r="G4" s="11">
        <v>140</v>
      </c>
      <c r="H4" s="11">
        <v>56</v>
      </c>
      <c r="I4" s="11">
        <f t="shared" si="0"/>
        <v>14381.65</v>
      </c>
      <c r="J4" s="11">
        <v>2333.37</v>
      </c>
      <c r="K4" s="11">
        <v>0</v>
      </c>
      <c r="L4" s="11">
        <f t="shared" si="6"/>
        <v>11832.579999999998</v>
      </c>
      <c r="M4" s="51">
        <f>815.62+3009.41+6464.23</f>
        <v>10289.259999999998</v>
      </c>
      <c r="N4" s="11">
        <v>0</v>
      </c>
      <c r="O4" s="11">
        <v>0</v>
      </c>
      <c r="P4" s="11">
        <v>0</v>
      </c>
      <c r="Q4" s="11">
        <v>283.56</v>
      </c>
      <c r="R4" s="11">
        <v>716.41</v>
      </c>
      <c r="S4" s="11">
        <v>321.66000000000003</v>
      </c>
      <c r="T4" s="11">
        <v>221.69</v>
      </c>
      <c r="U4" s="11">
        <v>290.39999999999998</v>
      </c>
      <c r="V4" s="33">
        <v>10</v>
      </c>
      <c r="W4" s="33">
        <v>57</v>
      </c>
      <c r="X4" s="11">
        <v>1975</v>
      </c>
      <c r="Y4" s="11">
        <v>450</v>
      </c>
      <c r="Z4" s="31">
        <f t="shared" si="1"/>
        <v>-0.96999999999979991</v>
      </c>
      <c r="AA4" s="32">
        <f t="shared" si="2"/>
        <v>-125.70000000000255</v>
      </c>
      <c r="AB4" s="32">
        <f t="shared" si="3"/>
        <v>80</v>
      </c>
      <c r="AC4" s="32">
        <v>60</v>
      </c>
      <c r="AD4" s="33">
        <f t="shared" si="4"/>
        <v>26</v>
      </c>
      <c r="AE4" s="33">
        <v>30</v>
      </c>
      <c r="AF4" s="33"/>
      <c r="AG4" s="33">
        <f t="shared" si="5"/>
        <v>-56</v>
      </c>
    </row>
    <row r="5" spans="1:33" ht="20.25" customHeight="1">
      <c r="A5" s="9">
        <v>45106</v>
      </c>
      <c r="B5" s="10" t="s">
        <v>26</v>
      </c>
      <c r="C5" s="11">
        <v>8772.41</v>
      </c>
      <c r="D5" s="11">
        <v>4466.7299999999996</v>
      </c>
      <c r="E5" s="11">
        <v>8.5</v>
      </c>
      <c r="F5" s="11">
        <v>93</v>
      </c>
      <c r="G5" s="11">
        <v>60</v>
      </c>
      <c r="H5" s="11">
        <v>90</v>
      </c>
      <c r="I5" s="11">
        <f t="shared" si="0"/>
        <v>13510.67</v>
      </c>
      <c r="J5" s="11">
        <v>2203.42</v>
      </c>
      <c r="K5" s="11">
        <v>0</v>
      </c>
      <c r="L5" s="11">
        <f t="shared" si="6"/>
        <v>11307.250000000002</v>
      </c>
      <c r="M5" s="51">
        <f>493.07+3671.58+5550.3</f>
        <v>9714.9500000000007</v>
      </c>
      <c r="N5" s="11">
        <v>0</v>
      </c>
      <c r="O5" s="11">
        <v>0</v>
      </c>
      <c r="P5" s="11">
        <v>99.04</v>
      </c>
      <c r="Q5" s="11">
        <v>319.60000000000002</v>
      </c>
      <c r="R5" s="11">
        <v>801.4</v>
      </c>
      <c r="S5" s="11">
        <v>159.38999999999999</v>
      </c>
      <c r="T5" s="11">
        <v>212.87</v>
      </c>
      <c r="U5" s="11">
        <v>659.88</v>
      </c>
      <c r="V5" s="33">
        <v>20.03</v>
      </c>
      <c r="W5" s="33">
        <v>100</v>
      </c>
      <c r="X5" s="11">
        <f>171+1250</f>
        <v>1421</v>
      </c>
      <c r="Y5" s="11">
        <v>450</v>
      </c>
      <c r="Z5" s="31">
        <f t="shared" si="1"/>
        <v>-2.5100000000002183</v>
      </c>
      <c r="AA5" s="32">
        <f t="shared" si="2"/>
        <v>50.000000000001819</v>
      </c>
      <c r="AB5" s="32">
        <f t="shared" si="3"/>
        <v>60</v>
      </c>
      <c r="AC5" s="32">
        <v>0</v>
      </c>
      <c r="AD5" s="33">
        <f t="shared" si="4"/>
        <v>40</v>
      </c>
      <c r="AE5" s="33">
        <v>50</v>
      </c>
      <c r="AF5" s="33"/>
      <c r="AG5" s="33">
        <f t="shared" si="5"/>
        <v>-90</v>
      </c>
    </row>
    <row r="6" spans="1:33" ht="20.25" customHeight="1">
      <c r="A6" s="9">
        <v>45107</v>
      </c>
      <c r="B6" s="10" t="s">
        <v>20</v>
      </c>
      <c r="C6" s="11">
        <v>9862.09</v>
      </c>
      <c r="D6" s="11">
        <v>5108.18</v>
      </c>
      <c r="E6" s="11">
        <v>35</v>
      </c>
      <c r="F6" s="11">
        <v>88</v>
      </c>
      <c r="G6" s="11">
        <v>100</v>
      </c>
      <c r="H6" s="11">
        <v>25</v>
      </c>
      <c r="I6" s="11">
        <f t="shared" si="0"/>
        <v>15280.77</v>
      </c>
      <c r="J6" s="11">
        <v>2433.63</v>
      </c>
      <c r="K6" s="11">
        <v>0</v>
      </c>
      <c r="L6" s="11">
        <f t="shared" si="6"/>
        <v>12772.039999999997</v>
      </c>
      <c r="M6" s="51">
        <f>1192.03+3498.05+6973</f>
        <v>11663.08</v>
      </c>
      <c r="N6" s="11">
        <v>35.15</v>
      </c>
      <c r="O6" s="11">
        <v>0</v>
      </c>
      <c r="P6" s="11">
        <v>50</v>
      </c>
      <c r="Q6" s="11">
        <v>209.23</v>
      </c>
      <c r="R6" s="11">
        <v>167.06</v>
      </c>
      <c r="S6" s="11">
        <v>249.39</v>
      </c>
      <c r="T6" s="11">
        <v>398.13</v>
      </c>
      <c r="U6" s="11">
        <v>536.85</v>
      </c>
      <c r="V6" s="33">
        <v>62.5</v>
      </c>
      <c r="W6" s="33">
        <v>126.8</v>
      </c>
      <c r="X6" s="11">
        <v>1738</v>
      </c>
      <c r="Y6" s="11">
        <v>450</v>
      </c>
      <c r="Z6" s="31">
        <f t="shared" si="1"/>
        <v>30.519999999999982</v>
      </c>
      <c r="AA6" s="32">
        <f t="shared" si="2"/>
        <v>2.8999999999978172</v>
      </c>
      <c r="AB6" s="32">
        <f t="shared" si="3"/>
        <v>22</v>
      </c>
      <c r="AC6" s="32">
        <v>78</v>
      </c>
      <c r="AD6" s="33">
        <f t="shared" si="4"/>
        <v>25</v>
      </c>
      <c r="AE6" s="33">
        <v>0</v>
      </c>
      <c r="AF6" s="33"/>
      <c r="AG6" s="33">
        <f t="shared" si="5"/>
        <v>-25</v>
      </c>
    </row>
    <row r="7" spans="1:33" ht="18.75">
      <c r="A7" s="9">
        <v>45108</v>
      </c>
      <c r="B7" s="10" t="s">
        <v>21</v>
      </c>
      <c r="C7" s="11">
        <v>7958.25</v>
      </c>
      <c r="D7" s="11">
        <v>5138.25</v>
      </c>
      <c r="E7" s="11">
        <v>16</v>
      </c>
      <c r="F7" s="11">
        <v>79</v>
      </c>
      <c r="G7" s="11">
        <v>50</v>
      </c>
      <c r="H7" s="11">
        <v>95</v>
      </c>
      <c r="I7" s="11">
        <f t="shared" ref="I7:I8" si="7">SUM(C7:H7,V7)</f>
        <v>13346.5</v>
      </c>
      <c r="J7" s="11">
        <v>2789.67</v>
      </c>
      <c r="K7" s="11">
        <v>0</v>
      </c>
      <c r="L7" s="11">
        <f t="shared" ref="L7:L8" si="8">SUM(M7:T7)</f>
        <v>10531.73</v>
      </c>
      <c r="M7" s="11">
        <f>759.49+3298.46+5527.89</f>
        <v>9585.84</v>
      </c>
      <c r="N7" s="11">
        <v>124</v>
      </c>
      <c r="O7" s="11">
        <v>0</v>
      </c>
      <c r="P7" s="11">
        <v>0</v>
      </c>
      <c r="Q7" s="11">
        <v>66.22</v>
      </c>
      <c r="R7" s="11">
        <v>96.82</v>
      </c>
      <c r="S7" s="11">
        <v>137.35</v>
      </c>
      <c r="T7" s="11">
        <v>521.5</v>
      </c>
      <c r="U7" s="11">
        <v>0</v>
      </c>
      <c r="V7" s="33">
        <v>10</v>
      </c>
      <c r="W7" s="33">
        <v>120</v>
      </c>
      <c r="X7" s="11">
        <v>2651.8</v>
      </c>
      <c r="Y7" s="11">
        <v>450</v>
      </c>
      <c r="Z7" s="31">
        <f t="shared" ref="Z7:Z8" si="9">SUM(U7,V7,W7,X7)-J7</f>
        <v>-7.8699999999998909</v>
      </c>
      <c r="AA7" s="32">
        <f t="shared" ref="AA7:AA32" si="10">SUM(J7+K7+L7+AE7+AC7)-(I7)</f>
        <v>9.8999999999996362</v>
      </c>
      <c r="AB7" s="32">
        <v>50</v>
      </c>
      <c r="AC7" s="32">
        <v>0</v>
      </c>
      <c r="AD7" s="33">
        <f t="shared" ref="AD7:AD8" si="11">SUM(H7-AE7)</f>
        <v>60</v>
      </c>
      <c r="AE7" s="33">
        <v>35</v>
      </c>
      <c r="AF7" s="33"/>
      <c r="AG7" s="33">
        <f t="shared" ref="AG7:AG8" si="12">SUM(AF7-H7)</f>
        <v>-95</v>
      </c>
    </row>
    <row r="8" spans="1:33" ht="18.75">
      <c r="A8" s="9">
        <v>45109</v>
      </c>
      <c r="B8" s="10" t="s">
        <v>22</v>
      </c>
      <c r="C8" s="11">
        <v>6807.02</v>
      </c>
      <c r="D8" s="11">
        <v>4305.58</v>
      </c>
      <c r="E8" s="11">
        <v>18</v>
      </c>
      <c r="F8" s="11">
        <v>135</v>
      </c>
      <c r="G8" s="11">
        <v>125</v>
      </c>
      <c r="H8" s="11">
        <v>0</v>
      </c>
      <c r="I8" s="11">
        <f t="shared" si="7"/>
        <v>11390.6</v>
      </c>
      <c r="J8" s="11">
        <v>2185</v>
      </c>
      <c r="K8" s="11">
        <v>0</v>
      </c>
      <c r="L8" s="11">
        <f t="shared" si="8"/>
        <v>9093.6400000000012</v>
      </c>
      <c r="M8" s="11">
        <f>356.29+3112.61+4838.13</f>
        <v>8307.0300000000007</v>
      </c>
      <c r="N8" s="11">
        <v>30.01</v>
      </c>
      <c r="O8" s="11">
        <v>92.38</v>
      </c>
      <c r="P8" s="11">
        <v>0</v>
      </c>
      <c r="Q8" s="11">
        <v>0</v>
      </c>
      <c r="R8" s="11">
        <v>41.76</v>
      </c>
      <c r="S8" s="11">
        <v>435.7</v>
      </c>
      <c r="T8" s="11">
        <v>186.76</v>
      </c>
      <c r="U8" s="11">
        <v>116.32</v>
      </c>
      <c r="V8" s="33">
        <v>0</v>
      </c>
      <c r="W8" s="33">
        <v>144</v>
      </c>
      <c r="X8" s="11">
        <v>1928</v>
      </c>
      <c r="Y8" s="11">
        <v>450</v>
      </c>
      <c r="Z8" s="31">
        <f t="shared" si="9"/>
        <v>3.3200000000001637</v>
      </c>
      <c r="AA8" s="32">
        <f t="shared" si="10"/>
        <v>-86.959999999999127</v>
      </c>
      <c r="AB8" s="32">
        <f t="shared" ref="AB8" si="13">SUM(G8-AC8)</f>
        <v>100</v>
      </c>
      <c r="AC8" s="32">
        <v>25</v>
      </c>
      <c r="AD8" s="33">
        <f t="shared" si="11"/>
        <v>0</v>
      </c>
      <c r="AE8" s="33">
        <v>0</v>
      </c>
      <c r="AF8" s="33">
        <v>5020</v>
      </c>
      <c r="AG8" s="33">
        <f t="shared" si="12"/>
        <v>5020</v>
      </c>
    </row>
    <row r="9" spans="1:33" ht="37.5" customHeight="1">
      <c r="A9" s="65" t="s">
        <v>27</v>
      </c>
      <c r="B9" s="66"/>
      <c r="C9" s="27">
        <f t="shared" ref="C9:AG9" si="14">SUM(C2:C8)</f>
        <v>59949.150000000009</v>
      </c>
      <c r="D9" s="27">
        <f t="shared" si="14"/>
        <v>30591.39</v>
      </c>
      <c r="E9" s="27">
        <f t="shared" si="14"/>
        <v>124</v>
      </c>
      <c r="F9" s="27">
        <f t="shared" si="14"/>
        <v>662</v>
      </c>
      <c r="G9" s="27">
        <f t="shared" si="14"/>
        <v>624</v>
      </c>
      <c r="H9" s="27">
        <f t="shared" si="14"/>
        <v>532</v>
      </c>
      <c r="I9" s="27">
        <f t="shared" si="14"/>
        <v>92658.41</v>
      </c>
      <c r="J9" s="27">
        <f t="shared" si="14"/>
        <v>16468.270000000004</v>
      </c>
      <c r="K9" s="27">
        <f t="shared" si="14"/>
        <v>0</v>
      </c>
      <c r="L9" s="27">
        <f t="shared" si="14"/>
        <v>75464.28</v>
      </c>
      <c r="M9" s="27">
        <f t="shared" si="14"/>
        <v>66983.740000000005</v>
      </c>
      <c r="N9" s="27">
        <f t="shared" si="14"/>
        <v>219.17</v>
      </c>
      <c r="O9" s="27">
        <f t="shared" si="14"/>
        <v>92.38</v>
      </c>
      <c r="P9" s="27">
        <f t="shared" si="14"/>
        <v>203.04000000000002</v>
      </c>
      <c r="Q9" s="27">
        <f t="shared" si="14"/>
        <v>1104.6500000000001</v>
      </c>
      <c r="R9" s="27">
        <f t="shared" si="14"/>
        <v>3125.1400000000003</v>
      </c>
      <c r="S9" s="27">
        <f t="shared" si="14"/>
        <v>2071.2599999999998</v>
      </c>
      <c r="T9" s="27">
        <f t="shared" si="14"/>
        <v>1664.8999999999999</v>
      </c>
      <c r="U9" s="27">
        <f t="shared" si="14"/>
        <v>1845.2499999999998</v>
      </c>
      <c r="V9" s="27">
        <f t="shared" si="14"/>
        <v>175.87</v>
      </c>
      <c r="W9" s="27">
        <f t="shared" si="14"/>
        <v>617.79999999999995</v>
      </c>
      <c r="X9" s="27">
        <f t="shared" si="14"/>
        <v>13853.8</v>
      </c>
      <c r="Y9" s="27">
        <f t="shared" si="14"/>
        <v>3150</v>
      </c>
      <c r="Z9" s="27">
        <f t="shared" si="14"/>
        <v>24.4500000000005</v>
      </c>
      <c r="AA9" s="27">
        <f t="shared" si="14"/>
        <v>-169.86000000000422</v>
      </c>
      <c r="AB9" s="27">
        <f t="shared" si="14"/>
        <v>412</v>
      </c>
      <c r="AC9" s="27">
        <f t="shared" si="14"/>
        <v>212</v>
      </c>
      <c r="AD9" s="27">
        <f t="shared" si="14"/>
        <v>188</v>
      </c>
      <c r="AE9" s="27">
        <f t="shared" si="14"/>
        <v>344</v>
      </c>
      <c r="AF9" s="27">
        <f t="shared" si="14"/>
        <v>5020</v>
      </c>
      <c r="AG9" s="27">
        <f t="shared" si="14"/>
        <v>4488</v>
      </c>
    </row>
    <row r="10" spans="1:33" s="35" customFormat="1" ht="18.75">
      <c r="A10" s="9">
        <v>45110</v>
      </c>
      <c r="B10" s="10" t="s">
        <v>23</v>
      </c>
      <c r="C10" s="11">
        <v>7393.35</v>
      </c>
      <c r="D10" s="11">
        <v>3821.68</v>
      </c>
      <c r="E10" s="11">
        <v>0</v>
      </c>
      <c r="F10" s="11">
        <v>103</v>
      </c>
      <c r="G10" s="11">
        <v>40</v>
      </c>
      <c r="H10" s="11">
        <v>85</v>
      </c>
      <c r="I10" s="11">
        <f t="shared" ref="I10:I16" si="15">SUM(C10:H10,V10)</f>
        <v>11444.03</v>
      </c>
      <c r="J10" s="11">
        <v>2399.35</v>
      </c>
      <c r="K10" s="11">
        <v>0</v>
      </c>
      <c r="L10" s="11">
        <f>SUM(M10:T10)</f>
        <v>9038.6899999999987</v>
      </c>
      <c r="M10" s="11">
        <f>499.48+2796.48+4540.8</f>
        <v>7836.76</v>
      </c>
      <c r="N10" s="11">
        <v>70.540000000000006</v>
      </c>
      <c r="O10" s="11">
        <v>0</v>
      </c>
      <c r="P10" s="11">
        <v>88.01</v>
      </c>
      <c r="Q10" s="11">
        <v>84.16</v>
      </c>
      <c r="R10" s="11">
        <v>527.53</v>
      </c>
      <c r="S10" s="11">
        <v>234.39</v>
      </c>
      <c r="T10" s="11">
        <v>197.3</v>
      </c>
      <c r="U10" s="11">
        <v>207.3</v>
      </c>
      <c r="V10" s="33">
        <v>1</v>
      </c>
      <c r="W10" s="33">
        <v>62</v>
      </c>
      <c r="X10" s="11">
        <v>2134</v>
      </c>
      <c r="Y10" s="11">
        <v>450</v>
      </c>
      <c r="Z10" s="31">
        <f t="shared" ref="Z10:Z16" si="16">SUM(U10,V10,W10,X10)-J10</f>
        <v>4.9500000000002728</v>
      </c>
      <c r="AA10" s="32">
        <f t="shared" si="10"/>
        <v>-5.9900000000016007</v>
      </c>
      <c r="AB10" s="32">
        <f>SUM(G10-AC10)</f>
        <v>40</v>
      </c>
      <c r="AC10" s="33">
        <v>0</v>
      </c>
      <c r="AD10" s="33">
        <f>SUM(H10-AE10)</f>
        <v>85</v>
      </c>
      <c r="AE10" s="33">
        <v>0</v>
      </c>
      <c r="AF10" s="33"/>
      <c r="AG10" s="33">
        <f>SUM(AF10-H10)</f>
        <v>-85</v>
      </c>
    </row>
    <row r="11" spans="1:33" s="35" customFormat="1" ht="18.75">
      <c r="A11" s="9">
        <v>45111</v>
      </c>
      <c r="B11" s="10" t="s">
        <v>24</v>
      </c>
      <c r="C11" s="11">
        <v>7958.7</v>
      </c>
      <c r="D11" s="11">
        <v>3714.68</v>
      </c>
      <c r="E11" s="11">
        <v>23.5</v>
      </c>
      <c r="F11" s="11">
        <v>110</v>
      </c>
      <c r="G11" s="11">
        <v>69</v>
      </c>
      <c r="H11" s="11">
        <v>127.09</v>
      </c>
      <c r="I11" s="11">
        <f t="shared" si="15"/>
        <v>12007.97</v>
      </c>
      <c r="J11" s="11">
        <v>2152.38</v>
      </c>
      <c r="K11" s="11">
        <v>0</v>
      </c>
      <c r="L11" s="11">
        <f>SUM(M11:T11)</f>
        <v>9671.8000000000011</v>
      </c>
      <c r="M11" s="11">
        <f>513.19+2896.37+4808.67</f>
        <v>8218.23</v>
      </c>
      <c r="N11" s="11">
        <v>15.01</v>
      </c>
      <c r="O11" s="11">
        <v>0</v>
      </c>
      <c r="P11" s="11">
        <v>0</v>
      </c>
      <c r="Q11" s="11">
        <v>126.2</v>
      </c>
      <c r="R11" s="11">
        <v>503.76</v>
      </c>
      <c r="S11" s="11">
        <v>450.49</v>
      </c>
      <c r="T11" s="11">
        <v>358.11</v>
      </c>
      <c r="U11" s="11">
        <v>20</v>
      </c>
      <c r="V11" s="33">
        <v>5</v>
      </c>
      <c r="W11" s="33">
        <v>80.7</v>
      </c>
      <c r="X11" s="11">
        <v>2057.5</v>
      </c>
      <c r="Y11" s="11">
        <v>450</v>
      </c>
      <c r="Z11" s="31">
        <f t="shared" si="16"/>
        <v>10.819999999999709</v>
      </c>
      <c r="AA11" s="32">
        <f t="shared" si="10"/>
        <v>-7.6999999999989086</v>
      </c>
      <c r="AB11" s="32">
        <f t="shared" ref="AB11:AB32" si="17">SUM(G11-AC11)</f>
        <v>20</v>
      </c>
      <c r="AC11" s="33">
        <v>49</v>
      </c>
      <c r="AD11" s="33">
        <f t="shared" ref="AD11:AD16" si="18">SUM(H11-AE11)</f>
        <v>0</v>
      </c>
      <c r="AE11" s="33">
        <v>127.09</v>
      </c>
      <c r="AF11" s="33"/>
      <c r="AG11" s="33">
        <f t="shared" ref="AG11:AG15" si="19">SUM(AF11-H11)</f>
        <v>-127.09</v>
      </c>
    </row>
    <row r="12" spans="1:33" s="35" customFormat="1" ht="18.75">
      <c r="A12" s="9">
        <v>45112</v>
      </c>
      <c r="B12" s="10" t="s">
        <v>25</v>
      </c>
      <c r="C12" s="11">
        <v>8159.9</v>
      </c>
      <c r="D12" s="11">
        <v>4396.1499999999996</v>
      </c>
      <c r="E12" s="11">
        <v>39.5</v>
      </c>
      <c r="F12" s="11">
        <v>91</v>
      </c>
      <c r="G12" s="11">
        <v>34</v>
      </c>
      <c r="H12" s="11">
        <v>5</v>
      </c>
      <c r="I12" s="11">
        <f t="shared" si="15"/>
        <v>12773.74</v>
      </c>
      <c r="J12" s="11">
        <v>2395.9499999999998</v>
      </c>
      <c r="K12" s="11">
        <v>0</v>
      </c>
      <c r="L12" s="11">
        <f t="shared" ref="L12:L16" si="20">SUM(M12:T12)</f>
        <v>10362.790000000001</v>
      </c>
      <c r="M12" s="11">
        <f>761.47+2931.88+5354.64</f>
        <v>9047.9900000000016</v>
      </c>
      <c r="N12" s="11">
        <v>50.29</v>
      </c>
      <c r="O12" s="11">
        <v>0</v>
      </c>
      <c r="P12" s="11">
        <v>115.43</v>
      </c>
      <c r="Q12" s="11">
        <v>220.31</v>
      </c>
      <c r="R12" s="11">
        <v>262.42</v>
      </c>
      <c r="S12" s="11">
        <v>175.13</v>
      </c>
      <c r="T12" s="11">
        <v>491.22</v>
      </c>
      <c r="U12" s="11">
        <v>544.98</v>
      </c>
      <c r="V12" s="33">
        <v>48.19</v>
      </c>
      <c r="W12" s="33">
        <v>37.5</v>
      </c>
      <c r="X12" s="11">
        <v>1761</v>
      </c>
      <c r="Y12" s="11">
        <v>450</v>
      </c>
      <c r="Z12" s="31">
        <f t="shared" si="16"/>
        <v>-4.2799999999997453</v>
      </c>
      <c r="AA12" s="32">
        <f t="shared" si="10"/>
        <v>0</v>
      </c>
      <c r="AB12" s="32">
        <f t="shared" si="17"/>
        <v>24</v>
      </c>
      <c r="AC12" s="33">
        <v>10</v>
      </c>
      <c r="AD12" s="33">
        <f t="shared" si="18"/>
        <v>0</v>
      </c>
      <c r="AE12" s="33">
        <v>5</v>
      </c>
      <c r="AF12" s="33"/>
      <c r="AG12" s="33">
        <f t="shared" si="19"/>
        <v>-5</v>
      </c>
    </row>
    <row r="13" spans="1:33" s="35" customFormat="1" ht="18.75">
      <c r="A13" s="9">
        <v>45113</v>
      </c>
      <c r="B13" s="10" t="s">
        <v>26</v>
      </c>
      <c r="C13" s="11">
        <v>7608.35</v>
      </c>
      <c r="D13" s="11">
        <v>4664.6899999999996</v>
      </c>
      <c r="E13" s="11">
        <v>24.5</v>
      </c>
      <c r="F13" s="11">
        <v>97</v>
      </c>
      <c r="G13" s="11">
        <v>40</v>
      </c>
      <c r="H13" s="11">
        <v>149.19999999999999</v>
      </c>
      <c r="I13" s="11">
        <f t="shared" si="15"/>
        <v>12583.740000000002</v>
      </c>
      <c r="J13" s="11">
        <f>2004.23</f>
        <v>2004.23</v>
      </c>
      <c r="K13" s="11">
        <v>0</v>
      </c>
      <c r="L13" s="11">
        <f t="shared" si="20"/>
        <v>11175.58</v>
      </c>
      <c r="M13" s="11">
        <f>816.66+3348.28+5676.93</f>
        <v>9841.8700000000008</v>
      </c>
      <c r="N13" s="11">
        <v>0</v>
      </c>
      <c r="O13" s="11">
        <v>0</v>
      </c>
      <c r="P13" s="11">
        <v>0</v>
      </c>
      <c r="Q13" s="11">
        <v>0</v>
      </c>
      <c r="R13" s="11">
        <v>485.31</v>
      </c>
      <c r="S13" s="11">
        <v>339.94</v>
      </c>
      <c r="T13" s="11">
        <v>508.46</v>
      </c>
      <c r="U13" s="11">
        <v>218.13</v>
      </c>
      <c r="V13" s="33">
        <v>0</v>
      </c>
      <c r="W13" s="33">
        <v>37</v>
      </c>
      <c r="X13" s="11">
        <v>1747</v>
      </c>
      <c r="Y13" s="11">
        <v>450</v>
      </c>
      <c r="Z13" s="31">
        <f t="shared" si="16"/>
        <v>-2.0999999999999091</v>
      </c>
      <c r="AA13" s="32">
        <f t="shared" si="10"/>
        <v>766.26999999999862</v>
      </c>
      <c r="AB13" s="32">
        <f t="shared" si="17"/>
        <v>15</v>
      </c>
      <c r="AC13" s="33">
        <v>25</v>
      </c>
      <c r="AD13" s="33">
        <f t="shared" si="18"/>
        <v>4</v>
      </c>
      <c r="AE13" s="33">
        <v>145.19999999999999</v>
      </c>
      <c r="AF13" s="33"/>
      <c r="AG13" s="33">
        <f t="shared" si="19"/>
        <v>-149.19999999999999</v>
      </c>
    </row>
    <row r="14" spans="1:33" s="35" customFormat="1" ht="18.75">
      <c r="A14" s="9">
        <v>45114</v>
      </c>
      <c r="B14" s="10" t="s">
        <v>20</v>
      </c>
      <c r="C14" s="11">
        <v>9420.4699999999993</v>
      </c>
      <c r="D14" s="11">
        <v>5940.26</v>
      </c>
      <c r="E14" s="11">
        <v>62</v>
      </c>
      <c r="F14" s="11">
        <v>74</v>
      </c>
      <c r="G14" s="11">
        <v>50</v>
      </c>
      <c r="H14" s="11">
        <v>40</v>
      </c>
      <c r="I14" s="11">
        <f t="shared" si="15"/>
        <v>15606.73</v>
      </c>
      <c r="J14" s="43">
        <v>2770.91</v>
      </c>
      <c r="K14" s="43">
        <v>0</v>
      </c>
      <c r="L14" s="11">
        <f t="shared" si="20"/>
        <v>12795.82</v>
      </c>
      <c r="M14" s="11">
        <f>1269.75+3537.23+5964.44</f>
        <v>10771.419999999998</v>
      </c>
      <c r="N14" s="11">
        <v>70.959999999999994</v>
      </c>
      <c r="O14" s="11">
        <v>0</v>
      </c>
      <c r="P14" s="11">
        <v>0</v>
      </c>
      <c r="Q14" s="11">
        <v>189.11</v>
      </c>
      <c r="R14" s="11">
        <v>377.11</v>
      </c>
      <c r="S14" s="11">
        <v>378.28</v>
      </c>
      <c r="T14" s="11">
        <v>1008.94</v>
      </c>
      <c r="U14" s="11">
        <v>0</v>
      </c>
      <c r="V14" s="33">
        <v>20</v>
      </c>
      <c r="W14" s="33">
        <v>70.7</v>
      </c>
      <c r="X14" s="11">
        <v>2698</v>
      </c>
      <c r="Y14" s="11">
        <v>450</v>
      </c>
      <c r="Z14" s="31">
        <f t="shared" si="16"/>
        <v>17.789999999999964</v>
      </c>
      <c r="AA14" s="32">
        <f t="shared" si="10"/>
        <v>-20</v>
      </c>
      <c r="AB14" s="32">
        <f t="shared" si="17"/>
        <v>50</v>
      </c>
      <c r="AC14" s="33">
        <v>0</v>
      </c>
      <c r="AD14" s="33">
        <f t="shared" si="18"/>
        <v>20</v>
      </c>
      <c r="AE14" s="33">
        <v>20</v>
      </c>
      <c r="AF14" s="33"/>
      <c r="AG14" s="33">
        <f t="shared" si="19"/>
        <v>-40</v>
      </c>
    </row>
    <row r="15" spans="1:33" s="35" customFormat="1" ht="18.75">
      <c r="A15" s="9">
        <v>45115</v>
      </c>
      <c r="B15" s="10" t="s">
        <v>21</v>
      </c>
      <c r="C15" s="11">
        <v>7579.56</v>
      </c>
      <c r="D15" s="11">
        <v>5148.8</v>
      </c>
      <c r="E15" s="11">
        <v>12.5</v>
      </c>
      <c r="F15" s="11">
        <v>149</v>
      </c>
      <c r="G15" s="11">
        <v>68</v>
      </c>
      <c r="H15" s="11">
        <v>10</v>
      </c>
      <c r="I15" s="11">
        <f t="shared" si="15"/>
        <v>13011.84</v>
      </c>
      <c r="J15" s="11">
        <v>2568.41</v>
      </c>
      <c r="K15" s="11">
        <v>0</v>
      </c>
      <c r="L15" s="11">
        <f t="shared" si="20"/>
        <v>10359.020000000002</v>
      </c>
      <c r="M15" s="11">
        <f>637.91+3134.43+6027.41</f>
        <v>9799.75</v>
      </c>
      <c r="N15" s="11">
        <v>38.869999999999997</v>
      </c>
      <c r="O15" s="11">
        <v>0</v>
      </c>
      <c r="P15" s="11">
        <v>0</v>
      </c>
      <c r="Q15" s="11">
        <v>68.58</v>
      </c>
      <c r="R15" s="11">
        <v>184.78</v>
      </c>
      <c r="S15" s="11">
        <v>0</v>
      </c>
      <c r="T15" s="11">
        <v>267.04000000000002</v>
      </c>
      <c r="U15" s="11">
        <v>0</v>
      </c>
      <c r="V15" s="33">
        <v>43.98</v>
      </c>
      <c r="W15" s="33">
        <v>92</v>
      </c>
      <c r="X15" s="11">
        <v>2450</v>
      </c>
      <c r="Y15" s="11">
        <v>450</v>
      </c>
      <c r="Z15" s="31">
        <f t="shared" si="16"/>
        <v>17.570000000000164</v>
      </c>
      <c r="AA15" s="32">
        <f t="shared" si="10"/>
        <v>-19.409999999998035</v>
      </c>
      <c r="AB15" s="32">
        <f t="shared" si="17"/>
        <v>13</v>
      </c>
      <c r="AC15" s="33">
        <v>55</v>
      </c>
      <c r="AD15" s="33">
        <f t="shared" si="18"/>
        <v>0</v>
      </c>
      <c r="AE15" s="33">
        <v>10</v>
      </c>
      <c r="AF15" s="33"/>
      <c r="AG15" s="33">
        <f t="shared" si="19"/>
        <v>-10</v>
      </c>
    </row>
    <row r="16" spans="1:33" s="35" customFormat="1" ht="18.75">
      <c r="A16" s="9">
        <v>45116</v>
      </c>
      <c r="B16" s="10" t="s">
        <v>22</v>
      </c>
      <c r="C16" s="11">
        <v>6867.36</v>
      </c>
      <c r="D16" s="11">
        <v>4362.54</v>
      </c>
      <c r="E16" s="11">
        <v>6</v>
      </c>
      <c r="F16" s="11">
        <v>73</v>
      </c>
      <c r="G16" s="11">
        <v>130</v>
      </c>
      <c r="H16" s="11">
        <v>54</v>
      </c>
      <c r="I16" s="11">
        <f t="shared" si="15"/>
        <v>11492.9</v>
      </c>
      <c r="J16" s="11">
        <v>2262.31</v>
      </c>
      <c r="K16" s="11">
        <v>0</v>
      </c>
      <c r="L16" s="11">
        <f t="shared" si="20"/>
        <v>9315.0099999999984</v>
      </c>
      <c r="M16" s="11">
        <f>748.76+2776.76+5372.66</f>
        <v>8898.18</v>
      </c>
      <c r="N16" s="11">
        <v>66.63</v>
      </c>
      <c r="O16" s="11">
        <v>0</v>
      </c>
      <c r="P16" s="11">
        <v>0</v>
      </c>
      <c r="Q16" s="11">
        <v>0</v>
      </c>
      <c r="R16" s="11">
        <v>105.73</v>
      </c>
      <c r="S16" s="11">
        <v>95.21</v>
      </c>
      <c r="T16" s="11">
        <v>149.26</v>
      </c>
      <c r="U16" s="11">
        <v>0</v>
      </c>
      <c r="V16" s="33">
        <v>0</v>
      </c>
      <c r="W16" s="33">
        <v>87</v>
      </c>
      <c r="X16" s="11">
        <v>1998</v>
      </c>
      <c r="Y16" s="11">
        <v>450</v>
      </c>
      <c r="Z16" s="31">
        <f t="shared" si="16"/>
        <v>-177.30999999999995</v>
      </c>
      <c r="AA16" s="32">
        <f t="shared" si="10"/>
        <v>114.41999999999825</v>
      </c>
      <c r="AB16" s="32">
        <f t="shared" si="17"/>
        <v>130</v>
      </c>
      <c r="AC16" s="33">
        <v>0</v>
      </c>
      <c r="AD16" s="33">
        <f t="shared" si="18"/>
        <v>24</v>
      </c>
      <c r="AE16" s="33">
        <v>30</v>
      </c>
      <c r="AF16" s="33">
        <v>3970</v>
      </c>
      <c r="AG16" s="33">
        <f>SUM(AF16-H16)</f>
        <v>3916</v>
      </c>
    </row>
    <row r="17" spans="1:33" ht="37.5" customHeight="1">
      <c r="A17" s="65" t="s">
        <v>27</v>
      </c>
      <c r="B17" s="66"/>
      <c r="C17" s="27">
        <f>SUM(C10:C16)</f>
        <v>54987.689999999995</v>
      </c>
      <c r="D17" s="27">
        <f t="shared" ref="D17:AG17" si="21">SUM(D10:D16)</f>
        <v>32048.799999999999</v>
      </c>
      <c r="E17" s="27">
        <f t="shared" si="21"/>
        <v>168</v>
      </c>
      <c r="F17" s="27">
        <f t="shared" si="21"/>
        <v>697</v>
      </c>
      <c r="G17" s="27">
        <f t="shared" si="21"/>
        <v>431</v>
      </c>
      <c r="H17" s="27">
        <f t="shared" si="21"/>
        <v>470.28999999999996</v>
      </c>
      <c r="I17" s="27">
        <f t="shared" si="21"/>
        <v>88920.949999999983</v>
      </c>
      <c r="J17" s="27">
        <f t="shared" si="21"/>
        <v>16553.54</v>
      </c>
      <c r="K17" s="27">
        <f t="shared" si="21"/>
        <v>0</v>
      </c>
      <c r="L17" s="27">
        <f t="shared" si="21"/>
        <v>72718.710000000006</v>
      </c>
      <c r="M17" s="27">
        <f t="shared" si="21"/>
        <v>64414.200000000004</v>
      </c>
      <c r="N17" s="27">
        <f t="shared" si="21"/>
        <v>312.3</v>
      </c>
      <c r="O17" s="27">
        <f t="shared" si="21"/>
        <v>0</v>
      </c>
      <c r="P17" s="27">
        <f t="shared" si="21"/>
        <v>203.44</v>
      </c>
      <c r="Q17" s="27">
        <f t="shared" si="21"/>
        <v>688.36</v>
      </c>
      <c r="R17" s="27">
        <f t="shared" si="21"/>
        <v>2446.6400000000003</v>
      </c>
      <c r="S17" s="27">
        <f t="shared" si="21"/>
        <v>1673.44</v>
      </c>
      <c r="T17" s="27">
        <f t="shared" si="21"/>
        <v>2980.33</v>
      </c>
      <c r="U17" s="27">
        <f t="shared" si="21"/>
        <v>990.41</v>
      </c>
      <c r="V17" s="27">
        <f t="shared" si="21"/>
        <v>118.16999999999999</v>
      </c>
      <c r="W17" s="27">
        <f t="shared" si="21"/>
        <v>466.9</v>
      </c>
      <c r="X17" s="27">
        <f t="shared" si="21"/>
        <v>14845.5</v>
      </c>
      <c r="Y17" s="27">
        <f t="shared" si="21"/>
        <v>3150</v>
      </c>
      <c r="Z17" s="27">
        <f t="shared" si="21"/>
        <v>-132.55999999999949</v>
      </c>
      <c r="AA17" s="27">
        <f t="shared" si="21"/>
        <v>827.58999999999833</v>
      </c>
      <c r="AB17" s="27">
        <f t="shared" si="21"/>
        <v>292</v>
      </c>
      <c r="AC17" s="27">
        <f t="shared" si="21"/>
        <v>139</v>
      </c>
      <c r="AD17" s="27">
        <f t="shared" si="21"/>
        <v>133</v>
      </c>
      <c r="AE17" s="27">
        <f t="shared" si="21"/>
        <v>337.28999999999996</v>
      </c>
      <c r="AF17" s="27">
        <f>SUM(AF10:AF16)</f>
        <v>3970</v>
      </c>
      <c r="AG17" s="27">
        <f t="shared" si="21"/>
        <v>3499.71</v>
      </c>
    </row>
    <row r="18" spans="1:33" s="35" customFormat="1" ht="18.75">
      <c r="A18" s="58">
        <v>45117</v>
      </c>
      <c r="B18" s="10" t="s">
        <v>23</v>
      </c>
      <c r="C18" s="11">
        <f>7327.52+107.05</f>
        <v>7434.5700000000006</v>
      </c>
      <c r="D18" s="11">
        <v>3693.01</v>
      </c>
      <c r="E18" s="11">
        <v>2.5</v>
      </c>
      <c r="F18" s="11">
        <v>28</v>
      </c>
      <c r="G18" s="11">
        <v>90</v>
      </c>
      <c r="H18" s="11">
        <v>10</v>
      </c>
      <c r="I18" s="11">
        <f>SUM(C18:H18,V18)</f>
        <v>11268.810000000001</v>
      </c>
      <c r="J18" s="11">
        <v>2017.06</v>
      </c>
      <c r="K18" s="11">
        <v>0</v>
      </c>
      <c r="L18" s="11">
        <f>SUM(M18:T18)</f>
        <v>9074.6999999999971</v>
      </c>
      <c r="M18" s="51">
        <f>885.24+2640.37+4727.51</f>
        <v>8253.119999999999</v>
      </c>
      <c r="N18" s="11">
        <v>30.47</v>
      </c>
      <c r="O18" s="11">
        <v>82.94</v>
      </c>
      <c r="P18" s="11">
        <v>47.02</v>
      </c>
      <c r="Q18" s="11">
        <v>87.82</v>
      </c>
      <c r="R18" s="11">
        <v>142.13</v>
      </c>
      <c r="S18" s="11">
        <v>408.31</v>
      </c>
      <c r="T18" s="11">
        <v>22.89</v>
      </c>
      <c r="U18" s="11">
        <v>0</v>
      </c>
      <c r="V18" s="33">
        <v>10.73</v>
      </c>
      <c r="W18" s="33">
        <v>19</v>
      </c>
      <c r="X18" s="11">
        <v>2050</v>
      </c>
      <c r="Y18" s="11">
        <v>450</v>
      </c>
      <c r="Z18" s="31">
        <f t="shared" ref="Z18:Z24" si="22">SUM(U18,V18,W18,X18)-J18</f>
        <v>62.670000000000073</v>
      </c>
      <c r="AA18" s="32">
        <f t="shared" si="10"/>
        <v>-107.05000000000473</v>
      </c>
      <c r="AB18" s="32">
        <f t="shared" si="17"/>
        <v>20</v>
      </c>
      <c r="AC18" s="32">
        <v>70</v>
      </c>
      <c r="AD18" s="33">
        <f t="shared" ref="AD18:AD24" si="23">SUM(H18-AE18)</f>
        <v>10</v>
      </c>
      <c r="AE18" s="33">
        <v>0</v>
      </c>
      <c r="AF18" s="33"/>
      <c r="AG18" s="33">
        <f t="shared" ref="AG18:AG24" si="24">SUM(AF18-H18)</f>
        <v>-10</v>
      </c>
    </row>
    <row r="19" spans="1:33" s="35" customFormat="1" ht="18.75">
      <c r="A19" s="58">
        <v>45118</v>
      </c>
      <c r="B19" s="10" t="s">
        <v>24</v>
      </c>
      <c r="C19" s="11">
        <v>7588.62</v>
      </c>
      <c r="D19" s="11">
        <f>3843.41+1.55</f>
        <v>3844.96</v>
      </c>
      <c r="E19" s="11">
        <v>31.5</v>
      </c>
      <c r="F19" s="11">
        <v>107</v>
      </c>
      <c r="G19" s="11">
        <v>20</v>
      </c>
      <c r="H19" s="11">
        <v>40</v>
      </c>
      <c r="I19" s="11">
        <f t="shared" ref="I19:I24" si="25">SUM(C19:H19,V19)</f>
        <v>11672.08</v>
      </c>
      <c r="J19" s="11">
        <v>2100.94</v>
      </c>
      <c r="K19" s="11">
        <v>0</v>
      </c>
      <c r="L19" s="11">
        <f>SUM(M19:T19)</f>
        <v>9526.1399999999976</v>
      </c>
      <c r="M19" s="11">
        <f>952.28+3411.43+4192.16</f>
        <v>8555.869999999999</v>
      </c>
      <c r="N19" s="11">
        <v>61.97</v>
      </c>
      <c r="O19" s="11">
        <v>0</v>
      </c>
      <c r="P19" s="11">
        <v>0</v>
      </c>
      <c r="Q19" s="11">
        <v>0</v>
      </c>
      <c r="R19" s="11">
        <v>629.69000000000005</v>
      </c>
      <c r="S19" s="11">
        <v>163.96</v>
      </c>
      <c r="T19" s="11">
        <v>114.65</v>
      </c>
      <c r="U19" s="11">
        <v>37.130000000000003</v>
      </c>
      <c r="V19" s="33">
        <v>40</v>
      </c>
      <c r="W19" s="33">
        <v>82</v>
      </c>
      <c r="X19" s="11">
        <v>1941.2</v>
      </c>
      <c r="Y19" s="11">
        <v>450</v>
      </c>
      <c r="Z19" s="31">
        <f t="shared" si="22"/>
        <v>-0.61000000000012733</v>
      </c>
      <c r="AA19" s="32">
        <f t="shared" si="10"/>
        <v>0</v>
      </c>
      <c r="AB19" s="32">
        <f t="shared" si="17"/>
        <v>15</v>
      </c>
      <c r="AC19" s="32">
        <v>5</v>
      </c>
      <c r="AD19" s="33">
        <f t="shared" si="23"/>
        <v>0</v>
      </c>
      <c r="AE19" s="33">
        <v>40</v>
      </c>
      <c r="AF19" s="33"/>
      <c r="AG19" s="33">
        <f t="shared" si="24"/>
        <v>-40</v>
      </c>
    </row>
    <row r="20" spans="1:33" s="35" customFormat="1" ht="18.75">
      <c r="A20" s="58">
        <v>45119</v>
      </c>
      <c r="B20" s="10" t="s">
        <v>25</v>
      </c>
      <c r="C20" s="11">
        <v>7495.44</v>
      </c>
      <c r="D20" s="11">
        <v>3632.71</v>
      </c>
      <c r="E20" s="11">
        <v>8</v>
      </c>
      <c r="F20" s="11">
        <v>38</v>
      </c>
      <c r="G20" s="11">
        <v>130</v>
      </c>
      <c r="H20" s="11">
        <v>174</v>
      </c>
      <c r="I20" s="11">
        <f t="shared" si="25"/>
        <v>11490.15</v>
      </c>
      <c r="J20" s="11">
        <f>2248.41+10</f>
        <v>2258.41</v>
      </c>
      <c r="K20" s="11">
        <v>0</v>
      </c>
      <c r="L20" s="11">
        <f t="shared" ref="L20:L24" si="26">SUM(M20:T20)</f>
        <v>9161.74</v>
      </c>
      <c r="M20" s="11">
        <f>771.73+2827.28+4527.87</f>
        <v>8126.88</v>
      </c>
      <c r="N20" s="11">
        <v>2.5</v>
      </c>
      <c r="O20" s="11">
        <v>0</v>
      </c>
      <c r="P20" s="11">
        <v>0</v>
      </c>
      <c r="Q20" s="11">
        <v>280.14999999999998</v>
      </c>
      <c r="R20" s="11">
        <v>435.97</v>
      </c>
      <c r="S20" s="11">
        <v>286.24</v>
      </c>
      <c r="T20" s="11">
        <v>30</v>
      </c>
      <c r="U20" s="11">
        <v>385.28</v>
      </c>
      <c r="V20" s="33">
        <v>12</v>
      </c>
      <c r="W20" s="33">
        <v>34</v>
      </c>
      <c r="X20" s="11">
        <v>1810</v>
      </c>
      <c r="Y20" s="11">
        <v>450</v>
      </c>
      <c r="Z20" s="31">
        <f t="shared" si="22"/>
        <v>-17.130000000000109</v>
      </c>
      <c r="AA20" s="32">
        <f t="shared" si="10"/>
        <v>0</v>
      </c>
      <c r="AB20" s="32">
        <f t="shared" si="17"/>
        <v>60</v>
      </c>
      <c r="AC20" s="32">
        <v>70</v>
      </c>
      <c r="AD20" s="33">
        <f t="shared" si="23"/>
        <v>174</v>
      </c>
      <c r="AE20" s="33">
        <v>0</v>
      </c>
      <c r="AF20" s="33"/>
      <c r="AG20" s="33">
        <f t="shared" si="24"/>
        <v>-174</v>
      </c>
    </row>
    <row r="21" spans="1:33" s="35" customFormat="1" ht="18.75">
      <c r="A21" s="58">
        <v>45120</v>
      </c>
      <c r="B21" s="10" t="s">
        <v>26</v>
      </c>
      <c r="C21" s="11">
        <v>9906.4699999999993</v>
      </c>
      <c r="D21" s="11">
        <v>4606.2700000000004</v>
      </c>
      <c r="E21" s="11">
        <v>26.5</v>
      </c>
      <c r="F21" s="11">
        <v>72</v>
      </c>
      <c r="G21" s="11">
        <v>40</v>
      </c>
      <c r="H21" s="11">
        <v>28</v>
      </c>
      <c r="I21" s="11">
        <f t="shared" si="25"/>
        <v>14679.24</v>
      </c>
      <c r="J21" s="11">
        <f>2576.54+10</f>
        <v>2586.54</v>
      </c>
      <c r="K21" s="11">
        <v>0</v>
      </c>
      <c r="L21" s="11">
        <f t="shared" si="26"/>
        <v>12044.7</v>
      </c>
      <c r="M21" s="11">
        <f>1056.34+3995.68+6162.37</f>
        <v>11214.39</v>
      </c>
      <c r="N21" s="11">
        <v>53.1</v>
      </c>
      <c r="O21" s="11">
        <v>0</v>
      </c>
      <c r="P21" s="11">
        <v>0</v>
      </c>
      <c r="Q21" s="11">
        <v>231.11</v>
      </c>
      <c r="R21" s="11">
        <v>256.33999999999997</v>
      </c>
      <c r="S21" s="11">
        <v>180.49</v>
      </c>
      <c r="T21" s="11">
        <v>109.27</v>
      </c>
      <c r="U21" s="11">
        <v>1434.22</v>
      </c>
      <c r="V21" s="33">
        <v>0</v>
      </c>
      <c r="W21" s="33">
        <v>40</v>
      </c>
      <c r="X21" s="11">
        <v>1145</v>
      </c>
      <c r="Y21" s="11">
        <v>450</v>
      </c>
      <c r="Z21" s="31">
        <f t="shared" si="22"/>
        <v>32.680000000000291</v>
      </c>
      <c r="AA21" s="32">
        <f t="shared" si="10"/>
        <v>0</v>
      </c>
      <c r="AB21" s="32">
        <f t="shared" si="17"/>
        <v>20</v>
      </c>
      <c r="AC21" s="32">
        <v>20</v>
      </c>
      <c r="AD21" s="33">
        <f t="shared" si="23"/>
        <v>0</v>
      </c>
      <c r="AE21" s="33">
        <v>28</v>
      </c>
      <c r="AF21" s="33"/>
      <c r="AG21" s="33">
        <f t="shared" si="24"/>
        <v>-28</v>
      </c>
    </row>
    <row r="22" spans="1:33" s="35" customFormat="1" ht="18.75">
      <c r="A22" s="58">
        <v>45121</v>
      </c>
      <c r="B22" s="10" t="s">
        <v>20</v>
      </c>
      <c r="C22" s="11">
        <v>10536.06</v>
      </c>
      <c r="D22" s="11">
        <v>5310.38</v>
      </c>
      <c r="E22" s="11">
        <v>20</v>
      </c>
      <c r="F22" s="11">
        <v>123</v>
      </c>
      <c r="G22" s="11">
        <v>135</v>
      </c>
      <c r="H22" s="11">
        <v>143.15</v>
      </c>
      <c r="I22" s="11">
        <f t="shared" si="25"/>
        <v>16297.069999999998</v>
      </c>
      <c r="J22" s="11">
        <f>2446.05+10</f>
        <v>2456.0500000000002</v>
      </c>
      <c r="K22" s="11">
        <v>0</v>
      </c>
      <c r="L22" s="11">
        <f t="shared" si="26"/>
        <v>13594.91</v>
      </c>
      <c r="M22" s="11">
        <f>1032.99+3829.3+7410.29</f>
        <v>12272.58</v>
      </c>
      <c r="N22" s="11">
        <v>156.07</v>
      </c>
      <c r="O22" s="11">
        <v>0</v>
      </c>
      <c r="P22" s="11">
        <v>101.85</v>
      </c>
      <c r="Q22" s="11">
        <v>52.59</v>
      </c>
      <c r="R22" s="11">
        <v>485.45</v>
      </c>
      <c r="S22" s="11">
        <v>407.56</v>
      </c>
      <c r="T22" s="11">
        <v>118.81</v>
      </c>
      <c r="U22" s="11">
        <v>293.11</v>
      </c>
      <c r="V22" s="33">
        <v>29.48</v>
      </c>
      <c r="W22" s="33">
        <v>46.8</v>
      </c>
      <c r="X22" s="11">
        <v>2066.5</v>
      </c>
      <c r="Y22" s="11">
        <v>450</v>
      </c>
      <c r="Z22" s="31">
        <f t="shared" si="22"/>
        <v>-20.160000000000309</v>
      </c>
      <c r="AA22" s="32">
        <f t="shared" si="10"/>
        <v>-77.959999999999127</v>
      </c>
      <c r="AB22" s="32">
        <f t="shared" si="17"/>
        <v>60</v>
      </c>
      <c r="AC22" s="32">
        <v>75</v>
      </c>
      <c r="AD22" s="33">
        <f t="shared" si="23"/>
        <v>50</v>
      </c>
      <c r="AE22" s="33">
        <v>93.15</v>
      </c>
      <c r="AF22" s="33"/>
      <c r="AG22" s="33">
        <f t="shared" si="24"/>
        <v>-143.15</v>
      </c>
    </row>
    <row r="23" spans="1:33" s="35" customFormat="1" ht="18.75">
      <c r="A23" s="58">
        <v>45122</v>
      </c>
      <c r="B23" s="10" t="s">
        <v>21</v>
      </c>
      <c r="C23" s="11">
        <v>7791.64</v>
      </c>
      <c r="D23" s="11">
        <v>5935.45</v>
      </c>
      <c r="E23" s="11">
        <v>17.5</v>
      </c>
      <c r="F23" s="11">
        <v>73</v>
      </c>
      <c r="G23" s="11">
        <v>80</v>
      </c>
      <c r="H23" s="11">
        <v>126.2</v>
      </c>
      <c r="I23" s="11">
        <f t="shared" si="25"/>
        <v>14023.79</v>
      </c>
      <c r="J23" s="11">
        <f>2656.14+4</f>
        <v>2660.14</v>
      </c>
      <c r="K23" s="11">
        <v>0</v>
      </c>
      <c r="L23" s="11">
        <f t="shared" si="26"/>
        <v>11311.7</v>
      </c>
      <c r="M23" s="11">
        <f>1016.23+3163.87+6457.6</f>
        <v>10637.7</v>
      </c>
      <c r="N23" s="11">
        <v>0</v>
      </c>
      <c r="O23" s="11">
        <v>0</v>
      </c>
      <c r="P23" s="11">
        <v>0</v>
      </c>
      <c r="Q23" s="11">
        <v>272.32</v>
      </c>
      <c r="R23" s="11">
        <v>0</v>
      </c>
      <c r="S23" s="11">
        <v>97.1</v>
      </c>
      <c r="T23" s="11">
        <v>304.58</v>
      </c>
      <c r="U23" s="11">
        <v>0</v>
      </c>
      <c r="V23" s="33">
        <v>0</v>
      </c>
      <c r="W23" s="33">
        <v>62</v>
      </c>
      <c r="X23" s="11">
        <v>2611.5</v>
      </c>
      <c r="Y23" s="11">
        <v>450</v>
      </c>
      <c r="Z23" s="31">
        <f t="shared" si="22"/>
        <v>13.360000000000127</v>
      </c>
      <c r="AA23" s="32">
        <f t="shared" si="10"/>
        <v>19.25</v>
      </c>
      <c r="AB23" s="32">
        <f t="shared" si="17"/>
        <v>80</v>
      </c>
      <c r="AC23" s="32">
        <v>0</v>
      </c>
      <c r="AD23" s="33">
        <f t="shared" si="23"/>
        <v>55</v>
      </c>
      <c r="AE23" s="33">
        <v>71.2</v>
      </c>
      <c r="AF23" s="33"/>
      <c r="AG23" s="33">
        <f t="shared" si="24"/>
        <v>-126.2</v>
      </c>
    </row>
    <row r="24" spans="1:33" s="35" customFormat="1" ht="18.75">
      <c r="A24" s="58">
        <v>45123</v>
      </c>
      <c r="B24" s="10" t="s">
        <v>22</v>
      </c>
      <c r="C24" s="11">
        <v>5809.2</v>
      </c>
      <c r="D24" s="11">
        <f>3987.44+115.26</f>
        <v>4102.7</v>
      </c>
      <c r="E24" s="11">
        <v>0</v>
      </c>
      <c r="F24" s="11">
        <v>37</v>
      </c>
      <c r="G24" s="11">
        <v>145</v>
      </c>
      <c r="H24" s="11">
        <v>236</v>
      </c>
      <c r="I24" s="11">
        <f t="shared" si="25"/>
        <v>10339.9</v>
      </c>
      <c r="J24" s="11">
        <f>2019+45</f>
        <v>2064</v>
      </c>
      <c r="K24" s="11">
        <v>0</v>
      </c>
      <c r="L24" s="11">
        <f t="shared" si="26"/>
        <v>8230.9</v>
      </c>
      <c r="M24" s="11">
        <f>837.18+2673.98+4137.63</f>
        <v>7648.79</v>
      </c>
      <c r="N24" s="11">
        <v>0</v>
      </c>
      <c r="O24" s="11">
        <v>0</v>
      </c>
      <c r="P24" s="11">
        <v>64.92</v>
      </c>
      <c r="Q24" s="11">
        <v>0</v>
      </c>
      <c r="R24" s="11">
        <v>160.94999999999999</v>
      </c>
      <c r="S24" s="11">
        <v>129.09</v>
      </c>
      <c r="T24" s="11">
        <v>227.15</v>
      </c>
      <c r="U24" s="11">
        <v>115.26</v>
      </c>
      <c r="V24" s="33">
        <v>10</v>
      </c>
      <c r="W24" s="33">
        <v>74</v>
      </c>
      <c r="X24" s="11">
        <v>1858</v>
      </c>
      <c r="Y24" s="11">
        <v>450</v>
      </c>
      <c r="Z24" s="31">
        <f t="shared" si="22"/>
        <v>-6.7399999999997817</v>
      </c>
      <c r="AA24" s="32">
        <f t="shared" si="10"/>
        <v>0</v>
      </c>
      <c r="AB24" s="32">
        <f t="shared" si="17"/>
        <v>120</v>
      </c>
      <c r="AC24" s="32">
        <v>25</v>
      </c>
      <c r="AD24" s="33">
        <f t="shared" si="23"/>
        <v>216</v>
      </c>
      <c r="AE24" s="33">
        <v>20</v>
      </c>
      <c r="AF24" s="33">
        <v>3860</v>
      </c>
      <c r="AG24" s="33">
        <f t="shared" si="24"/>
        <v>3624</v>
      </c>
    </row>
    <row r="25" spans="1:33" ht="37.5" customHeight="1">
      <c r="A25" s="65" t="s">
        <v>27</v>
      </c>
      <c r="B25" s="66"/>
      <c r="C25" s="27">
        <f>SUM(C18:C24)</f>
        <v>56561.999999999993</v>
      </c>
      <c r="D25" s="27">
        <f t="shared" ref="D25:AG25" si="27">SUM(D18:D24)</f>
        <v>31125.480000000003</v>
      </c>
      <c r="E25" s="27">
        <f t="shared" si="27"/>
        <v>106</v>
      </c>
      <c r="F25" s="27">
        <f t="shared" si="27"/>
        <v>478</v>
      </c>
      <c r="G25" s="27">
        <f t="shared" si="27"/>
        <v>640</v>
      </c>
      <c r="H25" s="27">
        <f t="shared" si="27"/>
        <v>757.35</v>
      </c>
      <c r="I25" s="27">
        <f t="shared" si="27"/>
        <v>89771.04</v>
      </c>
      <c r="J25" s="27">
        <f t="shared" si="27"/>
        <v>16143.14</v>
      </c>
      <c r="K25" s="27">
        <f t="shared" si="27"/>
        <v>0</v>
      </c>
      <c r="L25" s="27">
        <f t="shared" si="27"/>
        <v>72944.789999999994</v>
      </c>
      <c r="M25" s="27">
        <f t="shared" si="27"/>
        <v>66709.329999999987</v>
      </c>
      <c r="N25" s="27">
        <f t="shared" si="27"/>
        <v>304.11</v>
      </c>
      <c r="O25" s="27">
        <f t="shared" si="27"/>
        <v>82.94</v>
      </c>
      <c r="P25" s="27">
        <f t="shared" si="27"/>
        <v>213.79000000000002</v>
      </c>
      <c r="Q25" s="27">
        <f t="shared" si="27"/>
        <v>923.99</v>
      </c>
      <c r="R25" s="27">
        <f t="shared" si="27"/>
        <v>2110.5299999999997</v>
      </c>
      <c r="S25" s="27">
        <f t="shared" si="27"/>
        <v>1672.7499999999998</v>
      </c>
      <c r="T25" s="27">
        <f t="shared" si="27"/>
        <v>927.35</v>
      </c>
      <c r="U25" s="27">
        <f t="shared" si="27"/>
        <v>2265.0000000000005</v>
      </c>
      <c r="V25" s="27">
        <f t="shared" si="27"/>
        <v>102.21000000000001</v>
      </c>
      <c r="W25" s="27">
        <f t="shared" si="27"/>
        <v>357.8</v>
      </c>
      <c r="X25" s="27">
        <f t="shared" si="27"/>
        <v>13482.2</v>
      </c>
      <c r="Y25" s="27">
        <f t="shared" si="27"/>
        <v>3150</v>
      </c>
      <c r="Z25" s="27">
        <f t="shared" si="27"/>
        <v>64.070000000000164</v>
      </c>
      <c r="AA25" s="27">
        <f t="shared" si="27"/>
        <v>-165.76000000000386</v>
      </c>
      <c r="AB25" s="27">
        <f t="shared" si="27"/>
        <v>375</v>
      </c>
      <c r="AC25" s="27">
        <f t="shared" si="27"/>
        <v>265</v>
      </c>
      <c r="AD25" s="27">
        <f t="shared" si="27"/>
        <v>505</v>
      </c>
      <c r="AE25" s="27">
        <f t="shared" si="27"/>
        <v>252.35000000000002</v>
      </c>
      <c r="AF25" s="27">
        <f t="shared" si="27"/>
        <v>3860</v>
      </c>
      <c r="AG25" s="27">
        <f t="shared" si="27"/>
        <v>3102.65</v>
      </c>
    </row>
    <row r="26" spans="1:33" ht="20.25" customHeight="1">
      <c r="A26" s="58">
        <v>45124</v>
      </c>
      <c r="B26" s="10" t="s">
        <v>23</v>
      </c>
      <c r="C26" s="11">
        <v>8179.85</v>
      </c>
      <c r="D26" s="11">
        <f>3467.21+208.8</f>
        <v>3676.01</v>
      </c>
      <c r="E26" s="11">
        <v>9</v>
      </c>
      <c r="F26" s="11">
        <v>47</v>
      </c>
      <c r="G26" s="11">
        <v>165</v>
      </c>
      <c r="H26" s="11">
        <v>368</v>
      </c>
      <c r="I26" s="11">
        <f t="shared" ref="I26:I32" si="28">SUM(C26:H26,V26)</f>
        <v>12464.99</v>
      </c>
      <c r="J26" s="11">
        <f>2668.8+5</f>
        <v>2673.8</v>
      </c>
      <c r="K26" s="11">
        <v>0</v>
      </c>
      <c r="L26" s="11">
        <f>SUM(M26:T26)</f>
        <v>9732.3599999999988</v>
      </c>
      <c r="M26" s="11">
        <f>836.87+2949.61+4881.25</f>
        <v>8667.73</v>
      </c>
      <c r="N26" s="11">
        <v>15.06</v>
      </c>
      <c r="O26" s="11">
        <v>0</v>
      </c>
      <c r="P26" s="11">
        <v>50</v>
      </c>
      <c r="Q26" s="11">
        <v>140.83000000000001</v>
      </c>
      <c r="R26" s="11">
        <v>481.48</v>
      </c>
      <c r="S26" s="11">
        <v>209.7</v>
      </c>
      <c r="T26" s="11">
        <v>167.56</v>
      </c>
      <c r="U26" s="11">
        <v>507.9</v>
      </c>
      <c r="V26" s="33">
        <v>20.13</v>
      </c>
      <c r="W26" s="33">
        <v>34</v>
      </c>
      <c r="X26" s="11">
        <v>2050</v>
      </c>
      <c r="Y26" s="11">
        <v>450</v>
      </c>
      <c r="Z26" s="31">
        <f t="shared" ref="Z26:Z32" si="29">SUM(U26,V26,W26,X26)-J26</f>
        <v>-61.770000000000437</v>
      </c>
      <c r="AA26" s="32">
        <f t="shared" si="10"/>
        <v>41.170000000000073</v>
      </c>
      <c r="AB26" s="32">
        <f t="shared" si="17"/>
        <v>85</v>
      </c>
      <c r="AC26" s="32">
        <v>80</v>
      </c>
      <c r="AD26" s="33">
        <f t="shared" ref="AD26:AD32" si="30">SUM(H26-AE26)</f>
        <v>348</v>
      </c>
      <c r="AE26" s="33">
        <v>20</v>
      </c>
      <c r="AF26" s="33"/>
      <c r="AG26" s="33">
        <f>SUM(AF26-H26)</f>
        <v>-368</v>
      </c>
    </row>
    <row r="27" spans="1:33" ht="20.25" customHeight="1">
      <c r="A27" s="58">
        <v>45125</v>
      </c>
      <c r="B27" s="10" t="s">
        <v>24</v>
      </c>
      <c r="C27" s="11">
        <v>8171.7</v>
      </c>
      <c r="D27" s="11">
        <v>3432.73</v>
      </c>
      <c r="E27" s="11">
        <v>35</v>
      </c>
      <c r="F27" s="11">
        <v>58</v>
      </c>
      <c r="G27" s="11">
        <v>76</v>
      </c>
      <c r="H27" s="11">
        <v>239</v>
      </c>
      <c r="I27" s="11">
        <f t="shared" si="28"/>
        <v>12160.880000000001</v>
      </c>
      <c r="J27" s="11">
        <v>2208.5300000000002</v>
      </c>
      <c r="K27" s="11">
        <v>0</v>
      </c>
      <c r="L27" s="11">
        <f>SUM(M27:T27)</f>
        <v>9582.4699999999957</v>
      </c>
      <c r="M27" s="11">
        <f>1080.2+2574.99+4836.98</f>
        <v>8492.1699999999983</v>
      </c>
      <c r="N27" s="11">
        <v>134.38999999999999</v>
      </c>
      <c r="O27" s="11">
        <v>0</v>
      </c>
      <c r="P27" s="11">
        <v>65.760000000000005</v>
      </c>
      <c r="Q27" s="11">
        <v>72.650000000000006</v>
      </c>
      <c r="R27" s="11">
        <v>475.15</v>
      </c>
      <c r="S27" s="11">
        <v>255.55</v>
      </c>
      <c r="T27" s="11">
        <v>86.8</v>
      </c>
      <c r="U27" s="11">
        <v>10.8</v>
      </c>
      <c r="V27" s="33">
        <v>148.44999999999999</v>
      </c>
      <c r="W27" s="33">
        <v>14</v>
      </c>
      <c r="X27" s="11">
        <v>2065</v>
      </c>
      <c r="Y27" s="11">
        <v>450</v>
      </c>
      <c r="Z27" s="31">
        <f t="shared" si="29"/>
        <v>29.7199999999998</v>
      </c>
      <c r="AA27" s="32">
        <f t="shared" si="10"/>
        <v>-94.880000000004657</v>
      </c>
      <c r="AB27" s="32">
        <f t="shared" si="17"/>
        <v>0</v>
      </c>
      <c r="AC27" s="32">
        <v>76</v>
      </c>
      <c r="AD27" s="33">
        <f t="shared" si="30"/>
        <v>40</v>
      </c>
      <c r="AE27" s="33">
        <v>199</v>
      </c>
      <c r="AF27" s="33"/>
      <c r="AG27" s="33">
        <f t="shared" ref="AG27:AG32" si="31">SUM(AF27-H27)</f>
        <v>-239</v>
      </c>
    </row>
    <row r="28" spans="1:33" ht="20.25" customHeight="1">
      <c r="A28" s="58">
        <v>45126</v>
      </c>
      <c r="B28" s="10" t="s">
        <v>25</v>
      </c>
      <c r="C28" s="11">
        <v>7622.05</v>
      </c>
      <c r="D28" s="11">
        <v>4225.03</v>
      </c>
      <c r="E28" s="11">
        <v>10</v>
      </c>
      <c r="F28" s="11">
        <v>37</v>
      </c>
      <c r="G28" s="11">
        <v>50</v>
      </c>
      <c r="H28" s="11">
        <v>20</v>
      </c>
      <c r="I28" s="11">
        <f>SUM(C28:H28,V28)</f>
        <v>11970.08</v>
      </c>
      <c r="J28" s="11">
        <v>2196.52</v>
      </c>
      <c r="K28" s="11">
        <v>0</v>
      </c>
      <c r="L28" s="11">
        <f t="shared" ref="L28:L32" si="32">SUM(M28:T28)</f>
        <v>9713.56</v>
      </c>
      <c r="M28" s="11">
        <f>1075.88+2607.05+5062.44</f>
        <v>8745.369999999999</v>
      </c>
      <c r="N28" s="11">
        <v>0</v>
      </c>
      <c r="O28" s="11">
        <v>0</v>
      </c>
      <c r="P28" s="11">
        <v>30.03</v>
      </c>
      <c r="Q28" s="11">
        <v>0</v>
      </c>
      <c r="R28" s="11">
        <v>839.1</v>
      </c>
      <c r="S28" s="11">
        <v>57.96</v>
      </c>
      <c r="T28" s="11">
        <v>41.1</v>
      </c>
      <c r="U28" s="11">
        <v>310.77</v>
      </c>
      <c r="V28" s="33">
        <v>6</v>
      </c>
      <c r="W28" s="33">
        <v>5</v>
      </c>
      <c r="X28" s="11">
        <v>1850</v>
      </c>
      <c r="Y28" s="11">
        <v>450</v>
      </c>
      <c r="Z28" s="31">
        <f t="shared" si="29"/>
        <v>-24.75</v>
      </c>
      <c r="AA28" s="32">
        <f t="shared" si="10"/>
        <v>0</v>
      </c>
      <c r="AB28" s="32">
        <f t="shared" si="17"/>
        <v>0</v>
      </c>
      <c r="AC28" s="32">
        <v>50</v>
      </c>
      <c r="AD28" s="33">
        <f t="shared" si="30"/>
        <v>10</v>
      </c>
      <c r="AE28" s="33">
        <v>10</v>
      </c>
      <c r="AF28" s="33"/>
      <c r="AG28" s="33">
        <f t="shared" si="31"/>
        <v>-20</v>
      </c>
    </row>
    <row r="29" spans="1:33" ht="20.25" customHeight="1">
      <c r="A29" s="58">
        <v>45127</v>
      </c>
      <c r="B29" s="10" t="s">
        <v>26</v>
      </c>
      <c r="C29" s="11">
        <v>8365.2000000000007</v>
      </c>
      <c r="D29" s="11">
        <v>4177.55</v>
      </c>
      <c r="E29" s="11">
        <v>15</v>
      </c>
      <c r="F29" s="11">
        <v>43</v>
      </c>
      <c r="G29" s="11">
        <v>65</v>
      </c>
      <c r="H29" s="11">
        <v>249</v>
      </c>
      <c r="I29" s="11">
        <f t="shared" si="28"/>
        <v>12960.61</v>
      </c>
      <c r="J29" s="11">
        <v>2512.8000000000002</v>
      </c>
      <c r="K29" s="11">
        <v>0</v>
      </c>
      <c r="L29" s="11">
        <f t="shared" si="32"/>
        <v>10208.25</v>
      </c>
      <c r="M29" s="11">
        <f>687.25+2774.62+5342.09</f>
        <v>8803.9599999999991</v>
      </c>
      <c r="N29" s="11">
        <v>77.37</v>
      </c>
      <c r="O29" s="11">
        <v>0</v>
      </c>
      <c r="P29" s="11">
        <v>0</v>
      </c>
      <c r="Q29" s="11">
        <v>415.08</v>
      </c>
      <c r="R29" s="11">
        <v>492.42</v>
      </c>
      <c r="S29" s="11">
        <v>297.77</v>
      </c>
      <c r="T29" s="11">
        <v>121.65</v>
      </c>
      <c r="U29" s="11">
        <v>0</v>
      </c>
      <c r="V29" s="33">
        <v>45.86</v>
      </c>
      <c r="W29" s="33">
        <v>28</v>
      </c>
      <c r="X29" s="11">
        <v>2460</v>
      </c>
      <c r="Y29" s="11">
        <v>450</v>
      </c>
      <c r="Z29" s="31">
        <f t="shared" si="29"/>
        <v>21.059999999999945</v>
      </c>
      <c r="AA29" s="32">
        <f t="shared" si="10"/>
        <v>-20.56000000000131</v>
      </c>
      <c r="AB29" s="32">
        <f t="shared" si="17"/>
        <v>35</v>
      </c>
      <c r="AC29" s="32">
        <v>30</v>
      </c>
      <c r="AD29" s="33">
        <f t="shared" si="30"/>
        <v>60</v>
      </c>
      <c r="AE29" s="33">
        <v>189</v>
      </c>
      <c r="AF29" s="33"/>
      <c r="AG29" s="33">
        <f t="shared" si="31"/>
        <v>-249</v>
      </c>
    </row>
    <row r="30" spans="1:33" ht="20.25" customHeight="1">
      <c r="A30" s="58">
        <v>45128</v>
      </c>
      <c r="B30" s="10" t="s">
        <v>20</v>
      </c>
      <c r="C30" s="11">
        <v>9081.77</v>
      </c>
      <c r="D30" s="11">
        <v>5467.87</v>
      </c>
      <c r="E30" s="11">
        <v>15</v>
      </c>
      <c r="F30" s="11">
        <v>96</v>
      </c>
      <c r="G30" s="11">
        <v>100</v>
      </c>
      <c r="H30" s="11">
        <v>54.5</v>
      </c>
      <c r="I30" s="11">
        <f t="shared" si="28"/>
        <v>14826.64</v>
      </c>
      <c r="J30" s="11">
        <v>2991.17</v>
      </c>
      <c r="K30" s="11">
        <v>0</v>
      </c>
      <c r="L30" s="11">
        <f t="shared" si="32"/>
        <v>11681.54</v>
      </c>
      <c r="M30" s="11">
        <f>747.07+3343.76+5903.61</f>
        <v>9994.44</v>
      </c>
      <c r="N30" s="11">
        <v>67.06</v>
      </c>
      <c r="O30" s="11">
        <v>0</v>
      </c>
      <c r="P30" s="11">
        <v>40.03</v>
      </c>
      <c r="Q30" s="11">
        <v>130.36000000000001</v>
      </c>
      <c r="R30" s="11">
        <v>891.23</v>
      </c>
      <c r="S30" s="11">
        <v>261</v>
      </c>
      <c r="T30" s="11">
        <v>297.42</v>
      </c>
      <c r="U30" s="11">
        <v>299.8</v>
      </c>
      <c r="V30" s="33">
        <v>11.5</v>
      </c>
      <c r="W30" s="33">
        <v>64</v>
      </c>
      <c r="X30" s="11">
        <v>2622</v>
      </c>
      <c r="Y30" s="11">
        <v>450</v>
      </c>
      <c r="Z30" s="31">
        <f t="shared" si="29"/>
        <v>6.1300000000001091</v>
      </c>
      <c r="AA30" s="32">
        <f t="shared" si="10"/>
        <v>-119.42999999999847</v>
      </c>
      <c r="AB30" s="32">
        <f t="shared" si="17"/>
        <v>100</v>
      </c>
      <c r="AC30" s="32">
        <v>0</v>
      </c>
      <c r="AD30" s="33">
        <f t="shared" si="30"/>
        <v>20</v>
      </c>
      <c r="AE30" s="33">
        <v>34.5</v>
      </c>
      <c r="AF30" s="33"/>
      <c r="AG30" s="33">
        <f t="shared" si="31"/>
        <v>-54.5</v>
      </c>
    </row>
    <row r="31" spans="1:33" ht="20.25" customHeight="1">
      <c r="A31" s="58">
        <v>45129</v>
      </c>
      <c r="B31" s="10" t="s">
        <v>21</v>
      </c>
      <c r="C31" s="11">
        <v>6828.15</v>
      </c>
      <c r="D31" s="11">
        <v>4799.72</v>
      </c>
      <c r="E31" s="11">
        <v>16</v>
      </c>
      <c r="F31" s="11">
        <v>44</v>
      </c>
      <c r="G31" s="11">
        <v>50</v>
      </c>
      <c r="H31" s="11">
        <v>253</v>
      </c>
      <c r="I31" s="11">
        <f t="shared" si="28"/>
        <v>11992.869999999999</v>
      </c>
      <c r="J31" s="11">
        <f>2421.39+10</f>
        <v>2431.39</v>
      </c>
      <c r="K31" s="11">
        <v>0</v>
      </c>
      <c r="L31" s="11">
        <f t="shared" si="32"/>
        <v>9437.48</v>
      </c>
      <c r="M31" s="11">
        <f>704.68+3100.41+5109.66</f>
        <v>8914.75</v>
      </c>
      <c r="N31" s="11">
        <v>69.78</v>
      </c>
      <c r="O31" s="11">
        <v>0</v>
      </c>
      <c r="P31" s="11">
        <v>126.13</v>
      </c>
      <c r="Q31" s="11">
        <v>139.16</v>
      </c>
      <c r="R31" s="11">
        <v>20</v>
      </c>
      <c r="S31" s="11">
        <v>156.33000000000001</v>
      </c>
      <c r="T31" s="11">
        <v>11.33</v>
      </c>
      <c r="U31" s="11">
        <v>0</v>
      </c>
      <c r="V31" s="33">
        <v>2</v>
      </c>
      <c r="W31" s="33">
        <v>34</v>
      </c>
      <c r="X31" s="11">
        <v>2399</v>
      </c>
      <c r="Y31" s="11">
        <v>450</v>
      </c>
      <c r="Z31" s="31">
        <f t="shared" si="29"/>
        <v>3.6100000000001273</v>
      </c>
      <c r="AA31" s="32">
        <f t="shared" si="10"/>
        <v>0</v>
      </c>
      <c r="AB31" s="32">
        <f t="shared" si="17"/>
        <v>0</v>
      </c>
      <c r="AC31" s="32">
        <v>50</v>
      </c>
      <c r="AD31" s="33">
        <f t="shared" si="30"/>
        <v>179</v>
      </c>
      <c r="AE31" s="33">
        <v>74</v>
      </c>
      <c r="AF31" s="33"/>
      <c r="AG31" s="33">
        <f t="shared" si="31"/>
        <v>-253</v>
      </c>
    </row>
    <row r="32" spans="1:33" ht="20.25" customHeight="1">
      <c r="A32" s="58">
        <v>45130</v>
      </c>
      <c r="B32" s="10" t="s">
        <v>22</v>
      </c>
      <c r="C32" s="11">
        <v>7192.13</v>
      </c>
      <c r="D32" s="11">
        <v>4235.42</v>
      </c>
      <c r="E32" s="11">
        <v>0</v>
      </c>
      <c r="F32" s="11">
        <v>29</v>
      </c>
      <c r="G32" s="11">
        <v>30</v>
      </c>
      <c r="H32" s="11">
        <v>205</v>
      </c>
      <c r="I32" s="11">
        <f t="shared" si="28"/>
        <v>11708.56</v>
      </c>
      <c r="J32" s="11">
        <v>1865.87</v>
      </c>
      <c r="K32" s="11">
        <v>0</v>
      </c>
      <c r="L32" s="11">
        <f t="shared" si="32"/>
        <v>9832.6899999999987</v>
      </c>
      <c r="M32" s="11">
        <f>848.13+3042.39+4935.32</f>
        <v>8825.84</v>
      </c>
      <c r="N32" s="11">
        <v>54.75</v>
      </c>
      <c r="O32" s="11">
        <v>0</v>
      </c>
      <c r="P32" s="11">
        <v>45</v>
      </c>
      <c r="Q32" s="11">
        <v>414.96</v>
      </c>
      <c r="R32" s="11">
        <v>60.01</v>
      </c>
      <c r="S32" s="11">
        <v>325.20999999999998</v>
      </c>
      <c r="T32" s="11">
        <v>106.92</v>
      </c>
      <c r="U32" s="11">
        <v>141.72999999999999</v>
      </c>
      <c r="V32" s="33">
        <v>17.010000000000002</v>
      </c>
      <c r="W32" s="33">
        <v>11</v>
      </c>
      <c r="X32" s="11">
        <v>1707</v>
      </c>
      <c r="Y32" s="11">
        <v>450</v>
      </c>
      <c r="Z32" s="31">
        <f t="shared" si="29"/>
        <v>10.870000000000118</v>
      </c>
      <c r="AA32" s="32">
        <f t="shared" si="10"/>
        <v>0</v>
      </c>
      <c r="AB32" s="32">
        <f t="shared" si="17"/>
        <v>30</v>
      </c>
      <c r="AC32" s="32">
        <v>0</v>
      </c>
      <c r="AD32" s="33">
        <f t="shared" si="30"/>
        <v>195</v>
      </c>
      <c r="AE32" s="33">
        <v>10</v>
      </c>
      <c r="AF32" s="33">
        <v>3660</v>
      </c>
      <c r="AG32" s="33">
        <f t="shared" si="31"/>
        <v>3455</v>
      </c>
    </row>
    <row r="33" spans="1:33" ht="37.5" customHeight="1">
      <c r="A33" s="65" t="s">
        <v>27</v>
      </c>
      <c r="B33" s="66"/>
      <c r="C33" s="27">
        <f t="shared" ref="C33:AG33" si="33">SUM(C26:C32)</f>
        <v>55440.85</v>
      </c>
      <c r="D33" s="27">
        <f t="shared" si="33"/>
        <v>30014.33</v>
      </c>
      <c r="E33" s="27">
        <f t="shared" si="33"/>
        <v>100</v>
      </c>
      <c r="F33" s="27">
        <f t="shared" si="33"/>
        <v>354</v>
      </c>
      <c r="G33" s="27">
        <f t="shared" si="33"/>
        <v>536</v>
      </c>
      <c r="H33" s="27">
        <f t="shared" si="33"/>
        <v>1388.5</v>
      </c>
      <c r="I33" s="27">
        <f t="shared" si="33"/>
        <v>88084.63</v>
      </c>
      <c r="J33" s="27">
        <f t="shared" si="33"/>
        <v>16880.080000000002</v>
      </c>
      <c r="K33" s="27">
        <f t="shared" si="33"/>
        <v>0</v>
      </c>
      <c r="L33" s="27">
        <f t="shared" si="33"/>
        <v>70188.349999999991</v>
      </c>
      <c r="M33" s="27">
        <f t="shared" si="33"/>
        <v>62444.259999999995</v>
      </c>
      <c r="N33" s="27">
        <f t="shared" si="33"/>
        <v>418.40999999999997</v>
      </c>
      <c r="O33" s="27">
        <f t="shared" si="33"/>
        <v>0</v>
      </c>
      <c r="P33" s="27">
        <f t="shared" si="33"/>
        <v>356.95000000000005</v>
      </c>
      <c r="Q33" s="27">
        <f t="shared" si="33"/>
        <v>1313.04</v>
      </c>
      <c r="R33" s="27">
        <f t="shared" si="33"/>
        <v>3259.3900000000003</v>
      </c>
      <c r="S33" s="27">
        <f t="shared" si="33"/>
        <v>1563.52</v>
      </c>
      <c r="T33" s="27">
        <f t="shared" si="33"/>
        <v>832.78</v>
      </c>
      <c r="U33" s="27">
        <f t="shared" si="33"/>
        <v>1271</v>
      </c>
      <c r="V33" s="27">
        <f t="shared" si="33"/>
        <v>250.95</v>
      </c>
      <c r="W33" s="27">
        <f t="shared" si="33"/>
        <v>190</v>
      </c>
      <c r="X33" s="27">
        <f t="shared" si="33"/>
        <v>15153</v>
      </c>
      <c r="Y33" s="27">
        <f t="shared" si="33"/>
        <v>3150</v>
      </c>
      <c r="Z33" s="27">
        <f t="shared" si="33"/>
        <v>-15.130000000000337</v>
      </c>
      <c r="AA33" s="27">
        <f t="shared" si="33"/>
        <v>-193.70000000000437</v>
      </c>
      <c r="AB33" s="27">
        <f t="shared" si="33"/>
        <v>250</v>
      </c>
      <c r="AC33" s="27">
        <f t="shared" si="33"/>
        <v>286</v>
      </c>
      <c r="AD33" s="27">
        <f t="shared" si="33"/>
        <v>852</v>
      </c>
      <c r="AE33" s="27">
        <f t="shared" si="33"/>
        <v>536.5</v>
      </c>
      <c r="AF33" s="27">
        <f t="shared" si="33"/>
        <v>3660</v>
      </c>
      <c r="AG33" s="27">
        <f t="shared" si="33"/>
        <v>2271.5</v>
      </c>
    </row>
    <row r="34" spans="1:33" ht="20.25" customHeight="1">
      <c r="A34" s="58">
        <v>45131</v>
      </c>
      <c r="B34" s="10" t="s">
        <v>23</v>
      </c>
      <c r="C34" s="11">
        <f>8707.77+25.26</f>
        <v>8733.0300000000007</v>
      </c>
      <c r="D34" s="11">
        <v>4130.22</v>
      </c>
      <c r="E34" s="11">
        <v>20</v>
      </c>
      <c r="F34" s="11">
        <v>45</v>
      </c>
      <c r="G34" s="11">
        <v>95</v>
      </c>
      <c r="H34" s="11">
        <v>159</v>
      </c>
      <c r="I34" s="11">
        <f t="shared" ref="I34:I40" si="34">SUM(C34:H34,V34)</f>
        <v>13267.25</v>
      </c>
      <c r="J34" s="11">
        <v>2195.79</v>
      </c>
      <c r="K34" s="11">
        <v>0</v>
      </c>
      <c r="L34" s="11">
        <f>SUM(M34:T34)</f>
        <v>10877.2</v>
      </c>
      <c r="M34" s="11">
        <f>911.37+3248.37+5420.89</f>
        <v>9580.630000000001</v>
      </c>
      <c r="N34" s="11">
        <v>50.12</v>
      </c>
      <c r="O34" s="11">
        <v>0</v>
      </c>
      <c r="P34" s="11">
        <v>0</v>
      </c>
      <c r="Q34" s="11">
        <v>348.65</v>
      </c>
      <c r="R34" s="11">
        <v>721.41</v>
      </c>
      <c r="S34" s="11">
        <v>87.18</v>
      </c>
      <c r="T34" s="11">
        <v>89.21</v>
      </c>
      <c r="U34" s="11">
        <v>0</v>
      </c>
      <c r="V34" s="33">
        <v>85</v>
      </c>
      <c r="W34" s="33">
        <v>10</v>
      </c>
      <c r="X34" s="11">
        <v>2116</v>
      </c>
      <c r="Y34" s="11">
        <v>450</v>
      </c>
      <c r="Z34" s="31">
        <f t="shared" ref="Z34:Z40" si="35">SUM(U34,V34,W34,X34)-J34</f>
        <v>15.210000000000036</v>
      </c>
      <c r="AA34" s="32">
        <f t="shared" ref="AA34:AA40" si="36">SUM(J34+K34+L34+AE34+AC34)-(I34)</f>
        <v>-25.259999999998399</v>
      </c>
      <c r="AB34" s="32">
        <f t="shared" ref="AB34:AB40" si="37">SUM(G34-AC34)</f>
        <v>35</v>
      </c>
      <c r="AC34" s="32">
        <v>60</v>
      </c>
      <c r="AD34" s="33">
        <f t="shared" ref="AD34:AD40" si="38">SUM(H34-AE34)</f>
        <v>50</v>
      </c>
      <c r="AE34" s="33">
        <v>109</v>
      </c>
      <c r="AF34" s="33"/>
      <c r="AG34" s="33">
        <f t="shared" ref="AG34:AG40" si="39">SUM(AF34-H34)</f>
        <v>-159</v>
      </c>
    </row>
    <row r="35" spans="1:33" ht="20.25" customHeight="1">
      <c r="A35" s="58">
        <v>45132</v>
      </c>
      <c r="B35" s="10" t="s">
        <v>24</v>
      </c>
      <c r="C35" s="11">
        <v>8222.25</v>
      </c>
      <c r="D35" s="11">
        <v>4240.54</v>
      </c>
      <c r="E35" s="11">
        <v>22</v>
      </c>
      <c r="F35" s="11">
        <v>48</v>
      </c>
      <c r="G35" s="11">
        <v>50</v>
      </c>
      <c r="H35" s="11">
        <v>130</v>
      </c>
      <c r="I35" s="11">
        <f t="shared" si="34"/>
        <v>12769.79</v>
      </c>
      <c r="J35" s="11">
        <f>2592.06-8</f>
        <v>2584.06</v>
      </c>
      <c r="K35" s="11">
        <v>0</v>
      </c>
      <c r="L35" s="11">
        <f t="shared" ref="L35:L40" si="40">SUM(M35:T35)</f>
        <v>10055.73</v>
      </c>
      <c r="M35" s="11">
        <f>553.91+2913.72+5578.85</f>
        <v>9046.48</v>
      </c>
      <c r="N35" s="11">
        <v>2.98</v>
      </c>
      <c r="O35" s="11">
        <v>0</v>
      </c>
      <c r="P35" s="11">
        <v>35</v>
      </c>
      <c r="Q35" s="11">
        <v>178.74</v>
      </c>
      <c r="R35" s="11">
        <v>286.17</v>
      </c>
      <c r="S35" s="11">
        <v>364.5</v>
      </c>
      <c r="T35" s="11">
        <v>141.86000000000001</v>
      </c>
      <c r="U35" s="11">
        <v>275.5</v>
      </c>
      <c r="V35" s="33">
        <v>57</v>
      </c>
      <c r="W35" s="33">
        <v>20</v>
      </c>
      <c r="X35" s="11">
        <v>2214.75</v>
      </c>
      <c r="Y35" s="11">
        <v>450</v>
      </c>
      <c r="Z35" s="31">
        <f t="shared" si="35"/>
        <v>-16.809999999999945</v>
      </c>
      <c r="AA35" s="32">
        <f t="shared" si="36"/>
        <v>0</v>
      </c>
      <c r="AB35" s="32">
        <f t="shared" si="37"/>
        <v>20</v>
      </c>
      <c r="AC35" s="32">
        <v>30</v>
      </c>
      <c r="AD35" s="33">
        <f t="shared" si="38"/>
        <v>30</v>
      </c>
      <c r="AE35" s="33">
        <v>100</v>
      </c>
      <c r="AF35" s="33"/>
      <c r="AG35" s="33">
        <f t="shared" si="39"/>
        <v>-130</v>
      </c>
    </row>
    <row r="36" spans="1:33" ht="20.25" customHeight="1">
      <c r="A36" s="58">
        <v>45133</v>
      </c>
      <c r="B36" s="10" t="s">
        <v>25</v>
      </c>
      <c r="C36" s="11">
        <v>8438.76</v>
      </c>
      <c r="D36" s="11">
        <v>4420.74</v>
      </c>
      <c r="E36" s="11">
        <v>7</v>
      </c>
      <c r="F36" s="11">
        <v>34</v>
      </c>
      <c r="G36" s="11">
        <v>88</v>
      </c>
      <c r="H36" s="11">
        <v>40</v>
      </c>
      <c r="I36" s="11">
        <f t="shared" si="34"/>
        <v>13056</v>
      </c>
      <c r="J36" s="11">
        <v>2702.44</v>
      </c>
      <c r="K36" s="11">
        <v>0</v>
      </c>
      <c r="L36" s="11">
        <f t="shared" si="40"/>
        <v>10154.640000000001</v>
      </c>
      <c r="M36" s="11">
        <f>819.98+3387.51+4737.27</f>
        <v>8944.76</v>
      </c>
      <c r="N36" s="11">
        <v>80.650000000000006</v>
      </c>
      <c r="O36" s="11">
        <v>0</v>
      </c>
      <c r="P36" s="11">
        <v>50.03</v>
      </c>
      <c r="Q36" s="11">
        <v>117.75</v>
      </c>
      <c r="R36" s="11">
        <v>510.92</v>
      </c>
      <c r="S36" s="11">
        <v>399.91</v>
      </c>
      <c r="T36" s="11">
        <v>50.62</v>
      </c>
      <c r="U36" s="11">
        <v>324.41000000000003</v>
      </c>
      <c r="V36" s="33">
        <v>27.5</v>
      </c>
      <c r="W36" s="33">
        <v>98</v>
      </c>
      <c r="X36" s="11">
        <v>2255</v>
      </c>
      <c r="Y36" s="11">
        <v>450</v>
      </c>
      <c r="Z36" s="31">
        <f t="shared" si="35"/>
        <v>2.4699999999997999</v>
      </c>
      <c r="AA36" s="32">
        <f t="shared" si="36"/>
        <v>-90.919999999998254</v>
      </c>
      <c r="AB36" s="32">
        <f t="shared" si="37"/>
        <v>0</v>
      </c>
      <c r="AC36" s="32">
        <v>88</v>
      </c>
      <c r="AD36" s="33">
        <f t="shared" si="38"/>
        <v>20</v>
      </c>
      <c r="AE36" s="33">
        <v>20</v>
      </c>
      <c r="AF36" s="33"/>
      <c r="AG36" s="33">
        <f t="shared" si="39"/>
        <v>-40</v>
      </c>
    </row>
    <row r="37" spans="1:33" ht="20.25" customHeight="1">
      <c r="A37" s="58">
        <v>45134</v>
      </c>
      <c r="B37" s="10" t="s">
        <v>26</v>
      </c>
      <c r="C37" s="11">
        <v>8575.3799999999992</v>
      </c>
      <c r="D37" s="11">
        <f>3524.59+820.9</f>
        <v>4345.49</v>
      </c>
      <c r="E37" s="11">
        <v>11</v>
      </c>
      <c r="F37" s="11">
        <v>79</v>
      </c>
      <c r="G37" s="11">
        <v>95</v>
      </c>
      <c r="H37" s="11">
        <v>73.33</v>
      </c>
      <c r="I37" s="11">
        <f t="shared" ref="I37:I38" si="41">SUM(C37:H37,V37)</f>
        <v>13180.199999999999</v>
      </c>
      <c r="J37" s="11">
        <v>2672.2</v>
      </c>
      <c r="K37" s="11">
        <v>0</v>
      </c>
      <c r="L37" s="11">
        <f t="shared" ref="L37:L38" si="42">SUM(M37:T37)</f>
        <v>10473</v>
      </c>
      <c r="M37" s="11">
        <f>804.47+3434.16+5481.67</f>
        <v>9720.2999999999993</v>
      </c>
      <c r="N37" s="11">
        <v>0</v>
      </c>
      <c r="O37" s="11">
        <v>0</v>
      </c>
      <c r="P37" s="11">
        <v>100.1</v>
      </c>
      <c r="Q37" s="11">
        <v>169.87</v>
      </c>
      <c r="R37" s="11">
        <v>355.88</v>
      </c>
      <c r="S37" s="11">
        <v>0</v>
      </c>
      <c r="T37" s="11">
        <v>126.85</v>
      </c>
      <c r="U37" s="11">
        <v>820.9</v>
      </c>
      <c r="V37" s="33">
        <v>1</v>
      </c>
      <c r="W37" s="33">
        <v>79</v>
      </c>
      <c r="X37" s="11">
        <v>1765</v>
      </c>
      <c r="Y37" s="11">
        <v>450</v>
      </c>
      <c r="Z37" s="31">
        <f t="shared" ref="Z37:Z38" si="43">SUM(U37,V37,W37,X37)-J37</f>
        <v>-6.2999999999997272</v>
      </c>
      <c r="AA37" s="32">
        <f t="shared" ref="AA37:AA38" si="44">SUM(J37+K37+L37+AE37+AC37)-(I37)</f>
        <v>0</v>
      </c>
      <c r="AB37" s="32">
        <f t="shared" ref="AB37:AB38" si="45">SUM(G37-AC37)</f>
        <v>95</v>
      </c>
      <c r="AC37" s="32">
        <v>0</v>
      </c>
      <c r="AD37" s="33">
        <f t="shared" ref="AD37:AD38" si="46">SUM(H37-AE37)</f>
        <v>38.33</v>
      </c>
      <c r="AE37" s="33">
        <v>35</v>
      </c>
      <c r="AF37" s="33"/>
      <c r="AG37" s="33">
        <f t="shared" ref="AG37:AG38" si="47">SUM(AF37-H37)</f>
        <v>-73.33</v>
      </c>
    </row>
    <row r="38" spans="1:33" ht="20.25" customHeight="1">
      <c r="A38" s="58">
        <v>45135</v>
      </c>
      <c r="B38" s="10" t="s">
        <v>20</v>
      </c>
      <c r="C38" s="11">
        <v>8788.3700000000008</v>
      </c>
      <c r="D38" s="11">
        <v>5751.48</v>
      </c>
      <c r="E38" s="11">
        <v>22.5</v>
      </c>
      <c r="F38" s="11">
        <v>98</v>
      </c>
      <c r="G38" s="11">
        <v>15</v>
      </c>
      <c r="H38" s="11">
        <v>290.23</v>
      </c>
      <c r="I38" s="11">
        <f t="shared" si="41"/>
        <v>14965.58</v>
      </c>
      <c r="J38" s="11">
        <f>2567.15+16</f>
        <v>2583.15</v>
      </c>
      <c r="K38" s="11">
        <v>0</v>
      </c>
      <c r="L38" s="11">
        <f t="shared" si="42"/>
        <v>12291.2</v>
      </c>
      <c r="M38" s="11">
        <f>806.07+3404.15+6599.22</f>
        <v>10809.44</v>
      </c>
      <c r="N38" s="11">
        <v>157.63999999999999</v>
      </c>
      <c r="O38" s="11">
        <v>0</v>
      </c>
      <c r="P38" s="11">
        <v>0</v>
      </c>
      <c r="Q38" s="11">
        <v>157.22999999999999</v>
      </c>
      <c r="R38" s="11">
        <v>549.44000000000005</v>
      </c>
      <c r="S38" s="11">
        <f>79.44+117.42+126.67+151.66</f>
        <v>475.19000000000005</v>
      </c>
      <c r="T38" s="11">
        <v>142.26</v>
      </c>
      <c r="U38" s="11">
        <v>0</v>
      </c>
      <c r="V38" s="33">
        <v>0</v>
      </c>
      <c r="W38" s="33">
        <v>56</v>
      </c>
      <c r="X38" s="11">
        <v>2513</v>
      </c>
      <c r="Y38" s="11">
        <v>450</v>
      </c>
      <c r="Z38" s="31">
        <f t="shared" si="43"/>
        <v>-14.150000000000091</v>
      </c>
      <c r="AA38" s="32">
        <f t="shared" si="44"/>
        <v>0</v>
      </c>
      <c r="AB38" s="32">
        <f t="shared" si="45"/>
        <v>15</v>
      </c>
      <c r="AC38" s="32">
        <v>0</v>
      </c>
      <c r="AD38" s="33">
        <f t="shared" si="46"/>
        <v>199</v>
      </c>
      <c r="AE38" s="33">
        <v>91.23</v>
      </c>
      <c r="AF38" s="33"/>
      <c r="AG38" s="33">
        <f t="shared" si="47"/>
        <v>-290.23</v>
      </c>
    </row>
    <row r="39" spans="1:33" ht="20.25" customHeight="1">
      <c r="A39" s="58">
        <v>45136</v>
      </c>
      <c r="B39" s="10" t="s">
        <v>21</v>
      </c>
      <c r="C39" s="11">
        <v>6565.33</v>
      </c>
      <c r="D39" s="11">
        <v>5488.09</v>
      </c>
      <c r="E39" s="11">
        <v>19</v>
      </c>
      <c r="F39" s="11">
        <v>107</v>
      </c>
      <c r="G39" s="11">
        <v>35</v>
      </c>
      <c r="H39" s="11">
        <v>35</v>
      </c>
      <c r="I39" s="11">
        <f t="shared" si="34"/>
        <v>12271.42</v>
      </c>
      <c r="J39" s="11">
        <f>2668.85+10</f>
        <v>2678.85</v>
      </c>
      <c r="K39" s="11">
        <v>0</v>
      </c>
      <c r="L39" s="11">
        <f t="shared" si="40"/>
        <v>9577.5700000000015</v>
      </c>
      <c r="M39" s="11">
        <f>5436.07+3209.27+554.11</f>
        <v>9199.4500000000007</v>
      </c>
      <c r="N39" s="11">
        <v>30.49</v>
      </c>
      <c r="O39" s="11">
        <v>0</v>
      </c>
      <c r="P39" s="11">
        <v>0</v>
      </c>
      <c r="Q39" s="11">
        <v>0</v>
      </c>
      <c r="R39" s="11">
        <v>194.74</v>
      </c>
      <c r="S39" s="11">
        <v>52.19</v>
      </c>
      <c r="T39" s="11">
        <v>100.7</v>
      </c>
      <c r="U39" s="11">
        <v>0</v>
      </c>
      <c r="V39" s="33">
        <v>22</v>
      </c>
      <c r="W39" s="33">
        <v>45</v>
      </c>
      <c r="X39" s="11">
        <v>2615</v>
      </c>
      <c r="Y39" s="11">
        <v>450</v>
      </c>
      <c r="Z39" s="31">
        <f t="shared" si="35"/>
        <v>3.1500000000000909</v>
      </c>
      <c r="AA39" s="32">
        <f t="shared" si="36"/>
        <v>0</v>
      </c>
      <c r="AB39" s="32">
        <f t="shared" si="37"/>
        <v>20</v>
      </c>
      <c r="AC39" s="32">
        <v>15</v>
      </c>
      <c r="AD39" s="33">
        <f t="shared" si="38"/>
        <v>35</v>
      </c>
      <c r="AE39" s="33">
        <v>0</v>
      </c>
      <c r="AF39" s="33"/>
      <c r="AG39" s="33">
        <f t="shared" si="39"/>
        <v>-35</v>
      </c>
    </row>
    <row r="40" spans="1:33" ht="20.25" customHeight="1">
      <c r="A40" s="58">
        <v>45137</v>
      </c>
      <c r="B40" s="10" t="s">
        <v>22</v>
      </c>
      <c r="C40" s="11">
        <v>6556.17</v>
      </c>
      <c r="D40" s="11">
        <v>4272.6400000000003</v>
      </c>
      <c r="E40" s="11">
        <v>6</v>
      </c>
      <c r="F40" s="11">
        <v>21</v>
      </c>
      <c r="G40" s="11">
        <v>100</v>
      </c>
      <c r="H40" s="11">
        <v>60</v>
      </c>
      <c r="I40" s="11">
        <f t="shared" si="34"/>
        <v>11035.810000000001</v>
      </c>
      <c r="J40" s="11">
        <f>2743.19+5</f>
        <v>2748.19</v>
      </c>
      <c r="K40" s="11">
        <v>0</v>
      </c>
      <c r="L40" s="11">
        <f t="shared" si="40"/>
        <v>8247.6200000000008</v>
      </c>
      <c r="M40" s="11">
        <f>594.63+2559.46+4681.21</f>
        <v>7835.3</v>
      </c>
      <c r="N40" s="11">
        <v>49.88</v>
      </c>
      <c r="O40" s="11">
        <v>0</v>
      </c>
      <c r="P40" s="11">
        <v>0</v>
      </c>
      <c r="Q40" s="11">
        <v>0</v>
      </c>
      <c r="R40" s="11">
        <v>129.26</v>
      </c>
      <c r="S40" s="11">
        <v>171.12</v>
      </c>
      <c r="T40" s="11">
        <v>62.06</v>
      </c>
      <c r="U40" s="11">
        <v>106.35</v>
      </c>
      <c r="V40" s="33">
        <v>20</v>
      </c>
      <c r="W40" s="33">
        <v>10</v>
      </c>
      <c r="X40" s="11">
        <v>2607</v>
      </c>
      <c r="Y40" s="11">
        <v>450</v>
      </c>
      <c r="Z40" s="31">
        <f t="shared" si="35"/>
        <v>-4.8400000000001455</v>
      </c>
      <c r="AA40" s="32">
        <f t="shared" si="36"/>
        <v>0</v>
      </c>
      <c r="AB40" s="32">
        <f t="shared" si="37"/>
        <v>100</v>
      </c>
      <c r="AC40" s="32">
        <v>0</v>
      </c>
      <c r="AD40" s="33">
        <f t="shared" si="38"/>
        <v>20</v>
      </c>
      <c r="AE40" s="33">
        <v>40</v>
      </c>
      <c r="AF40" s="33">
        <v>4390</v>
      </c>
      <c r="AG40" s="33">
        <f t="shared" si="39"/>
        <v>4330</v>
      </c>
    </row>
    <row r="41" spans="1:33" ht="37.5" customHeight="1">
      <c r="A41" s="65" t="s">
        <v>27</v>
      </c>
      <c r="B41" s="66"/>
      <c r="C41" s="27">
        <f t="shared" ref="C41:N41" si="48">SUM(C34:C40)</f>
        <v>55879.29</v>
      </c>
      <c r="D41" s="27">
        <f t="shared" si="48"/>
        <v>32649.199999999997</v>
      </c>
      <c r="E41" s="27">
        <f t="shared" si="48"/>
        <v>107.5</v>
      </c>
      <c r="F41" s="27">
        <f t="shared" si="48"/>
        <v>432</v>
      </c>
      <c r="G41" s="27">
        <f t="shared" si="48"/>
        <v>478</v>
      </c>
      <c r="H41" s="27">
        <f t="shared" si="48"/>
        <v>787.56</v>
      </c>
      <c r="I41" s="27">
        <f t="shared" si="48"/>
        <v>90546.049999999988</v>
      </c>
      <c r="J41" s="27">
        <f t="shared" si="48"/>
        <v>18164.68</v>
      </c>
      <c r="K41" s="27">
        <f t="shared" si="48"/>
        <v>0</v>
      </c>
      <c r="L41" s="27">
        <f t="shared" si="48"/>
        <v>71676.960000000006</v>
      </c>
      <c r="M41" s="27">
        <f t="shared" si="48"/>
        <v>65136.36</v>
      </c>
      <c r="N41" s="27">
        <f t="shared" si="48"/>
        <v>371.76</v>
      </c>
      <c r="O41" s="27"/>
      <c r="P41" s="27">
        <f t="shared" ref="P41:AG41" si="49">SUM(P34:P40)</f>
        <v>185.13</v>
      </c>
      <c r="Q41" s="27">
        <f t="shared" si="49"/>
        <v>972.24</v>
      </c>
      <c r="R41" s="27">
        <f t="shared" si="49"/>
        <v>2747.8200000000006</v>
      </c>
      <c r="S41" s="27">
        <f t="shared" si="49"/>
        <v>1550.0900000000001</v>
      </c>
      <c r="T41" s="27">
        <f t="shared" si="49"/>
        <v>713.56</v>
      </c>
      <c r="U41" s="27">
        <f t="shared" si="49"/>
        <v>1527.1599999999999</v>
      </c>
      <c r="V41" s="27">
        <f t="shared" si="49"/>
        <v>212.5</v>
      </c>
      <c r="W41" s="27">
        <f t="shared" si="49"/>
        <v>318</v>
      </c>
      <c r="X41" s="27">
        <f t="shared" si="49"/>
        <v>16085.75</v>
      </c>
      <c r="Y41" s="27">
        <f t="shared" si="49"/>
        <v>3150</v>
      </c>
      <c r="Z41" s="27">
        <f t="shared" si="49"/>
        <v>-21.269999999999982</v>
      </c>
      <c r="AA41" s="27">
        <f t="shared" si="49"/>
        <v>-116.17999999999665</v>
      </c>
      <c r="AB41" s="27">
        <f t="shared" si="49"/>
        <v>285</v>
      </c>
      <c r="AC41" s="27">
        <f t="shared" si="49"/>
        <v>193</v>
      </c>
      <c r="AD41" s="27">
        <f t="shared" si="49"/>
        <v>392.33</v>
      </c>
      <c r="AE41" s="27">
        <f t="shared" si="49"/>
        <v>395.23</v>
      </c>
      <c r="AF41" s="27">
        <f t="shared" si="49"/>
        <v>4390</v>
      </c>
      <c r="AG41" s="27">
        <f t="shared" si="49"/>
        <v>3602.44</v>
      </c>
    </row>
    <row r="42" spans="1:33" ht="20.25" customHeight="1">
      <c r="A42" s="58">
        <v>45138</v>
      </c>
      <c r="B42" s="10" t="s">
        <v>23</v>
      </c>
      <c r="C42" s="11">
        <v>7595.67</v>
      </c>
      <c r="D42" s="11">
        <v>3657.69</v>
      </c>
      <c r="E42" s="11">
        <v>3</v>
      </c>
      <c r="F42" s="11">
        <v>89</v>
      </c>
      <c r="G42" s="11">
        <v>125</v>
      </c>
      <c r="H42" s="11">
        <v>85</v>
      </c>
      <c r="I42" s="11">
        <f t="shared" ref="I42" si="50">SUM(C42:H42,V42)</f>
        <v>11556.36</v>
      </c>
      <c r="J42" s="11">
        <v>2230.0500000000002</v>
      </c>
      <c r="K42" s="11">
        <v>0</v>
      </c>
      <c r="L42" s="11">
        <f t="shared" ref="L42" si="51">SUM(M42:T42)</f>
        <v>9256.31</v>
      </c>
      <c r="M42" s="11">
        <f>732.54+2494.35+4716.6</f>
        <v>7943.49</v>
      </c>
      <c r="N42" s="11">
        <v>27.93</v>
      </c>
      <c r="O42" s="11">
        <v>0</v>
      </c>
      <c r="P42" s="11">
        <v>63</v>
      </c>
      <c r="Q42" s="11">
        <v>114.76</v>
      </c>
      <c r="R42" s="11">
        <v>439.84</v>
      </c>
      <c r="S42" s="11">
        <f>308.38+67.01</f>
        <v>375.39</v>
      </c>
      <c r="T42" s="11">
        <v>291.89999999999998</v>
      </c>
      <c r="U42" s="11">
        <v>209.64</v>
      </c>
      <c r="V42" s="33">
        <v>1</v>
      </c>
      <c r="W42" s="33">
        <v>55</v>
      </c>
      <c r="X42" s="11">
        <v>1975</v>
      </c>
      <c r="Y42" s="11">
        <v>450</v>
      </c>
      <c r="Z42" s="31">
        <f t="shared" ref="Z42" si="52">SUM(U42,V42,W42,X42)-J42</f>
        <v>10.589999999999691</v>
      </c>
      <c r="AA42" s="32">
        <f t="shared" ref="AA42" si="53">SUM(J42+K42+L42+AE42+AC42)-(I42)</f>
        <v>0</v>
      </c>
      <c r="AB42" s="32">
        <f t="shared" ref="AB42" si="54">SUM(G42-AC42)</f>
        <v>125</v>
      </c>
      <c r="AC42" s="32">
        <v>0</v>
      </c>
      <c r="AD42" s="33">
        <f t="shared" ref="AD42" si="55">SUM(H42-AE42)</f>
        <v>15</v>
      </c>
      <c r="AE42" s="33">
        <v>70</v>
      </c>
      <c r="AF42" s="33"/>
      <c r="AG42" s="33">
        <f t="shared" ref="AG42" si="56">SUM(AF42-H42)</f>
        <v>-85</v>
      </c>
    </row>
    <row r="43" spans="1:33" ht="37.5" customHeight="1">
      <c r="A43" s="65" t="s">
        <v>27</v>
      </c>
      <c r="B43" s="66"/>
      <c r="C43" s="27">
        <f>SUM(C42)</f>
        <v>7595.67</v>
      </c>
      <c r="D43" s="27">
        <f t="shared" ref="D43:AG43" si="57">SUM(D42)</f>
        <v>3657.69</v>
      </c>
      <c r="E43" s="27">
        <f t="shared" si="57"/>
        <v>3</v>
      </c>
      <c r="F43" s="27">
        <f t="shared" si="57"/>
        <v>89</v>
      </c>
      <c r="G43" s="27">
        <f t="shared" si="57"/>
        <v>125</v>
      </c>
      <c r="H43" s="27">
        <f t="shared" si="57"/>
        <v>85</v>
      </c>
      <c r="I43" s="27">
        <f t="shared" si="57"/>
        <v>11556.36</v>
      </c>
      <c r="J43" s="27">
        <f t="shared" si="57"/>
        <v>2230.0500000000002</v>
      </c>
      <c r="K43" s="27">
        <f t="shared" si="57"/>
        <v>0</v>
      </c>
      <c r="L43" s="27">
        <f t="shared" si="57"/>
        <v>9256.31</v>
      </c>
      <c r="M43" s="27">
        <f t="shared" si="57"/>
        <v>7943.49</v>
      </c>
      <c r="N43" s="27">
        <f t="shared" si="57"/>
        <v>27.93</v>
      </c>
      <c r="O43" s="27">
        <f t="shared" si="57"/>
        <v>0</v>
      </c>
      <c r="P43" s="27">
        <f t="shared" si="57"/>
        <v>63</v>
      </c>
      <c r="Q43" s="27">
        <f t="shared" si="57"/>
        <v>114.76</v>
      </c>
      <c r="R43" s="27">
        <f t="shared" si="57"/>
        <v>439.84</v>
      </c>
      <c r="S43" s="27">
        <f t="shared" si="57"/>
        <v>375.39</v>
      </c>
      <c r="T43" s="27">
        <f t="shared" si="57"/>
        <v>291.89999999999998</v>
      </c>
      <c r="U43" s="27">
        <f t="shared" si="57"/>
        <v>209.64</v>
      </c>
      <c r="V43" s="27">
        <f t="shared" si="57"/>
        <v>1</v>
      </c>
      <c r="W43" s="27">
        <f t="shared" si="57"/>
        <v>55</v>
      </c>
      <c r="X43" s="27">
        <f t="shared" si="57"/>
        <v>1975</v>
      </c>
      <c r="Y43" s="27">
        <f t="shared" si="57"/>
        <v>450</v>
      </c>
      <c r="Z43" s="27">
        <f t="shared" si="57"/>
        <v>10.589999999999691</v>
      </c>
      <c r="AA43" s="27">
        <f t="shared" si="57"/>
        <v>0</v>
      </c>
      <c r="AB43" s="27">
        <f t="shared" si="57"/>
        <v>125</v>
      </c>
      <c r="AC43" s="27">
        <f t="shared" si="57"/>
        <v>0</v>
      </c>
      <c r="AD43" s="27">
        <f t="shared" si="57"/>
        <v>15</v>
      </c>
      <c r="AE43" s="27">
        <f t="shared" si="57"/>
        <v>70</v>
      </c>
      <c r="AF43" s="27">
        <f t="shared" si="57"/>
        <v>0</v>
      </c>
      <c r="AG43" s="27">
        <f t="shared" si="57"/>
        <v>-85</v>
      </c>
    </row>
    <row r="44" spans="1:33" ht="51.75" customHeight="1">
      <c r="A44" s="67" t="s">
        <v>17</v>
      </c>
      <c r="B44" s="68"/>
      <c r="C44" s="30">
        <f>SUM(C43,C41,C33,C25,C17,C9)</f>
        <v>290414.65000000002</v>
      </c>
      <c r="D44" s="30">
        <f t="shared" ref="D44:AG44" si="58">SUM(D43,D41,D33,D25,D17,D9)</f>
        <v>160086.89000000001</v>
      </c>
      <c r="E44" s="30">
        <f t="shared" si="58"/>
        <v>608.5</v>
      </c>
      <c r="F44" s="30">
        <f t="shared" si="58"/>
        <v>2712</v>
      </c>
      <c r="G44" s="30">
        <f t="shared" si="58"/>
        <v>2834</v>
      </c>
      <c r="H44" s="30">
        <f t="shared" si="58"/>
        <v>4020.7</v>
      </c>
      <c r="I44" s="30">
        <f t="shared" si="58"/>
        <v>461537.43999999994</v>
      </c>
      <c r="J44" s="30">
        <f t="shared" si="58"/>
        <v>86439.76</v>
      </c>
      <c r="K44" s="30">
        <f t="shared" si="58"/>
        <v>0</v>
      </c>
      <c r="L44" s="30">
        <f t="shared" si="58"/>
        <v>372249.4</v>
      </c>
      <c r="M44" s="30">
        <f t="shared" si="58"/>
        <v>333631.37999999995</v>
      </c>
      <c r="N44" s="30">
        <f t="shared" si="58"/>
        <v>1653.68</v>
      </c>
      <c r="O44" s="30">
        <f t="shared" si="58"/>
        <v>175.32</v>
      </c>
      <c r="P44" s="30">
        <f t="shared" si="58"/>
        <v>1225.3500000000001</v>
      </c>
      <c r="Q44" s="30">
        <f t="shared" si="58"/>
        <v>5117.04</v>
      </c>
      <c r="R44" s="30">
        <f t="shared" si="58"/>
        <v>14129.36</v>
      </c>
      <c r="S44" s="30">
        <f t="shared" si="58"/>
        <v>8906.4500000000007</v>
      </c>
      <c r="T44" s="30">
        <f t="shared" si="58"/>
        <v>7410.82</v>
      </c>
      <c r="U44" s="30">
        <f t="shared" si="58"/>
        <v>8108.46</v>
      </c>
      <c r="V44" s="30">
        <f t="shared" si="58"/>
        <v>860.69999999999993</v>
      </c>
      <c r="W44" s="30">
        <f t="shared" si="58"/>
        <v>2005.4999999999998</v>
      </c>
      <c r="X44" s="30">
        <f t="shared" si="58"/>
        <v>75395.25</v>
      </c>
      <c r="Y44" s="30">
        <f t="shared" si="58"/>
        <v>16200</v>
      </c>
      <c r="Z44" s="30">
        <f t="shared" si="58"/>
        <v>-69.849999999999454</v>
      </c>
      <c r="AA44" s="30">
        <f t="shared" si="58"/>
        <v>182.08999999998923</v>
      </c>
      <c r="AB44" s="30">
        <f t="shared" si="58"/>
        <v>1739</v>
      </c>
      <c r="AC44" s="30">
        <f t="shared" si="58"/>
        <v>1095</v>
      </c>
      <c r="AD44" s="30">
        <f t="shared" si="58"/>
        <v>2085.33</v>
      </c>
      <c r="AE44" s="30">
        <f t="shared" si="58"/>
        <v>1935.37</v>
      </c>
      <c r="AF44" s="30">
        <f t="shared" si="58"/>
        <v>20900</v>
      </c>
      <c r="AG44" s="30">
        <f t="shared" si="58"/>
        <v>16879.3</v>
      </c>
    </row>
    <row r="46" spans="1:33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  <c r="X46" s="41"/>
      <c r="Y46" s="41"/>
      <c r="Z46" s="41"/>
      <c r="AA46" s="41"/>
      <c r="AB46" s="41"/>
      <c r="AC46" s="41"/>
      <c r="AD46" s="41"/>
      <c r="AE46" s="41"/>
      <c r="AF46" s="41"/>
      <c r="AG46" s="41"/>
    </row>
    <row r="47" spans="1:33"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  <c r="AG47" s="41"/>
    </row>
    <row r="48" spans="1:33"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  <c r="X48" s="42"/>
      <c r="Y48" s="42"/>
      <c r="Z48" s="42"/>
      <c r="AA48" s="42"/>
      <c r="AB48" s="42"/>
      <c r="AC48" s="42"/>
      <c r="AD48" s="42"/>
      <c r="AE48" s="42"/>
      <c r="AF48" s="42"/>
      <c r="AG48" s="42"/>
    </row>
    <row r="49" spans="1:33"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  <c r="AG49" s="42"/>
    </row>
    <row r="50" spans="1:33">
      <c r="C50" s="41"/>
      <c r="D50" s="41"/>
      <c r="E50" s="41"/>
      <c r="F50" s="41"/>
      <c r="G50" s="41"/>
      <c r="H50" s="41"/>
      <c r="I50" s="41"/>
      <c r="J50" s="41"/>
      <c r="K50" s="41"/>
      <c r="L50" s="41"/>
      <c r="M50" s="41"/>
      <c r="N50" s="41"/>
      <c r="O50" s="41"/>
      <c r="P50" s="41"/>
      <c r="Q50" s="41"/>
      <c r="R50" s="41"/>
      <c r="S50" s="41"/>
      <c r="T50" s="41"/>
      <c r="U50" s="41"/>
      <c r="V50" s="41"/>
      <c r="W50" s="41"/>
      <c r="X50" s="41"/>
      <c r="Y50" s="41"/>
      <c r="Z50" s="41"/>
      <c r="AA50" s="41"/>
      <c r="AB50" s="41"/>
      <c r="AC50" s="41"/>
      <c r="AD50" s="41"/>
      <c r="AE50" s="41"/>
      <c r="AF50" s="41"/>
      <c r="AG50" s="41"/>
    </row>
    <row r="52" spans="1:33" hidden="1"/>
    <row r="53" spans="1:33" ht="18.75" hidden="1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33"/>
      <c r="W53" s="33"/>
      <c r="X53" s="11"/>
      <c r="Y53" s="11"/>
      <c r="Z53" s="31"/>
      <c r="AA53" s="32"/>
      <c r="AB53" s="32"/>
      <c r="AC53" s="32"/>
      <c r="AD53" s="33"/>
      <c r="AE53" s="33"/>
      <c r="AF53" s="33"/>
      <c r="AG53" s="33"/>
    </row>
    <row r="54" spans="1:33" ht="18.75" hidden="1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33"/>
      <c r="W54" s="33"/>
      <c r="X54" s="11"/>
      <c r="Y54" s="11"/>
      <c r="Z54" s="31"/>
      <c r="AA54" s="32"/>
      <c r="AB54" s="32"/>
      <c r="AC54" s="32"/>
      <c r="AD54" s="33"/>
      <c r="AE54" s="33"/>
      <c r="AF54" s="33"/>
      <c r="AG54" s="33"/>
    </row>
    <row r="55" spans="1:33" s="28" customFormat="1" ht="18.75" hidden="1">
      <c r="A55"/>
      <c r="B55"/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33"/>
      <c r="W55" s="33"/>
      <c r="X55" s="11"/>
      <c r="Y55" s="11"/>
      <c r="Z55" s="31"/>
      <c r="AA55" s="32"/>
      <c r="AB55" s="32"/>
      <c r="AC55" s="32"/>
      <c r="AD55" s="33"/>
      <c r="AE55" s="33"/>
      <c r="AF55" s="33"/>
      <c r="AG55" s="33"/>
    </row>
    <row r="56" spans="1:33" s="28" customFormat="1" hidden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  <row r="57" spans="1:33" s="28" customFormat="1" hidden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</row>
    <row r="58" spans="1:33" s="28" customFormat="1" hidden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</row>
  </sheetData>
  <sheetProtection password="CCFB" sheet="1" objects="1" scenarios="1"/>
  <mergeCells count="7">
    <mergeCell ref="A44:B44"/>
    <mergeCell ref="A43:B43"/>
    <mergeCell ref="A9:B9"/>
    <mergeCell ref="A17:B17"/>
    <mergeCell ref="A25:B25"/>
    <mergeCell ref="A33:B33"/>
    <mergeCell ref="A41:B41"/>
  </mergeCells>
  <conditionalFormatting sqref="Z53:AC55 Z2:AC8 Z10:AB16 Z18:AC24 Z26:AC32 Z34:AC40">
    <cfRule type="cellIs" dxfId="119" priority="23" operator="lessThan">
      <formula>0</formula>
    </cfRule>
    <cfRule type="cellIs" dxfId="118" priority="24" operator="greaterThan">
      <formula>0</formula>
    </cfRule>
  </conditionalFormatting>
  <conditionalFormatting sqref="Z53:AD55 AD10:AD16 Z2:AD8 Z10:AB16 Z18:AD24 Z26:AD32 Z34:AD40">
    <cfRule type="cellIs" dxfId="117" priority="20" operator="equal">
      <formula>0</formula>
    </cfRule>
    <cfRule type="cellIs" dxfId="116" priority="21" operator="lessThan">
      <formula>0</formula>
    </cfRule>
    <cfRule type="cellIs" dxfId="115" priority="22" operator="greaterThan">
      <formula>0</formula>
    </cfRule>
  </conditionalFormatting>
  <conditionalFormatting sqref="AG18:AG24 AG26:AG32 AG10:AG16 AG2:AG8 AG34:AG40">
    <cfRule type="cellIs" dxfId="114" priority="17" operator="equal">
      <formula>0</formula>
    </cfRule>
    <cfRule type="cellIs" dxfId="113" priority="18" operator="lessThan">
      <formula>0</formula>
    </cfRule>
    <cfRule type="cellIs" dxfId="112" priority="19" operator="greaterThan">
      <formula>0</formula>
    </cfRule>
  </conditionalFormatting>
  <conditionalFormatting sqref="Z2:AC6">
    <cfRule type="cellIs" dxfId="111" priority="15" operator="lessThan">
      <formula>0</formula>
    </cfRule>
    <cfRule type="cellIs" dxfId="110" priority="16" operator="greaterThan">
      <formula>0</formula>
    </cfRule>
  </conditionalFormatting>
  <conditionalFormatting sqref="Z2:AD6">
    <cfRule type="cellIs" dxfId="109" priority="12" operator="equal">
      <formula>0</formula>
    </cfRule>
    <cfRule type="cellIs" dxfId="108" priority="13" operator="lessThan">
      <formula>0</formula>
    </cfRule>
    <cfRule type="cellIs" dxfId="107" priority="14" operator="greaterThan">
      <formula>0</formula>
    </cfRule>
  </conditionalFormatting>
  <conditionalFormatting sqref="AG2:AG6">
    <cfRule type="cellIs" dxfId="106" priority="9" operator="equal">
      <formula>0</formula>
    </cfRule>
    <cfRule type="cellIs" dxfId="105" priority="10" operator="lessThan">
      <formula>0</formula>
    </cfRule>
    <cfRule type="cellIs" dxfId="104" priority="11" operator="greaterThan">
      <formula>0</formula>
    </cfRule>
  </conditionalFormatting>
  <conditionalFormatting sqref="Z42:AC42">
    <cfRule type="cellIs" dxfId="103" priority="7" operator="lessThan">
      <formula>0</formula>
    </cfRule>
    <cfRule type="cellIs" dxfId="102" priority="8" operator="greaterThan">
      <formula>0</formula>
    </cfRule>
  </conditionalFormatting>
  <conditionalFormatting sqref="Z42:AD42">
    <cfRule type="cellIs" dxfId="101" priority="4" operator="equal">
      <formula>0</formula>
    </cfRule>
    <cfRule type="cellIs" dxfId="100" priority="5" operator="lessThan">
      <formula>0</formula>
    </cfRule>
    <cfRule type="cellIs" dxfId="99" priority="6" operator="greaterThan">
      <formula>0</formula>
    </cfRule>
  </conditionalFormatting>
  <conditionalFormatting sqref="AG42">
    <cfRule type="cellIs" dxfId="98" priority="1" operator="equal">
      <formula>0</formula>
    </cfRule>
    <cfRule type="cellIs" dxfId="97" priority="2" operator="lessThan">
      <formula>0</formula>
    </cfRule>
    <cfRule type="cellIs" dxfId="96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>
  <dimension ref="A1:AG53"/>
  <sheetViews>
    <sheetView topLeftCell="A10" zoomScale="60" zoomScaleNormal="60" workbookViewId="0">
      <selection activeCell="E32" sqref="E32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5.7109375" customWidth="1"/>
    <col min="17" max="17" width="16.42578125" customWidth="1"/>
    <col min="18" max="20" width="15.5703125" customWidth="1"/>
    <col min="21" max="21" width="13.85546875" customWidth="1"/>
    <col min="22" max="22" width="13.5703125" customWidth="1"/>
    <col min="23" max="23" width="14.28515625" customWidth="1"/>
    <col min="24" max="24" width="13" customWidth="1"/>
    <col min="25" max="25" width="14.85546875" customWidth="1"/>
    <col min="26" max="26" width="15.85546875" customWidth="1"/>
    <col min="27" max="29" width="16.5703125" customWidth="1"/>
    <col min="30" max="30" width="14" customWidth="1"/>
    <col min="31" max="31" width="13" customWidth="1"/>
    <col min="32" max="32" width="14.85546875" customWidth="1"/>
    <col min="33" max="33" width="15.5703125" customWidth="1"/>
  </cols>
  <sheetData>
    <row r="1" spans="1:33" ht="64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93</v>
      </c>
      <c r="L1" s="8" t="s">
        <v>43</v>
      </c>
      <c r="M1" s="8" t="s">
        <v>44</v>
      </c>
      <c r="N1" s="8" t="s">
        <v>42</v>
      </c>
      <c r="O1" s="8" t="s">
        <v>108</v>
      </c>
      <c r="P1" s="8" t="s">
        <v>96</v>
      </c>
      <c r="Q1" s="8" t="s">
        <v>109</v>
      </c>
      <c r="R1" s="8" t="s">
        <v>110</v>
      </c>
      <c r="S1" s="8" t="s">
        <v>111</v>
      </c>
      <c r="T1" s="8" t="s">
        <v>107</v>
      </c>
      <c r="U1" s="8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34</v>
      </c>
      <c r="AB1" s="23" t="s">
        <v>94</v>
      </c>
      <c r="AC1" s="23" t="s">
        <v>95</v>
      </c>
      <c r="AD1" s="23" t="s">
        <v>39</v>
      </c>
      <c r="AE1" s="23" t="s">
        <v>40</v>
      </c>
      <c r="AF1" s="23" t="s">
        <v>78</v>
      </c>
      <c r="AG1" s="23" t="s">
        <v>79</v>
      </c>
    </row>
    <row r="2" spans="1:33" ht="20.25" customHeight="1">
      <c r="A2" s="58">
        <v>45138</v>
      </c>
      <c r="B2" s="10" t="s">
        <v>23</v>
      </c>
      <c r="C2" s="11">
        <v>7595.67</v>
      </c>
      <c r="D2" s="11">
        <v>3657.69</v>
      </c>
      <c r="E2" s="11">
        <v>3</v>
      </c>
      <c r="F2" s="11">
        <v>89</v>
      </c>
      <c r="G2" s="11">
        <v>125</v>
      </c>
      <c r="H2" s="11">
        <v>85</v>
      </c>
      <c r="I2" s="11">
        <f t="shared" ref="I2" si="0">SUM(C2:H2,V2)</f>
        <v>11556.36</v>
      </c>
      <c r="J2" s="11">
        <v>2230.0500000000002</v>
      </c>
      <c r="K2" s="11">
        <v>0</v>
      </c>
      <c r="L2" s="11">
        <f t="shared" ref="L2" si="1">SUM(M2:T2)</f>
        <v>9256.31</v>
      </c>
      <c r="M2" s="11">
        <f>732.54+2494.35+4716.6</f>
        <v>7943.49</v>
      </c>
      <c r="N2" s="11">
        <v>27.93</v>
      </c>
      <c r="O2" s="11">
        <v>0</v>
      </c>
      <c r="P2" s="11">
        <v>63</v>
      </c>
      <c r="Q2" s="11">
        <v>114.76</v>
      </c>
      <c r="R2" s="11">
        <v>439.84</v>
      </c>
      <c r="S2" s="11">
        <f>308.38+67.01</f>
        <v>375.39</v>
      </c>
      <c r="T2" s="11">
        <v>291.89999999999998</v>
      </c>
      <c r="U2" s="11">
        <v>209.64</v>
      </c>
      <c r="V2" s="33">
        <v>1</v>
      </c>
      <c r="W2" s="33">
        <v>55</v>
      </c>
      <c r="X2" s="11">
        <v>1975</v>
      </c>
      <c r="Y2" s="11">
        <v>450</v>
      </c>
      <c r="Z2" s="31">
        <f t="shared" ref="Z2" si="2">SUM(U2,V2,W2,X2)-J2</f>
        <v>10.589999999999691</v>
      </c>
      <c r="AA2" s="32">
        <f t="shared" ref="AA2:AA32" si="3">SUM(J2+K2+L2+AE2+AC2)-(I2)</f>
        <v>0</v>
      </c>
      <c r="AB2" s="32">
        <f t="shared" ref="AB2" si="4">SUM(G2-AC2)</f>
        <v>125</v>
      </c>
      <c r="AC2" s="32">
        <v>0</v>
      </c>
      <c r="AD2" s="33">
        <f t="shared" ref="AD2" si="5">SUM(H2-AE2)</f>
        <v>15</v>
      </c>
      <c r="AE2" s="33">
        <v>70</v>
      </c>
      <c r="AF2" s="33"/>
      <c r="AG2" s="33">
        <f t="shared" ref="AG2" si="6">SUM(AF2-H2)</f>
        <v>-85</v>
      </c>
    </row>
    <row r="3" spans="1:33" ht="20.25" customHeight="1">
      <c r="A3" s="58">
        <v>45139</v>
      </c>
      <c r="B3" s="10" t="s">
        <v>24</v>
      </c>
      <c r="C3" s="11">
        <v>6724.44</v>
      </c>
      <c r="D3" s="11">
        <v>3894.83</v>
      </c>
      <c r="E3" s="11">
        <v>22.5</v>
      </c>
      <c r="F3" s="11">
        <v>47</v>
      </c>
      <c r="G3" s="11">
        <v>45</v>
      </c>
      <c r="H3" s="11">
        <v>40</v>
      </c>
      <c r="I3" s="11">
        <f t="shared" ref="I3:I8" si="7">SUM(C3:H3,V3)</f>
        <v>10783.77</v>
      </c>
      <c r="J3" s="11">
        <f>2375.59+24</f>
        <v>2399.59</v>
      </c>
      <c r="K3" s="11">
        <v>0</v>
      </c>
      <c r="L3" s="11">
        <f t="shared" ref="L3:L6" si="8">SUM(M3:T3)</f>
        <v>8225.56</v>
      </c>
      <c r="M3" s="11">
        <f>697.07+2220.93+4510.59</f>
        <v>7428.59</v>
      </c>
      <c r="N3" s="11">
        <v>0</v>
      </c>
      <c r="O3" s="11">
        <v>0</v>
      </c>
      <c r="P3" s="11">
        <v>98</v>
      </c>
      <c r="Q3" s="11">
        <v>43.14</v>
      </c>
      <c r="R3" s="11">
        <v>362.32</v>
      </c>
      <c r="S3" s="11">
        <v>164.28</v>
      </c>
      <c r="T3" s="11">
        <v>129.22999999999999</v>
      </c>
      <c r="U3" s="11">
        <v>0</v>
      </c>
      <c r="V3" s="33">
        <v>10</v>
      </c>
      <c r="W3" s="33">
        <v>88</v>
      </c>
      <c r="X3" s="11">
        <v>2303</v>
      </c>
      <c r="Y3" s="11">
        <v>450</v>
      </c>
      <c r="Z3" s="31">
        <f t="shared" ref="Z3:Z8" si="9">SUM(U3,V3,W3,X3)-J3</f>
        <v>1.4099999999998545</v>
      </c>
      <c r="AA3" s="32">
        <f t="shared" si="3"/>
        <v>-88.6200000000008</v>
      </c>
      <c r="AB3" s="32">
        <f t="shared" ref="AB3:AB6" si="10">SUM(G3-AC3)</f>
        <v>15</v>
      </c>
      <c r="AC3" s="32">
        <v>30</v>
      </c>
      <c r="AD3" s="33">
        <f t="shared" ref="AD3:AD8" si="11">SUM(H3-AE3)</f>
        <v>0</v>
      </c>
      <c r="AE3" s="33">
        <v>40</v>
      </c>
      <c r="AF3" s="33"/>
      <c r="AG3" s="33">
        <f t="shared" ref="AG3:AG8" si="12">SUM(AF3-H3)</f>
        <v>-40</v>
      </c>
    </row>
    <row r="4" spans="1:33" ht="20.25" customHeight="1">
      <c r="A4" s="58">
        <v>45140</v>
      </c>
      <c r="B4" s="10" t="s">
        <v>25</v>
      </c>
      <c r="C4" s="11">
        <v>7266.17</v>
      </c>
      <c r="D4" s="11">
        <v>3789.64</v>
      </c>
      <c r="E4" s="11">
        <v>15</v>
      </c>
      <c r="F4" s="11">
        <v>52</v>
      </c>
      <c r="G4" s="11">
        <v>95</v>
      </c>
      <c r="H4" s="11">
        <v>189</v>
      </c>
      <c r="I4" s="11">
        <f t="shared" si="7"/>
        <v>11416.81</v>
      </c>
      <c r="J4" s="11">
        <v>2152.34</v>
      </c>
      <c r="K4" s="11">
        <v>0</v>
      </c>
      <c r="L4" s="11">
        <f t="shared" si="8"/>
        <v>9095.4699999999993</v>
      </c>
      <c r="M4" s="11">
        <f>585.32+2739.26+4897.77</f>
        <v>8222.35</v>
      </c>
      <c r="N4" s="11">
        <v>0</v>
      </c>
      <c r="O4" s="11">
        <v>0</v>
      </c>
      <c r="P4" s="11">
        <v>10.08</v>
      </c>
      <c r="Q4" s="11">
        <v>206.15</v>
      </c>
      <c r="R4" s="11">
        <v>353.53</v>
      </c>
      <c r="S4" s="11">
        <f>205.67+73.23</f>
        <v>278.89999999999998</v>
      </c>
      <c r="T4" s="11">
        <v>24.46</v>
      </c>
      <c r="U4" s="11">
        <v>419.21</v>
      </c>
      <c r="V4" s="33">
        <v>10</v>
      </c>
      <c r="W4" s="33">
        <v>0</v>
      </c>
      <c r="X4" s="11">
        <v>1730</v>
      </c>
      <c r="Y4" s="11">
        <v>450</v>
      </c>
      <c r="Z4" s="31">
        <f t="shared" si="9"/>
        <v>6.8699999999998909</v>
      </c>
      <c r="AA4" s="32">
        <f t="shared" si="3"/>
        <v>0</v>
      </c>
      <c r="AB4" s="32">
        <f t="shared" si="10"/>
        <v>95</v>
      </c>
      <c r="AC4" s="32">
        <v>0</v>
      </c>
      <c r="AD4" s="33">
        <f t="shared" si="11"/>
        <v>20</v>
      </c>
      <c r="AE4" s="33">
        <v>169</v>
      </c>
      <c r="AF4" s="33"/>
      <c r="AG4" s="33">
        <f t="shared" si="12"/>
        <v>-189</v>
      </c>
    </row>
    <row r="5" spans="1:33" ht="20.25" customHeight="1">
      <c r="A5" s="53">
        <v>45141</v>
      </c>
      <c r="B5" s="10" t="s">
        <v>26</v>
      </c>
      <c r="C5" s="11">
        <v>8589.8700000000008</v>
      </c>
      <c r="D5" s="11">
        <v>4015.07</v>
      </c>
      <c r="E5" s="11">
        <v>1.5</v>
      </c>
      <c r="F5" s="11">
        <v>74</v>
      </c>
      <c r="G5" s="11">
        <v>140</v>
      </c>
      <c r="H5" s="11">
        <v>143.69999999999999</v>
      </c>
      <c r="I5" s="11">
        <f t="shared" si="7"/>
        <v>13039.140000000001</v>
      </c>
      <c r="J5" s="11">
        <f>2385.23+19</f>
        <v>2404.23</v>
      </c>
      <c r="K5" s="11">
        <v>0</v>
      </c>
      <c r="L5" s="11">
        <f t="shared" si="8"/>
        <v>10442.709999999999</v>
      </c>
      <c r="M5" s="11">
        <f>606.81+3202.94+5778.21</f>
        <v>9587.9599999999991</v>
      </c>
      <c r="N5" s="11">
        <v>93.71</v>
      </c>
      <c r="O5" s="11">
        <v>0</v>
      </c>
      <c r="P5" s="11">
        <v>0</v>
      </c>
      <c r="Q5" s="11">
        <v>36.92</v>
      </c>
      <c r="R5" s="11">
        <v>385.04</v>
      </c>
      <c r="S5" s="11">
        <v>151.94</v>
      </c>
      <c r="T5" s="11">
        <v>187.14</v>
      </c>
      <c r="U5" s="11">
        <v>247.34</v>
      </c>
      <c r="V5" s="33">
        <v>75</v>
      </c>
      <c r="W5" s="33">
        <v>114</v>
      </c>
      <c r="X5" s="11">
        <f>1928+32</f>
        <v>1960</v>
      </c>
      <c r="Y5" s="11">
        <v>450</v>
      </c>
      <c r="Z5" s="31">
        <f t="shared" si="9"/>
        <v>-7.8899999999998727</v>
      </c>
      <c r="AA5" s="32">
        <f t="shared" si="3"/>
        <v>34.799999999997453</v>
      </c>
      <c r="AB5" s="32">
        <f t="shared" si="10"/>
        <v>40</v>
      </c>
      <c r="AC5" s="32">
        <v>100</v>
      </c>
      <c r="AD5" s="33">
        <f t="shared" si="11"/>
        <v>16.699999999999989</v>
      </c>
      <c r="AE5" s="33">
        <v>127</v>
      </c>
      <c r="AF5" s="33"/>
      <c r="AG5" s="33">
        <f t="shared" si="12"/>
        <v>-143.69999999999999</v>
      </c>
    </row>
    <row r="6" spans="1:33" ht="20.25" customHeight="1">
      <c r="A6" s="58">
        <v>45142</v>
      </c>
      <c r="B6" s="10" t="s">
        <v>20</v>
      </c>
      <c r="C6" s="11">
        <v>8304.98</v>
      </c>
      <c r="D6" s="11">
        <v>5376.83</v>
      </c>
      <c r="E6" s="11">
        <v>33.5</v>
      </c>
      <c r="F6" s="11">
        <v>120</v>
      </c>
      <c r="G6" s="11">
        <v>69</v>
      </c>
      <c r="H6" s="11">
        <v>50</v>
      </c>
      <c r="I6" s="11">
        <f t="shared" si="7"/>
        <v>13984.31</v>
      </c>
      <c r="J6" s="11">
        <f>2396.46+7-7.49</f>
        <v>2395.9700000000003</v>
      </c>
      <c r="K6" s="11">
        <v>0</v>
      </c>
      <c r="L6" s="11">
        <f t="shared" si="8"/>
        <v>11519.340000000002</v>
      </c>
      <c r="M6" s="11">
        <f>1047.54+3370.42+6289.49</f>
        <v>10707.45</v>
      </c>
      <c r="N6" s="11">
        <v>4.1900000000000004</v>
      </c>
      <c r="O6" s="11">
        <v>0</v>
      </c>
      <c r="P6" s="11">
        <v>210.02</v>
      </c>
      <c r="Q6" s="11">
        <v>80.25</v>
      </c>
      <c r="R6" s="11">
        <v>351.86</v>
      </c>
      <c r="S6" s="11">
        <v>92.6</v>
      </c>
      <c r="T6" s="11">
        <v>72.97</v>
      </c>
      <c r="U6" s="11">
        <f>562.04</f>
        <v>562.04</v>
      </c>
      <c r="V6" s="33">
        <v>30</v>
      </c>
      <c r="W6" s="33">
        <v>44</v>
      </c>
      <c r="X6" s="11">
        <v>1750</v>
      </c>
      <c r="Y6" s="11">
        <v>450</v>
      </c>
      <c r="Z6" s="31">
        <f t="shared" si="9"/>
        <v>-9.930000000000291</v>
      </c>
      <c r="AA6" s="32">
        <f t="shared" si="3"/>
        <v>0</v>
      </c>
      <c r="AB6" s="32">
        <f t="shared" si="10"/>
        <v>0</v>
      </c>
      <c r="AC6" s="32">
        <v>69</v>
      </c>
      <c r="AD6" s="33">
        <f t="shared" si="11"/>
        <v>50</v>
      </c>
      <c r="AE6" s="33">
        <v>0</v>
      </c>
      <c r="AF6" s="33"/>
      <c r="AG6" s="33">
        <f t="shared" si="12"/>
        <v>-50</v>
      </c>
    </row>
    <row r="7" spans="1:33" ht="18.75">
      <c r="A7" s="53">
        <v>45143</v>
      </c>
      <c r="B7" s="10" t="s">
        <v>21</v>
      </c>
      <c r="C7" s="11">
        <v>6602.55</v>
      </c>
      <c r="D7" s="11">
        <v>5047.82</v>
      </c>
      <c r="E7" s="11">
        <v>36</v>
      </c>
      <c r="F7" s="11">
        <v>139</v>
      </c>
      <c r="G7" s="11">
        <v>50</v>
      </c>
      <c r="H7" s="11">
        <v>55</v>
      </c>
      <c r="I7" s="11">
        <f t="shared" si="7"/>
        <v>11941.499999999998</v>
      </c>
      <c r="J7" s="11">
        <v>2623.07</v>
      </c>
      <c r="K7" s="11">
        <v>0</v>
      </c>
      <c r="L7" s="11">
        <f t="shared" ref="L7:L8" si="13">SUM(M7:T7)</f>
        <v>9285.1800000000021</v>
      </c>
      <c r="M7" s="11">
        <f>586.92+2817.15+4877.64</f>
        <v>8281.7100000000009</v>
      </c>
      <c r="N7" s="11">
        <v>117.91</v>
      </c>
      <c r="O7" s="11">
        <v>0</v>
      </c>
      <c r="P7" s="11">
        <v>0</v>
      </c>
      <c r="Q7" s="11">
        <v>0</v>
      </c>
      <c r="R7" s="11">
        <v>436.2</v>
      </c>
      <c r="S7" s="11">
        <v>280.37</v>
      </c>
      <c r="T7" s="11">
        <v>168.99</v>
      </c>
      <c r="U7" s="11">
        <v>0</v>
      </c>
      <c r="V7" s="33">
        <v>11.13</v>
      </c>
      <c r="W7" s="33">
        <v>74</v>
      </c>
      <c r="X7" s="11">
        <v>2551.25</v>
      </c>
      <c r="Y7" s="11">
        <v>450</v>
      </c>
      <c r="Z7" s="31">
        <f t="shared" si="9"/>
        <v>13.309999999999945</v>
      </c>
      <c r="AA7" s="32">
        <f t="shared" si="3"/>
        <v>11.750000000003638</v>
      </c>
      <c r="AB7" s="32">
        <v>50</v>
      </c>
      <c r="AC7" s="32">
        <v>0</v>
      </c>
      <c r="AD7" s="33">
        <f t="shared" si="11"/>
        <v>10</v>
      </c>
      <c r="AE7" s="33">
        <v>45</v>
      </c>
      <c r="AF7" s="33"/>
      <c r="AG7" s="33">
        <f t="shared" si="12"/>
        <v>-55</v>
      </c>
    </row>
    <row r="8" spans="1:33" ht="18.75">
      <c r="A8" s="58">
        <v>45144</v>
      </c>
      <c r="B8" s="10" t="s">
        <v>22</v>
      </c>
      <c r="C8" s="11">
        <v>7559.08</v>
      </c>
      <c r="D8" s="11">
        <v>4506.26</v>
      </c>
      <c r="E8" s="11">
        <v>1</v>
      </c>
      <c r="F8" s="11">
        <v>53</v>
      </c>
      <c r="G8" s="11">
        <v>138</v>
      </c>
      <c r="H8" s="11">
        <v>29</v>
      </c>
      <c r="I8" s="11">
        <f t="shared" si="7"/>
        <v>12296.34</v>
      </c>
      <c r="J8" s="11">
        <f>2716.91+4</f>
        <v>2720.91</v>
      </c>
      <c r="K8" s="11">
        <v>0</v>
      </c>
      <c r="L8" s="11">
        <f t="shared" si="13"/>
        <v>9555.4299999999985</v>
      </c>
      <c r="M8" s="11">
        <f>630.28+2878.14+5370.69</f>
        <v>8879.11</v>
      </c>
      <c r="N8" s="11">
        <v>67.22</v>
      </c>
      <c r="O8" s="11">
        <v>97.13</v>
      </c>
      <c r="P8" s="11">
        <v>0</v>
      </c>
      <c r="Q8" s="11">
        <v>0</v>
      </c>
      <c r="R8" s="11">
        <v>204.75</v>
      </c>
      <c r="S8" s="11">
        <v>123.23</v>
      </c>
      <c r="T8" s="11">
        <v>183.99</v>
      </c>
      <c r="U8" s="11">
        <v>94.46</v>
      </c>
      <c r="V8" s="33">
        <v>10</v>
      </c>
      <c r="W8" s="33">
        <v>29</v>
      </c>
      <c r="X8" s="11">
        <v>2605</v>
      </c>
      <c r="Y8" s="11">
        <v>450</v>
      </c>
      <c r="Z8" s="31">
        <f t="shared" si="9"/>
        <v>17.550000000000182</v>
      </c>
      <c r="AA8" s="32">
        <f t="shared" si="3"/>
        <v>0</v>
      </c>
      <c r="AB8" s="32">
        <f t="shared" ref="AB8" si="14">SUM(G8-AC8)</f>
        <v>128</v>
      </c>
      <c r="AC8" s="32">
        <v>10</v>
      </c>
      <c r="AD8" s="33">
        <f t="shared" si="11"/>
        <v>19</v>
      </c>
      <c r="AE8" s="33">
        <v>10</v>
      </c>
      <c r="AF8" s="33">
        <v>4300</v>
      </c>
      <c r="AG8" s="33">
        <f t="shared" si="12"/>
        <v>4271</v>
      </c>
    </row>
    <row r="9" spans="1:33" ht="37.5" customHeight="1">
      <c r="A9" s="65" t="s">
        <v>27</v>
      </c>
      <c r="B9" s="66"/>
      <c r="C9" s="27">
        <f t="shared" ref="C9:AG9" si="15">SUM(C2:C8)</f>
        <v>52642.760000000009</v>
      </c>
      <c r="D9" s="27">
        <f t="shared" si="15"/>
        <v>30288.14</v>
      </c>
      <c r="E9" s="27">
        <f t="shared" si="15"/>
        <v>112.5</v>
      </c>
      <c r="F9" s="27">
        <f t="shared" si="15"/>
        <v>574</v>
      </c>
      <c r="G9" s="27">
        <f t="shared" si="15"/>
        <v>662</v>
      </c>
      <c r="H9" s="27">
        <f t="shared" si="15"/>
        <v>591.70000000000005</v>
      </c>
      <c r="I9" s="27">
        <f t="shared" si="15"/>
        <v>85018.23</v>
      </c>
      <c r="J9" s="27">
        <f t="shared" si="15"/>
        <v>16926.16</v>
      </c>
      <c r="K9" s="27">
        <f t="shared" si="15"/>
        <v>0</v>
      </c>
      <c r="L9" s="27">
        <f t="shared" si="15"/>
        <v>67380</v>
      </c>
      <c r="M9" s="27">
        <f t="shared" si="15"/>
        <v>61050.659999999996</v>
      </c>
      <c r="N9" s="27">
        <f t="shared" si="15"/>
        <v>310.95999999999998</v>
      </c>
      <c r="O9" s="27">
        <f t="shared" si="15"/>
        <v>97.13</v>
      </c>
      <c r="P9" s="27">
        <f t="shared" si="15"/>
        <v>381.1</v>
      </c>
      <c r="Q9" s="27">
        <f t="shared" si="15"/>
        <v>481.22</v>
      </c>
      <c r="R9" s="27">
        <f t="shared" si="15"/>
        <v>2533.54</v>
      </c>
      <c r="S9" s="27">
        <f t="shared" si="15"/>
        <v>1466.71</v>
      </c>
      <c r="T9" s="27">
        <f t="shared" si="15"/>
        <v>1058.68</v>
      </c>
      <c r="U9" s="27">
        <f t="shared" si="15"/>
        <v>1532.69</v>
      </c>
      <c r="V9" s="27">
        <f t="shared" si="15"/>
        <v>147.13</v>
      </c>
      <c r="W9" s="27">
        <f t="shared" si="15"/>
        <v>404</v>
      </c>
      <c r="X9" s="27">
        <f t="shared" si="15"/>
        <v>14874.25</v>
      </c>
      <c r="Y9" s="27">
        <f t="shared" si="15"/>
        <v>3150</v>
      </c>
      <c r="Z9" s="27">
        <f t="shared" si="15"/>
        <v>31.9099999999994</v>
      </c>
      <c r="AA9" s="27">
        <f t="shared" si="15"/>
        <v>-42.069999999999709</v>
      </c>
      <c r="AB9" s="27">
        <f t="shared" si="15"/>
        <v>453</v>
      </c>
      <c r="AC9" s="27">
        <f t="shared" si="15"/>
        <v>209</v>
      </c>
      <c r="AD9" s="27">
        <f t="shared" si="15"/>
        <v>130.69999999999999</v>
      </c>
      <c r="AE9" s="27">
        <f t="shared" si="15"/>
        <v>461</v>
      </c>
      <c r="AF9" s="27">
        <f t="shared" si="15"/>
        <v>4300</v>
      </c>
      <c r="AG9" s="27">
        <f t="shared" si="15"/>
        <v>3708.3</v>
      </c>
    </row>
    <row r="10" spans="1:33" s="35" customFormat="1" ht="18.75">
      <c r="A10" s="53">
        <v>45145</v>
      </c>
      <c r="B10" s="10" t="s">
        <v>23</v>
      </c>
      <c r="C10" s="11">
        <v>8533.07</v>
      </c>
      <c r="D10" s="11">
        <v>3640.89</v>
      </c>
      <c r="E10" s="11">
        <v>16.5</v>
      </c>
      <c r="F10" s="11">
        <v>58</v>
      </c>
      <c r="G10" s="11">
        <v>50</v>
      </c>
      <c r="H10" s="11">
        <v>26.2</v>
      </c>
      <c r="I10" s="11">
        <f t="shared" ref="I10:I16" si="16">SUM(C10:H10,V10)</f>
        <v>12329.66</v>
      </c>
      <c r="J10" s="11">
        <f>2548.69+15</f>
        <v>2563.69</v>
      </c>
      <c r="K10" s="11">
        <v>0</v>
      </c>
      <c r="L10" s="59">
        <f>SUM(M10:T10)</f>
        <v>9699.76</v>
      </c>
      <c r="M10" s="11">
        <f>376.69+2861.2+4934.98</f>
        <v>8172.869999999999</v>
      </c>
      <c r="N10" s="11">
        <v>0</v>
      </c>
      <c r="O10" s="11">
        <v>0</v>
      </c>
      <c r="P10" s="11">
        <v>0</v>
      </c>
      <c r="Q10" s="11">
        <v>80.489999999999995</v>
      </c>
      <c r="R10" s="11">
        <v>1020.95</v>
      </c>
      <c r="S10" s="11">
        <f>250.94+163.25</f>
        <v>414.19</v>
      </c>
      <c r="T10" s="11">
        <v>11.26</v>
      </c>
      <c r="U10" s="11">
        <v>5</v>
      </c>
      <c r="V10" s="33">
        <v>5</v>
      </c>
      <c r="W10" s="33">
        <v>35</v>
      </c>
      <c r="X10" s="11">
        <v>2518</v>
      </c>
      <c r="Y10" s="11">
        <v>450</v>
      </c>
      <c r="Z10" s="31">
        <f t="shared" ref="Z10:Z16" si="17">SUM(U10,V10,W10,X10)-J10</f>
        <v>-0.69000000000005457</v>
      </c>
      <c r="AA10" s="32">
        <f t="shared" si="3"/>
        <v>-0.20999999999912689</v>
      </c>
      <c r="AB10" s="32">
        <f>SUM(G10-AC10)</f>
        <v>0</v>
      </c>
      <c r="AC10" s="33">
        <v>50</v>
      </c>
      <c r="AD10" s="33">
        <f>SUM(H10-AE10)</f>
        <v>10.199999999999999</v>
      </c>
      <c r="AE10" s="33">
        <v>16</v>
      </c>
      <c r="AF10" s="33"/>
      <c r="AG10" s="33">
        <f>SUM(AF10-H10)</f>
        <v>-26.2</v>
      </c>
    </row>
    <row r="11" spans="1:33" s="35" customFormat="1" ht="18.75">
      <c r="A11" s="60">
        <v>45146</v>
      </c>
      <c r="B11" s="10" t="s">
        <v>24</v>
      </c>
      <c r="C11" s="11">
        <v>8858.51</v>
      </c>
      <c r="D11" s="11">
        <v>3893.78</v>
      </c>
      <c r="E11" s="11">
        <v>21</v>
      </c>
      <c r="F11" s="11">
        <v>37</v>
      </c>
      <c r="G11" s="11">
        <v>0</v>
      </c>
      <c r="H11" s="11">
        <v>125</v>
      </c>
      <c r="I11" s="11">
        <f t="shared" si="16"/>
        <v>13005.29</v>
      </c>
      <c r="J11" s="11">
        <v>2504.64</v>
      </c>
      <c r="K11" s="11">
        <v>0</v>
      </c>
      <c r="L11" s="59">
        <f>SUM(M11:T11)</f>
        <v>10425.650000000001</v>
      </c>
      <c r="M11" s="11">
        <f>846.4+3067.03+5191.31</f>
        <v>9104.7400000000016</v>
      </c>
      <c r="N11" s="11">
        <v>24.99</v>
      </c>
      <c r="O11" s="11">
        <v>0</v>
      </c>
      <c r="P11" s="11">
        <v>129.79</v>
      </c>
      <c r="Q11" s="11">
        <v>295.32</v>
      </c>
      <c r="R11" s="11">
        <v>347.27</v>
      </c>
      <c r="S11" s="11">
        <v>516.54999999999995</v>
      </c>
      <c r="T11" s="11">
        <v>6.99</v>
      </c>
      <c r="U11" s="11">
        <v>43.26</v>
      </c>
      <c r="V11" s="33">
        <v>70</v>
      </c>
      <c r="W11" s="33">
        <v>13</v>
      </c>
      <c r="X11" s="11">
        <v>2380</v>
      </c>
      <c r="Y11" s="11">
        <v>450</v>
      </c>
      <c r="Z11" s="31">
        <f t="shared" si="17"/>
        <v>1.6200000000003456</v>
      </c>
      <c r="AA11" s="32">
        <f t="shared" si="3"/>
        <v>0</v>
      </c>
      <c r="AB11" s="32">
        <f t="shared" ref="AB11:AB32" si="18">SUM(G11-AC11)</f>
        <v>0</v>
      </c>
      <c r="AC11" s="33">
        <v>0</v>
      </c>
      <c r="AD11" s="33">
        <f t="shared" ref="AD11:AD16" si="19">SUM(H11-AE11)</f>
        <v>50</v>
      </c>
      <c r="AE11" s="33">
        <v>75</v>
      </c>
      <c r="AF11" s="33"/>
      <c r="AG11" s="33">
        <f t="shared" ref="AG11:AG15" si="20">SUM(AF11-H11)</f>
        <v>-125</v>
      </c>
    </row>
    <row r="12" spans="1:33" s="35" customFormat="1" ht="18.75">
      <c r="A12" s="60">
        <v>45147</v>
      </c>
      <c r="B12" s="10" t="s">
        <v>25</v>
      </c>
      <c r="C12" s="11">
        <v>8254.39</v>
      </c>
      <c r="D12" s="11">
        <v>4625.49</v>
      </c>
      <c r="E12" s="11">
        <v>10</v>
      </c>
      <c r="F12" s="11">
        <v>33</v>
      </c>
      <c r="G12" s="11">
        <v>95</v>
      </c>
      <c r="H12" s="11">
        <v>204.91</v>
      </c>
      <c r="I12" s="11">
        <f t="shared" si="16"/>
        <v>13232.789999999999</v>
      </c>
      <c r="J12" s="11">
        <f>2428.38+21</f>
        <v>2449.38</v>
      </c>
      <c r="K12" s="11">
        <v>0</v>
      </c>
      <c r="L12" s="59">
        <f t="shared" ref="L12:L16" si="21">SUM(M12:T12)</f>
        <v>10485.770000000002</v>
      </c>
      <c r="M12" s="11">
        <f>933.28+2753.59+5933.21</f>
        <v>9620.08</v>
      </c>
      <c r="N12" s="11">
        <v>30.03</v>
      </c>
      <c r="O12" s="11">
        <v>0</v>
      </c>
      <c r="P12" s="11">
        <v>0</v>
      </c>
      <c r="Q12" s="11">
        <v>123.36</v>
      </c>
      <c r="R12" s="11">
        <v>405.26</v>
      </c>
      <c r="S12" s="11">
        <v>135.66999999999999</v>
      </c>
      <c r="T12" s="11">
        <v>171.37</v>
      </c>
      <c r="U12" s="11">
        <v>259.89999999999998</v>
      </c>
      <c r="V12" s="33">
        <v>10</v>
      </c>
      <c r="W12" s="33">
        <v>131</v>
      </c>
      <c r="X12" s="11">
        <v>2055.5</v>
      </c>
      <c r="Y12" s="11">
        <v>450</v>
      </c>
      <c r="Z12" s="31">
        <f t="shared" si="17"/>
        <v>7.0199999999999818</v>
      </c>
      <c r="AA12" s="32">
        <f t="shared" si="3"/>
        <v>-92.729999999997744</v>
      </c>
      <c r="AB12" s="32">
        <f t="shared" si="18"/>
        <v>95</v>
      </c>
      <c r="AC12" s="33">
        <v>0</v>
      </c>
      <c r="AD12" s="33">
        <f t="shared" si="19"/>
        <v>0</v>
      </c>
      <c r="AE12" s="33">
        <v>204.91</v>
      </c>
      <c r="AF12" s="33"/>
      <c r="AG12" s="33">
        <f t="shared" si="20"/>
        <v>-204.91</v>
      </c>
    </row>
    <row r="13" spans="1:33" s="35" customFormat="1" ht="18.75">
      <c r="A13" s="60">
        <v>45148</v>
      </c>
      <c r="B13" s="10" t="s">
        <v>26</v>
      </c>
      <c r="C13" s="11">
        <v>8292.81</v>
      </c>
      <c r="D13" s="11">
        <v>4770.05</v>
      </c>
      <c r="E13" s="11">
        <v>5.5</v>
      </c>
      <c r="F13" s="11">
        <v>77</v>
      </c>
      <c r="G13" s="11">
        <v>90</v>
      </c>
      <c r="H13" s="11">
        <v>20</v>
      </c>
      <c r="I13" s="11">
        <f t="shared" si="16"/>
        <v>13375.36</v>
      </c>
      <c r="J13" s="11">
        <f>2226.87+25</f>
        <v>2251.87</v>
      </c>
      <c r="K13" s="11">
        <v>0</v>
      </c>
      <c r="L13" s="59">
        <f t="shared" si="21"/>
        <v>11073.49</v>
      </c>
      <c r="M13" s="11">
        <f>844.51+3564.1+5329.18</f>
        <v>9737.7900000000009</v>
      </c>
      <c r="N13" s="11">
        <v>60</v>
      </c>
      <c r="O13" s="11">
        <v>0</v>
      </c>
      <c r="P13" s="11">
        <v>0</v>
      </c>
      <c r="Q13" s="11">
        <v>229.98</v>
      </c>
      <c r="R13" s="11">
        <v>677.72</v>
      </c>
      <c r="S13" s="11">
        <v>165.6</v>
      </c>
      <c r="T13" s="11">
        <v>202.4</v>
      </c>
      <c r="U13" s="11">
        <v>772.12</v>
      </c>
      <c r="V13" s="33">
        <v>120</v>
      </c>
      <c r="W13" s="33">
        <v>97</v>
      </c>
      <c r="X13" s="11">
        <v>1265</v>
      </c>
      <c r="Y13" s="11">
        <v>450</v>
      </c>
      <c r="Z13" s="31">
        <f t="shared" si="17"/>
        <v>2.25</v>
      </c>
      <c r="AA13" s="32">
        <f t="shared" si="3"/>
        <v>0</v>
      </c>
      <c r="AB13" s="32">
        <f t="shared" si="18"/>
        <v>40</v>
      </c>
      <c r="AC13" s="33">
        <v>50</v>
      </c>
      <c r="AD13" s="33">
        <f t="shared" si="19"/>
        <v>20</v>
      </c>
      <c r="AE13" s="33">
        <v>0</v>
      </c>
      <c r="AF13" s="33"/>
      <c r="AG13" s="33">
        <f t="shared" si="20"/>
        <v>-20</v>
      </c>
    </row>
    <row r="14" spans="1:33" s="35" customFormat="1" ht="18.75">
      <c r="A14" s="60">
        <v>45149</v>
      </c>
      <c r="B14" s="10" t="s">
        <v>20</v>
      </c>
      <c r="C14" s="11">
        <v>10190.01</v>
      </c>
      <c r="D14" s="11">
        <v>5685.85</v>
      </c>
      <c r="E14" s="11">
        <v>58</v>
      </c>
      <c r="F14" s="11">
        <v>86</v>
      </c>
      <c r="G14" s="11">
        <v>185</v>
      </c>
      <c r="H14" s="11">
        <v>318</v>
      </c>
      <c r="I14" s="11">
        <f t="shared" si="16"/>
        <v>16611.150000000001</v>
      </c>
      <c r="J14" s="43">
        <f>2764.98+26</f>
        <v>2790.98</v>
      </c>
      <c r="K14" s="43">
        <v>0</v>
      </c>
      <c r="L14" s="59">
        <f t="shared" si="21"/>
        <v>13512.169999999998</v>
      </c>
      <c r="M14" s="11">
        <f>759.36+4120.3+6823.96</f>
        <v>11703.619999999999</v>
      </c>
      <c r="N14" s="11">
        <v>134.38</v>
      </c>
      <c r="O14" s="11">
        <v>0</v>
      </c>
      <c r="P14" s="11">
        <v>62.34</v>
      </c>
      <c r="Q14" s="11">
        <v>136.88999999999999</v>
      </c>
      <c r="R14" s="11">
        <v>900.09</v>
      </c>
      <c r="S14" s="11">
        <v>317.06</v>
      </c>
      <c r="T14" s="11">
        <v>257.79000000000002</v>
      </c>
      <c r="U14" s="11">
        <v>169.2</v>
      </c>
      <c r="V14" s="33">
        <v>88.29</v>
      </c>
      <c r="W14" s="33">
        <v>48</v>
      </c>
      <c r="X14" s="11">
        <v>2487.4499999999998</v>
      </c>
      <c r="Y14" s="11">
        <v>450</v>
      </c>
      <c r="Z14" s="31">
        <f t="shared" si="17"/>
        <v>1.9599999999995816</v>
      </c>
      <c r="AA14" s="32">
        <f t="shared" si="3"/>
        <v>0</v>
      </c>
      <c r="AB14" s="32">
        <f t="shared" si="18"/>
        <v>185</v>
      </c>
      <c r="AC14" s="33">
        <v>0</v>
      </c>
      <c r="AD14" s="33">
        <f t="shared" si="19"/>
        <v>10</v>
      </c>
      <c r="AE14" s="33">
        <v>308</v>
      </c>
      <c r="AF14" s="33"/>
      <c r="AG14" s="33">
        <f t="shared" si="20"/>
        <v>-318</v>
      </c>
    </row>
    <row r="15" spans="1:33" s="35" customFormat="1" ht="18.75">
      <c r="A15" s="61">
        <v>45150</v>
      </c>
      <c r="B15" s="10" t="s">
        <v>21</v>
      </c>
      <c r="C15" s="11">
        <v>7473.63</v>
      </c>
      <c r="D15" s="11">
        <v>5198.08</v>
      </c>
      <c r="E15" s="11">
        <v>40</v>
      </c>
      <c r="F15" s="11">
        <v>99</v>
      </c>
      <c r="G15" s="11">
        <v>128</v>
      </c>
      <c r="H15" s="11">
        <v>138</v>
      </c>
      <c r="I15" s="11">
        <f t="shared" si="16"/>
        <v>13116.71</v>
      </c>
      <c r="J15" s="11">
        <f>2440.22+23.51</f>
        <v>2463.73</v>
      </c>
      <c r="K15" s="11">
        <v>0</v>
      </c>
      <c r="L15" s="11">
        <f t="shared" si="21"/>
        <v>10539.98</v>
      </c>
      <c r="M15" s="11">
        <f>68.13+866.36+2877.02+6302.13</f>
        <v>10113.64</v>
      </c>
      <c r="N15" s="11">
        <v>7.98</v>
      </c>
      <c r="O15" s="11">
        <v>0</v>
      </c>
      <c r="P15" s="11">
        <v>15.15</v>
      </c>
      <c r="Q15" s="11">
        <v>58.42</v>
      </c>
      <c r="R15" s="11">
        <v>94.61</v>
      </c>
      <c r="S15" s="11">
        <v>0</v>
      </c>
      <c r="T15" s="11">
        <v>250.18</v>
      </c>
      <c r="U15" s="11">
        <v>0</v>
      </c>
      <c r="V15" s="33">
        <v>40</v>
      </c>
      <c r="W15" s="33">
        <v>54.4</v>
      </c>
      <c r="X15" s="11">
        <v>2370</v>
      </c>
      <c r="Y15" s="11">
        <v>450</v>
      </c>
      <c r="Z15" s="31">
        <f t="shared" si="17"/>
        <v>0.67000000000007276</v>
      </c>
      <c r="AA15" s="32">
        <f t="shared" si="3"/>
        <v>0</v>
      </c>
      <c r="AB15" s="32">
        <f t="shared" si="18"/>
        <v>78</v>
      </c>
      <c r="AC15" s="33">
        <v>50</v>
      </c>
      <c r="AD15" s="33">
        <f t="shared" si="19"/>
        <v>75</v>
      </c>
      <c r="AE15" s="33">
        <v>63</v>
      </c>
      <c r="AF15" s="33"/>
      <c r="AG15" s="33">
        <f t="shared" si="20"/>
        <v>-138</v>
      </c>
    </row>
    <row r="16" spans="1:33" s="35" customFormat="1" ht="18.75">
      <c r="A16" s="61">
        <v>45151</v>
      </c>
      <c r="B16" s="10" t="s">
        <v>22</v>
      </c>
      <c r="C16" s="11">
        <v>6758.53</v>
      </c>
      <c r="D16" s="11">
        <f>3921.5+94.62</f>
        <v>4016.12</v>
      </c>
      <c r="E16" s="11">
        <v>0</v>
      </c>
      <c r="F16" s="11">
        <v>102</v>
      </c>
      <c r="G16" s="11">
        <v>0</v>
      </c>
      <c r="H16" s="11">
        <v>45</v>
      </c>
      <c r="I16" s="11">
        <f t="shared" si="16"/>
        <v>10941.65</v>
      </c>
      <c r="J16" s="11">
        <f>2298.63+17</f>
        <v>2315.63</v>
      </c>
      <c r="K16" s="11">
        <v>0</v>
      </c>
      <c r="L16" s="11">
        <f t="shared" si="21"/>
        <v>8591.02</v>
      </c>
      <c r="M16" s="11">
        <f>680.77+2966.95+4452.96</f>
        <v>8100.68</v>
      </c>
      <c r="N16" s="11">
        <v>0</v>
      </c>
      <c r="O16" s="11">
        <v>80.94</v>
      </c>
      <c r="P16" s="11">
        <v>122.03</v>
      </c>
      <c r="Q16" s="11">
        <v>109.73</v>
      </c>
      <c r="R16" s="11">
        <v>30.01</v>
      </c>
      <c r="S16" s="11">
        <v>44.01</v>
      </c>
      <c r="T16" s="11">
        <v>103.62</v>
      </c>
      <c r="U16" s="11">
        <v>94.62</v>
      </c>
      <c r="V16" s="33">
        <v>20</v>
      </c>
      <c r="W16" s="33">
        <v>82</v>
      </c>
      <c r="X16" s="11">
        <v>2120</v>
      </c>
      <c r="Y16" s="11">
        <v>450</v>
      </c>
      <c r="Z16" s="31">
        <f t="shared" si="17"/>
        <v>0.98999999999978172</v>
      </c>
      <c r="AA16" s="32">
        <f t="shared" si="3"/>
        <v>0</v>
      </c>
      <c r="AB16" s="32">
        <f t="shared" si="18"/>
        <v>0</v>
      </c>
      <c r="AC16" s="33">
        <v>0</v>
      </c>
      <c r="AD16" s="33">
        <f t="shared" si="19"/>
        <v>10</v>
      </c>
      <c r="AE16" s="33">
        <v>35</v>
      </c>
      <c r="AF16" s="33">
        <v>4000</v>
      </c>
      <c r="AG16" s="33">
        <f>SUM(AF16-H16)</f>
        <v>3955</v>
      </c>
    </row>
    <row r="17" spans="1:33" ht="37.5" customHeight="1">
      <c r="A17" s="65" t="s">
        <v>27</v>
      </c>
      <c r="B17" s="66"/>
      <c r="C17" s="27">
        <f>SUM(C10:C16)</f>
        <v>58360.95</v>
      </c>
      <c r="D17" s="27">
        <f t="shared" ref="D17:AG17" si="22">SUM(D10:D16)</f>
        <v>31830.26</v>
      </c>
      <c r="E17" s="27">
        <f t="shared" si="22"/>
        <v>151</v>
      </c>
      <c r="F17" s="27">
        <f t="shared" si="22"/>
        <v>492</v>
      </c>
      <c r="G17" s="27">
        <f t="shared" si="22"/>
        <v>548</v>
      </c>
      <c r="H17" s="27">
        <f t="shared" si="22"/>
        <v>877.11</v>
      </c>
      <c r="I17" s="27">
        <f t="shared" si="22"/>
        <v>92612.609999999986</v>
      </c>
      <c r="J17" s="27">
        <f t="shared" si="22"/>
        <v>17339.919999999998</v>
      </c>
      <c r="K17" s="27">
        <f t="shared" si="22"/>
        <v>0</v>
      </c>
      <c r="L17" s="27">
        <f t="shared" si="22"/>
        <v>74327.840000000011</v>
      </c>
      <c r="M17" s="27">
        <f t="shared" si="22"/>
        <v>66553.420000000013</v>
      </c>
      <c r="N17" s="27">
        <f t="shared" si="22"/>
        <v>257.38</v>
      </c>
      <c r="O17" s="27">
        <f t="shared" si="22"/>
        <v>80.94</v>
      </c>
      <c r="P17" s="27">
        <f t="shared" si="22"/>
        <v>329.31</v>
      </c>
      <c r="Q17" s="27">
        <f t="shared" si="22"/>
        <v>1034.1899999999998</v>
      </c>
      <c r="R17" s="27">
        <f t="shared" si="22"/>
        <v>3475.9100000000003</v>
      </c>
      <c r="S17" s="27">
        <f t="shared" si="22"/>
        <v>1593.08</v>
      </c>
      <c r="T17" s="27">
        <f t="shared" si="22"/>
        <v>1003.61</v>
      </c>
      <c r="U17" s="27">
        <f t="shared" si="22"/>
        <v>1344.1</v>
      </c>
      <c r="V17" s="27">
        <f t="shared" si="22"/>
        <v>353.29</v>
      </c>
      <c r="W17" s="27">
        <f t="shared" si="22"/>
        <v>460.4</v>
      </c>
      <c r="X17" s="27">
        <f t="shared" si="22"/>
        <v>15195.95</v>
      </c>
      <c r="Y17" s="27">
        <f t="shared" si="22"/>
        <v>3150</v>
      </c>
      <c r="Z17" s="27">
        <f t="shared" si="22"/>
        <v>13.819999999999709</v>
      </c>
      <c r="AA17" s="27">
        <f t="shared" si="22"/>
        <v>-92.939999999996871</v>
      </c>
      <c r="AB17" s="27">
        <f t="shared" si="22"/>
        <v>398</v>
      </c>
      <c r="AC17" s="27">
        <f t="shared" si="22"/>
        <v>150</v>
      </c>
      <c r="AD17" s="27">
        <f t="shared" si="22"/>
        <v>175.2</v>
      </c>
      <c r="AE17" s="27">
        <f t="shared" si="22"/>
        <v>701.91</v>
      </c>
      <c r="AF17" s="27">
        <f>SUM(AF10:AF16)</f>
        <v>4000</v>
      </c>
      <c r="AG17" s="27">
        <f t="shared" si="22"/>
        <v>3122.89</v>
      </c>
    </row>
    <row r="18" spans="1:33" s="35" customFormat="1" ht="18.75">
      <c r="A18" s="60">
        <v>45152</v>
      </c>
      <c r="B18" s="10" t="s">
        <v>23</v>
      </c>
      <c r="C18" s="11">
        <v>7473.02</v>
      </c>
      <c r="D18" s="11">
        <v>3175.98</v>
      </c>
      <c r="E18" s="11">
        <v>17.5</v>
      </c>
      <c r="F18" s="11">
        <v>48</v>
      </c>
      <c r="G18" s="11">
        <v>0</v>
      </c>
      <c r="H18" s="11">
        <v>648</v>
      </c>
      <c r="I18" s="11">
        <f>SUM(C18:H18,V18)</f>
        <v>11374.5</v>
      </c>
      <c r="J18" s="11">
        <f>2029.24+0.01</f>
        <v>2029.25</v>
      </c>
      <c r="K18" s="11">
        <v>0</v>
      </c>
      <c r="L18" s="11">
        <f>SUM(M18:T18)</f>
        <v>8745.25</v>
      </c>
      <c r="M18" s="11">
        <f>675.3+1724.56+5310.98</f>
        <v>7710.8399999999992</v>
      </c>
      <c r="N18" s="11">
        <v>0</v>
      </c>
      <c r="O18" s="11">
        <v>0</v>
      </c>
      <c r="P18" s="11">
        <v>0</v>
      </c>
      <c r="Q18" s="11">
        <v>0</v>
      </c>
      <c r="R18" s="11">
        <v>493.74</v>
      </c>
      <c r="S18" s="11">
        <f>337.92+105.6+92.88</f>
        <v>536.4</v>
      </c>
      <c r="T18" s="11">
        <v>4.2699999999999996</v>
      </c>
      <c r="U18" s="11">
        <v>187.95</v>
      </c>
      <c r="V18" s="33">
        <v>12</v>
      </c>
      <c r="W18" s="33">
        <v>67</v>
      </c>
      <c r="X18" s="11">
        <v>1762</v>
      </c>
      <c r="Y18" s="11">
        <v>450</v>
      </c>
      <c r="Z18" s="31">
        <f t="shared" ref="Z18:Z24" si="23">SUM(U18,V18,W18,X18)-J18</f>
        <v>-0.29999999999995453</v>
      </c>
      <c r="AA18" s="32">
        <f t="shared" si="3"/>
        <v>0</v>
      </c>
      <c r="AB18" s="32">
        <f t="shared" si="18"/>
        <v>0</v>
      </c>
      <c r="AC18" s="32">
        <v>0</v>
      </c>
      <c r="AD18" s="33">
        <f t="shared" ref="AD18:AD24" si="24">SUM(H18-AE18)</f>
        <v>48</v>
      </c>
      <c r="AE18" s="33">
        <v>600</v>
      </c>
      <c r="AF18" s="33"/>
      <c r="AG18" s="33">
        <f t="shared" ref="AG18:AG24" si="25">SUM(AF18-H18)</f>
        <v>-648</v>
      </c>
    </row>
    <row r="19" spans="1:33" s="35" customFormat="1" ht="18.75">
      <c r="A19" s="60">
        <v>45153</v>
      </c>
      <c r="B19" s="10" t="s">
        <v>24</v>
      </c>
      <c r="C19" s="11">
        <v>9885.65</v>
      </c>
      <c r="D19" s="11">
        <v>4076.29</v>
      </c>
      <c r="E19" s="11">
        <v>15.5</v>
      </c>
      <c r="F19" s="11">
        <v>137</v>
      </c>
      <c r="G19" s="11">
        <v>40</v>
      </c>
      <c r="H19" s="11">
        <v>50</v>
      </c>
      <c r="I19" s="11">
        <f t="shared" ref="I19:I24" si="26">SUM(C19:H19,V19)</f>
        <v>14204.439999999999</v>
      </c>
      <c r="J19" s="11">
        <f>2843.57+37</f>
        <v>2880.57</v>
      </c>
      <c r="K19" s="11">
        <v>0</v>
      </c>
      <c r="L19" s="11">
        <f>SUM(M19:T19)</f>
        <v>11308.87</v>
      </c>
      <c r="M19" s="11">
        <f>886.25+3152.16+6029.77</f>
        <v>10068.18</v>
      </c>
      <c r="N19" s="11">
        <v>0</v>
      </c>
      <c r="O19" s="11">
        <v>0</v>
      </c>
      <c r="P19" s="11">
        <v>129.46</v>
      </c>
      <c r="Q19" s="11">
        <v>202.99</v>
      </c>
      <c r="R19" s="11">
        <v>575.21</v>
      </c>
      <c r="S19" s="11">
        <v>242.02</v>
      </c>
      <c r="T19" s="11">
        <v>91.01</v>
      </c>
      <c r="U19" s="11">
        <v>0</v>
      </c>
      <c r="V19" s="33">
        <v>0</v>
      </c>
      <c r="W19" s="33">
        <v>117</v>
      </c>
      <c r="X19" s="11">
        <v>2757</v>
      </c>
      <c r="Y19" s="11">
        <v>450</v>
      </c>
      <c r="Z19" s="31">
        <f t="shared" si="23"/>
        <v>-6.5700000000001637</v>
      </c>
      <c r="AA19" s="32">
        <f t="shared" si="3"/>
        <v>0</v>
      </c>
      <c r="AB19" s="32">
        <f t="shared" si="18"/>
        <v>40</v>
      </c>
      <c r="AC19" s="32">
        <v>0</v>
      </c>
      <c r="AD19" s="33">
        <f t="shared" si="24"/>
        <v>35</v>
      </c>
      <c r="AE19" s="33">
        <v>15</v>
      </c>
      <c r="AF19" s="33"/>
      <c r="AG19" s="33">
        <f t="shared" si="25"/>
        <v>-50</v>
      </c>
    </row>
    <row r="20" spans="1:33" s="35" customFormat="1" ht="18.75">
      <c r="A20" s="60">
        <v>45154</v>
      </c>
      <c r="B20" s="10" t="s">
        <v>25</v>
      </c>
      <c r="C20" s="11">
        <v>8705.32</v>
      </c>
      <c r="D20" s="11">
        <v>4470.4799999999996</v>
      </c>
      <c r="E20" s="11">
        <v>6.5</v>
      </c>
      <c r="F20" s="11">
        <v>19</v>
      </c>
      <c r="G20" s="11">
        <v>0</v>
      </c>
      <c r="H20" s="11">
        <v>319</v>
      </c>
      <c r="I20" s="11">
        <f t="shared" si="26"/>
        <v>13556.3</v>
      </c>
      <c r="J20" s="11">
        <f>1957.57+7.9</f>
        <v>1965.47</v>
      </c>
      <c r="K20" s="11">
        <v>0</v>
      </c>
      <c r="L20" s="11">
        <f t="shared" ref="L20:L24" si="27">SUM(M20:T20)</f>
        <v>11450.83</v>
      </c>
      <c r="M20" s="11">
        <f>1242.87+3327.22+5834.31</f>
        <v>10404.400000000001</v>
      </c>
      <c r="N20" s="11">
        <v>0</v>
      </c>
      <c r="O20" s="11">
        <v>0</v>
      </c>
      <c r="P20" s="11">
        <v>62.14</v>
      </c>
      <c r="Q20" s="11">
        <v>45.26</v>
      </c>
      <c r="R20" s="11">
        <v>428.9</v>
      </c>
      <c r="S20" s="11">
        <f>257.45+47.77</f>
        <v>305.21999999999997</v>
      </c>
      <c r="T20" s="11">
        <v>204.91</v>
      </c>
      <c r="U20" s="11">
        <v>368.33</v>
      </c>
      <c r="V20" s="33">
        <v>36</v>
      </c>
      <c r="W20" s="33">
        <v>15.9</v>
      </c>
      <c r="X20" s="11">
        <v>1550</v>
      </c>
      <c r="Y20" s="11">
        <v>450</v>
      </c>
      <c r="Z20" s="31">
        <f t="shared" si="23"/>
        <v>4.7599999999999909</v>
      </c>
      <c r="AA20" s="32">
        <f t="shared" si="3"/>
        <v>0</v>
      </c>
      <c r="AB20" s="32">
        <f t="shared" si="18"/>
        <v>0</v>
      </c>
      <c r="AC20" s="32">
        <v>0</v>
      </c>
      <c r="AD20" s="33">
        <f t="shared" si="24"/>
        <v>179</v>
      </c>
      <c r="AE20" s="33">
        <v>140</v>
      </c>
      <c r="AF20" s="33"/>
      <c r="AG20" s="33">
        <f t="shared" si="25"/>
        <v>-319</v>
      </c>
    </row>
    <row r="21" spans="1:33" s="35" customFormat="1" ht="18.75">
      <c r="A21" s="60">
        <v>45155</v>
      </c>
      <c r="B21" s="10" t="s">
        <v>26</v>
      </c>
      <c r="C21" s="11">
        <v>8033.49</v>
      </c>
      <c r="D21" s="11">
        <v>4064.06</v>
      </c>
      <c r="E21" s="11">
        <v>7.5</v>
      </c>
      <c r="F21" s="11">
        <v>46</v>
      </c>
      <c r="G21" s="11">
        <v>90</v>
      </c>
      <c r="H21" s="11">
        <v>344.35</v>
      </c>
      <c r="I21" s="11">
        <f t="shared" si="26"/>
        <v>12586.4</v>
      </c>
      <c r="J21" s="11">
        <v>2435.0100000000002</v>
      </c>
      <c r="K21" s="11">
        <v>0</v>
      </c>
      <c r="L21" s="11">
        <f t="shared" si="27"/>
        <v>9929.74</v>
      </c>
      <c r="M21" s="11">
        <f>819.99+3424.67+4469.51</f>
        <v>8714.17</v>
      </c>
      <c r="N21" s="11">
        <v>142.83000000000001</v>
      </c>
      <c r="O21" s="11">
        <v>0</v>
      </c>
      <c r="P21" s="11">
        <v>0</v>
      </c>
      <c r="Q21" s="11">
        <v>63.29</v>
      </c>
      <c r="R21" s="11">
        <v>858.98</v>
      </c>
      <c r="S21" s="11">
        <v>55.49</v>
      </c>
      <c r="T21" s="11">
        <v>94.98</v>
      </c>
      <c r="U21" s="11">
        <v>358.4</v>
      </c>
      <c r="V21" s="33">
        <v>1</v>
      </c>
      <c r="W21" s="33">
        <v>17</v>
      </c>
      <c r="X21" s="11">
        <v>2075</v>
      </c>
      <c r="Y21" s="11">
        <v>450</v>
      </c>
      <c r="Z21" s="31">
        <f t="shared" si="23"/>
        <v>16.389999999999873</v>
      </c>
      <c r="AA21" s="32">
        <f t="shared" si="3"/>
        <v>0</v>
      </c>
      <c r="AB21" s="32">
        <f t="shared" si="18"/>
        <v>90</v>
      </c>
      <c r="AC21" s="32">
        <v>0</v>
      </c>
      <c r="AD21" s="33">
        <f t="shared" si="24"/>
        <v>122.70000000000002</v>
      </c>
      <c r="AE21" s="33">
        <v>221.65</v>
      </c>
      <c r="AF21" s="33"/>
      <c r="AG21" s="33">
        <f t="shared" si="25"/>
        <v>-344.35</v>
      </c>
    </row>
    <row r="22" spans="1:33" s="35" customFormat="1" ht="18.75">
      <c r="A22" s="9">
        <v>45156</v>
      </c>
      <c r="B22" s="10" t="s">
        <v>20</v>
      </c>
      <c r="C22" s="11">
        <v>9114.15</v>
      </c>
      <c r="D22" s="11">
        <v>5196.09</v>
      </c>
      <c r="E22" s="11">
        <v>25.5</v>
      </c>
      <c r="F22" s="11">
        <v>120</v>
      </c>
      <c r="G22" s="11">
        <v>70</v>
      </c>
      <c r="H22" s="11">
        <v>168.95</v>
      </c>
      <c r="I22" s="11">
        <f t="shared" si="26"/>
        <v>14694.69</v>
      </c>
      <c r="J22" s="11">
        <v>2858.08</v>
      </c>
      <c r="K22" s="11">
        <v>0</v>
      </c>
      <c r="L22" s="11">
        <f t="shared" si="27"/>
        <v>11722.650000000001</v>
      </c>
      <c r="M22" s="11">
        <f>1424.77+3202.31+5870.68</f>
        <v>10497.76</v>
      </c>
      <c r="N22" s="11">
        <v>20.440000000000001</v>
      </c>
      <c r="O22" s="11">
        <v>0</v>
      </c>
      <c r="P22" s="11">
        <v>0</v>
      </c>
      <c r="Q22" s="11">
        <v>116.16</v>
      </c>
      <c r="R22" s="11">
        <v>349.69</v>
      </c>
      <c r="S22" s="11">
        <f>20.34+62.31+134.05+303.62+146.27</f>
        <v>666.59</v>
      </c>
      <c r="T22" s="11">
        <v>72.010000000000005</v>
      </c>
      <c r="U22" s="11">
        <v>54.99</v>
      </c>
      <c r="V22" s="33">
        <v>0</v>
      </c>
      <c r="W22" s="33">
        <v>33</v>
      </c>
      <c r="X22" s="11">
        <v>2772</v>
      </c>
      <c r="Y22" s="11">
        <v>450</v>
      </c>
      <c r="Z22" s="31">
        <f t="shared" si="23"/>
        <v>1.9099999999998545</v>
      </c>
      <c r="AA22" s="32">
        <f t="shared" si="3"/>
        <v>-21.949999999998909</v>
      </c>
      <c r="AB22" s="32">
        <f t="shared" si="18"/>
        <v>50</v>
      </c>
      <c r="AC22" s="32">
        <v>20</v>
      </c>
      <c r="AD22" s="33">
        <f t="shared" si="24"/>
        <v>96.939999999999984</v>
      </c>
      <c r="AE22" s="33">
        <v>72.010000000000005</v>
      </c>
      <c r="AF22" s="33"/>
      <c r="AG22" s="33">
        <f t="shared" si="25"/>
        <v>-168.95</v>
      </c>
    </row>
    <row r="23" spans="1:33" s="35" customFormat="1" ht="18.75">
      <c r="A23" s="60">
        <v>45157</v>
      </c>
      <c r="B23" s="10" t="s">
        <v>21</v>
      </c>
      <c r="C23" s="11">
        <v>7728.79</v>
      </c>
      <c r="D23" s="11">
        <v>5548.19</v>
      </c>
      <c r="E23" s="11">
        <v>3</v>
      </c>
      <c r="F23" s="11">
        <v>75</v>
      </c>
      <c r="G23" s="11">
        <v>55</v>
      </c>
      <c r="H23" s="11">
        <v>85</v>
      </c>
      <c r="I23" s="11">
        <f t="shared" si="26"/>
        <v>13510.98</v>
      </c>
      <c r="J23" s="11">
        <v>3174.18</v>
      </c>
      <c r="K23" s="11">
        <v>0</v>
      </c>
      <c r="L23" s="11">
        <f t="shared" si="27"/>
        <v>10321.799999999999</v>
      </c>
      <c r="M23" s="11">
        <f>779.82+3538.17+5148.71</f>
        <v>9466.7000000000007</v>
      </c>
      <c r="N23" s="11">
        <v>93.5</v>
      </c>
      <c r="O23" s="11">
        <v>0</v>
      </c>
      <c r="P23" s="11">
        <v>0</v>
      </c>
      <c r="Q23" s="11">
        <v>0</v>
      </c>
      <c r="R23" s="11">
        <v>301.88</v>
      </c>
      <c r="S23" s="11">
        <v>130.41</v>
      </c>
      <c r="T23" s="11">
        <v>329.31</v>
      </c>
      <c r="U23" s="11">
        <v>0</v>
      </c>
      <c r="V23" s="33">
        <v>16</v>
      </c>
      <c r="W23" s="33">
        <v>69</v>
      </c>
      <c r="X23" s="11">
        <v>3072.5</v>
      </c>
      <c r="Y23" s="11">
        <v>450</v>
      </c>
      <c r="Z23" s="31">
        <f t="shared" si="23"/>
        <v>-16.679999999999836</v>
      </c>
      <c r="AA23" s="32">
        <f t="shared" si="3"/>
        <v>0</v>
      </c>
      <c r="AB23" s="32">
        <f t="shared" si="18"/>
        <v>40</v>
      </c>
      <c r="AC23" s="32">
        <v>15</v>
      </c>
      <c r="AD23" s="33">
        <f t="shared" si="24"/>
        <v>85</v>
      </c>
      <c r="AE23" s="33">
        <v>0</v>
      </c>
      <c r="AF23" s="33"/>
      <c r="AG23" s="33">
        <f t="shared" si="25"/>
        <v>-85</v>
      </c>
    </row>
    <row r="24" spans="1:33" s="35" customFormat="1" ht="18.75">
      <c r="A24" s="60">
        <v>45158</v>
      </c>
      <c r="B24" s="10" t="s">
        <v>22</v>
      </c>
      <c r="C24" s="11">
        <v>7319.74</v>
      </c>
      <c r="D24" s="11">
        <f>4053.13+100.62</f>
        <v>4153.75</v>
      </c>
      <c r="E24" s="11">
        <v>2</v>
      </c>
      <c r="F24" s="11">
        <v>86</v>
      </c>
      <c r="G24" s="11">
        <v>190</v>
      </c>
      <c r="H24" s="11">
        <v>0</v>
      </c>
      <c r="I24" s="11">
        <f t="shared" si="26"/>
        <v>11785.51</v>
      </c>
      <c r="J24" s="11">
        <v>2484.31</v>
      </c>
      <c r="K24" s="11">
        <v>0</v>
      </c>
      <c r="L24" s="11">
        <f t="shared" si="27"/>
        <v>9216.1999999999989</v>
      </c>
      <c r="M24" s="11">
        <f>954.33+3263.97+4577.86</f>
        <v>8796.16</v>
      </c>
      <c r="N24" s="11">
        <v>71.849999999999994</v>
      </c>
      <c r="O24" s="11">
        <v>0</v>
      </c>
      <c r="P24" s="11">
        <v>79.08</v>
      </c>
      <c r="Q24" s="11">
        <v>0</v>
      </c>
      <c r="R24" s="11">
        <v>73.47</v>
      </c>
      <c r="S24" s="11">
        <v>182.66</v>
      </c>
      <c r="T24" s="11">
        <v>12.98</v>
      </c>
      <c r="U24" s="11">
        <v>190.62</v>
      </c>
      <c r="V24" s="33">
        <v>34.020000000000003</v>
      </c>
      <c r="W24" s="33">
        <v>24</v>
      </c>
      <c r="X24" s="11">
        <v>2230</v>
      </c>
      <c r="Y24" s="11">
        <v>450</v>
      </c>
      <c r="Z24" s="31">
        <f t="shared" si="23"/>
        <v>-5.6700000000000728</v>
      </c>
      <c r="AA24" s="32">
        <f t="shared" si="3"/>
        <v>-5.000000000001819</v>
      </c>
      <c r="AB24" s="32">
        <f t="shared" si="18"/>
        <v>110</v>
      </c>
      <c r="AC24" s="32">
        <v>80</v>
      </c>
      <c r="AD24" s="33">
        <f t="shared" si="24"/>
        <v>0</v>
      </c>
      <c r="AE24" s="33">
        <v>0</v>
      </c>
      <c r="AF24" s="33">
        <v>5130</v>
      </c>
      <c r="AG24" s="33">
        <f t="shared" si="25"/>
        <v>5130</v>
      </c>
    </row>
    <row r="25" spans="1:33" ht="37.5" customHeight="1">
      <c r="A25" s="65" t="s">
        <v>27</v>
      </c>
      <c r="B25" s="66"/>
      <c r="C25" s="27">
        <f>SUM(C18:C24)</f>
        <v>58260.159999999996</v>
      </c>
      <c r="D25" s="27">
        <f t="shared" ref="D25:AG25" si="28">SUM(D18:D24)</f>
        <v>30684.84</v>
      </c>
      <c r="E25" s="27">
        <f t="shared" si="28"/>
        <v>77.5</v>
      </c>
      <c r="F25" s="27">
        <f t="shared" si="28"/>
        <v>531</v>
      </c>
      <c r="G25" s="27">
        <f t="shared" si="28"/>
        <v>445</v>
      </c>
      <c r="H25" s="27">
        <f t="shared" si="28"/>
        <v>1615.3</v>
      </c>
      <c r="I25" s="27">
        <f t="shared" si="28"/>
        <v>91712.819999999992</v>
      </c>
      <c r="J25" s="27">
        <f t="shared" si="28"/>
        <v>17826.87</v>
      </c>
      <c r="K25" s="27">
        <f t="shared" si="28"/>
        <v>0</v>
      </c>
      <c r="L25" s="27">
        <f t="shared" si="28"/>
        <v>72695.34</v>
      </c>
      <c r="M25" s="27">
        <f t="shared" si="28"/>
        <v>65658.210000000006</v>
      </c>
      <c r="N25" s="27">
        <f t="shared" si="28"/>
        <v>328.62</v>
      </c>
      <c r="O25" s="27">
        <f t="shared" si="28"/>
        <v>0</v>
      </c>
      <c r="P25" s="27">
        <f t="shared" si="28"/>
        <v>270.68</v>
      </c>
      <c r="Q25" s="27">
        <f t="shared" si="28"/>
        <v>427.70000000000005</v>
      </c>
      <c r="R25" s="27">
        <f t="shared" si="28"/>
        <v>3081.87</v>
      </c>
      <c r="S25" s="27">
        <f t="shared" si="28"/>
        <v>2118.79</v>
      </c>
      <c r="T25" s="27">
        <f t="shared" si="28"/>
        <v>809.47</v>
      </c>
      <c r="U25" s="27">
        <f t="shared" si="28"/>
        <v>1160.29</v>
      </c>
      <c r="V25" s="27">
        <f t="shared" si="28"/>
        <v>99.02000000000001</v>
      </c>
      <c r="W25" s="27">
        <f t="shared" si="28"/>
        <v>342.9</v>
      </c>
      <c r="X25" s="27">
        <f t="shared" si="28"/>
        <v>16218.5</v>
      </c>
      <c r="Y25" s="27">
        <f t="shared" si="28"/>
        <v>3150</v>
      </c>
      <c r="Z25" s="27">
        <f t="shared" si="28"/>
        <v>-6.1600000000003092</v>
      </c>
      <c r="AA25" s="27">
        <f t="shared" si="28"/>
        <v>-26.950000000000728</v>
      </c>
      <c r="AB25" s="27">
        <f t="shared" si="28"/>
        <v>330</v>
      </c>
      <c r="AC25" s="27">
        <f t="shared" si="28"/>
        <v>115</v>
      </c>
      <c r="AD25" s="27">
        <f t="shared" si="28"/>
        <v>566.6400000000001</v>
      </c>
      <c r="AE25" s="27">
        <f t="shared" si="28"/>
        <v>1048.6600000000001</v>
      </c>
      <c r="AF25" s="27">
        <f t="shared" si="28"/>
        <v>5130</v>
      </c>
      <c r="AG25" s="27">
        <f t="shared" si="28"/>
        <v>3514.7</v>
      </c>
    </row>
    <row r="26" spans="1:33" ht="20.25" customHeight="1">
      <c r="A26" s="9">
        <v>45159</v>
      </c>
      <c r="B26" s="10" t="s">
        <v>23</v>
      </c>
      <c r="C26" s="11">
        <v>7820.54</v>
      </c>
      <c r="D26" s="11">
        <v>3536.07</v>
      </c>
      <c r="E26" s="11">
        <v>6</v>
      </c>
      <c r="F26" s="11">
        <v>77</v>
      </c>
      <c r="G26" s="11">
        <v>15</v>
      </c>
      <c r="H26" s="11">
        <v>178</v>
      </c>
      <c r="I26" s="11">
        <f t="shared" ref="I26:I32" si="29">SUM(C26:H26,V26)</f>
        <v>11632.61</v>
      </c>
      <c r="J26" s="11">
        <v>2613.37</v>
      </c>
      <c r="K26" s="11">
        <v>0</v>
      </c>
      <c r="L26" s="11">
        <f>SUM(M26:T26)</f>
        <v>8936.2400000000016</v>
      </c>
      <c r="M26" s="11">
        <f>714.76+2836.83+4208.14</f>
        <v>7759.7300000000005</v>
      </c>
      <c r="N26" s="11">
        <v>57.02</v>
      </c>
      <c r="O26" s="11">
        <v>0</v>
      </c>
      <c r="P26" s="11">
        <v>0</v>
      </c>
      <c r="Q26" s="11">
        <v>35.64</v>
      </c>
      <c r="R26" s="11">
        <v>951.55</v>
      </c>
      <c r="S26" s="11">
        <v>120.01</v>
      </c>
      <c r="T26" s="11">
        <v>12.29</v>
      </c>
      <c r="U26" s="11">
        <v>0</v>
      </c>
      <c r="V26" s="33">
        <v>0</v>
      </c>
      <c r="W26" s="33">
        <v>69</v>
      </c>
      <c r="X26" s="11">
        <v>2538</v>
      </c>
      <c r="Y26" s="11">
        <v>450</v>
      </c>
      <c r="Z26" s="31">
        <f t="shared" ref="Z26:Z32" si="30">SUM(U26,V26,W26,X26)-J26</f>
        <v>-6.3699999999998909</v>
      </c>
      <c r="AA26" s="32">
        <f t="shared" si="3"/>
        <v>0</v>
      </c>
      <c r="AB26" s="32">
        <f t="shared" si="18"/>
        <v>0</v>
      </c>
      <c r="AC26" s="32">
        <v>15</v>
      </c>
      <c r="AD26" s="33">
        <f t="shared" ref="AD26:AD32" si="31">SUM(H26-AE26)</f>
        <v>110</v>
      </c>
      <c r="AE26" s="33">
        <v>68</v>
      </c>
      <c r="AF26" s="33"/>
      <c r="AG26" s="33">
        <f>SUM(AF26-H26)</f>
        <v>-178</v>
      </c>
    </row>
    <row r="27" spans="1:33" ht="20.25" customHeight="1">
      <c r="A27" s="9">
        <v>45160</v>
      </c>
      <c r="B27" s="10" t="s">
        <v>24</v>
      </c>
      <c r="C27" s="11">
        <v>11130.03</v>
      </c>
      <c r="D27" s="11">
        <v>4280.6000000000004</v>
      </c>
      <c r="E27" s="11">
        <v>23.5</v>
      </c>
      <c r="F27" s="11">
        <v>45</v>
      </c>
      <c r="G27" s="11">
        <v>15</v>
      </c>
      <c r="H27" s="11">
        <v>40</v>
      </c>
      <c r="I27" s="11">
        <f t="shared" si="29"/>
        <v>15534.130000000001</v>
      </c>
      <c r="J27" s="11">
        <v>2593.27</v>
      </c>
      <c r="K27" s="11">
        <v>0</v>
      </c>
      <c r="L27" s="11">
        <f>SUM(M27:T27)</f>
        <v>12910.86</v>
      </c>
      <c r="M27" s="11">
        <f>1746.37+3220.95+5537.9</f>
        <v>10505.22</v>
      </c>
      <c r="N27" s="11">
        <v>2.09</v>
      </c>
      <c r="O27" s="11">
        <v>0</v>
      </c>
      <c r="P27" s="11">
        <v>156.83000000000001</v>
      </c>
      <c r="Q27" s="11">
        <v>457.95</v>
      </c>
      <c r="R27" s="11">
        <v>1293.96</v>
      </c>
      <c r="S27" s="11">
        <f>93.97+372.82</f>
        <v>466.78999999999996</v>
      </c>
      <c r="T27" s="11">
        <v>28.02</v>
      </c>
      <c r="U27" s="11">
        <v>10</v>
      </c>
      <c r="V27" s="33">
        <v>0</v>
      </c>
      <c r="W27" s="33">
        <v>30</v>
      </c>
      <c r="X27" s="11">
        <v>2552</v>
      </c>
      <c r="Y27" s="11">
        <v>450</v>
      </c>
      <c r="Z27" s="31">
        <f t="shared" si="30"/>
        <v>-1.2699999999999818</v>
      </c>
      <c r="AA27" s="32">
        <f t="shared" si="3"/>
        <v>-15</v>
      </c>
      <c r="AB27" s="32">
        <f t="shared" si="18"/>
        <v>0</v>
      </c>
      <c r="AC27" s="32">
        <v>15</v>
      </c>
      <c r="AD27" s="33">
        <f t="shared" si="31"/>
        <v>40</v>
      </c>
      <c r="AE27" s="33">
        <v>0</v>
      </c>
      <c r="AF27" s="33"/>
      <c r="AG27" s="33">
        <f t="shared" ref="AG27:AG32" si="32">SUM(AF27-H27)</f>
        <v>-40</v>
      </c>
    </row>
    <row r="28" spans="1:33" ht="20.25" customHeight="1">
      <c r="A28" s="9">
        <v>45161</v>
      </c>
      <c r="B28" s="10" t="s">
        <v>25</v>
      </c>
      <c r="C28" s="11">
        <v>9537.33</v>
      </c>
      <c r="D28" s="11">
        <v>4075.66</v>
      </c>
      <c r="E28" s="11">
        <v>3.5</v>
      </c>
      <c r="F28" s="11">
        <v>35</v>
      </c>
      <c r="G28" s="11">
        <v>50</v>
      </c>
      <c r="H28" s="11">
        <v>10</v>
      </c>
      <c r="I28" s="11">
        <f>SUM(C28:H28,V28)</f>
        <v>13762.49</v>
      </c>
      <c r="J28" s="11">
        <f>2545.8+10</f>
        <v>2555.8000000000002</v>
      </c>
      <c r="K28" s="11">
        <v>0</v>
      </c>
      <c r="L28" s="11">
        <f t="shared" ref="L28:L32" si="33">SUM(M28:T28)</f>
        <v>11156.689999999999</v>
      </c>
      <c r="M28" s="11">
        <f>808.36+3479.12+5494.84</f>
        <v>9782.32</v>
      </c>
      <c r="N28" s="11">
        <v>0</v>
      </c>
      <c r="O28" s="11">
        <v>0</v>
      </c>
      <c r="P28" s="11">
        <v>58.5</v>
      </c>
      <c r="Q28" s="11">
        <v>212.41</v>
      </c>
      <c r="R28" s="11">
        <v>778.63</v>
      </c>
      <c r="S28" s="11">
        <v>93.27</v>
      </c>
      <c r="T28" s="11">
        <v>231.56</v>
      </c>
      <c r="U28" s="11">
        <v>362.89</v>
      </c>
      <c r="V28" s="33">
        <v>51</v>
      </c>
      <c r="W28" s="33">
        <v>25</v>
      </c>
      <c r="X28" s="11">
        <v>2119.8000000000002</v>
      </c>
      <c r="Y28" s="11">
        <v>450</v>
      </c>
      <c r="Z28" s="31">
        <f t="shared" si="30"/>
        <v>2.8899999999998727</v>
      </c>
      <c r="AA28" s="32">
        <f t="shared" si="3"/>
        <v>0</v>
      </c>
      <c r="AB28" s="32">
        <f t="shared" si="18"/>
        <v>0</v>
      </c>
      <c r="AC28" s="32">
        <v>50</v>
      </c>
      <c r="AD28" s="33">
        <f t="shared" si="31"/>
        <v>10</v>
      </c>
      <c r="AE28" s="33">
        <v>0</v>
      </c>
      <c r="AF28" s="33"/>
      <c r="AG28" s="33">
        <f t="shared" si="32"/>
        <v>-10</v>
      </c>
    </row>
    <row r="29" spans="1:33" ht="20.25" customHeight="1">
      <c r="A29" s="9">
        <v>45162</v>
      </c>
      <c r="B29" s="10" t="s">
        <v>26</v>
      </c>
      <c r="C29" s="11">
        <f>9988.76+92.29</f>
        <v>10081.050000000001</v>
      </c>
      <c r="D29" s="11">
        <v>3967.27</v>
      </c>
      <c r="E29" s="11">
        <v>12</v>
      </c>
      <c r="F29" s="11">
        <v>55</v>
      </c>
      <c r="G29" s="11">
        <v>30</v>
      </c>
      <c r="H29" s="11">
        <v>75</v>
      </c>
      <c r="I29" s="11">
        <f t="shared" si="29"/>
        <v>14220.320000000002</v>
      </c>
      <c r="J29" s="11">
        <v>2484.0500000000002</v>
      </c>
      <c r="K29" s="11">
        <v>0</v>
      </c>
      <c r="L29" s="11">
        <f t="shared" si="33"/>
        <v>11613.92</v>
      </c>
      <c r="M29" s="11">
        <f>1070.43+3174.7+6056.57</f>
        <v>10301.700000000001</v>
      </c>
      <c r="N29" s="11">
        <v>54.05</v>
      </c>
      <c r="O29" s="11">
        <v>0</v>
      </c>
      <c r="P29" s="11">
        <v>66.069999999999993</v>
      </c>
      <c r="Q29" s="11">
        <v>207.86</v>
      </c>
      <c r="R29" s="11">
        <v>655.36</v>
      </c>
      <c r="S29" s="11">
        <v>301.39999999999998</v>
      </c>
      <c r="T29" s="11">
        <v>27.48</v>
      </c>
      <c r="U29" s="11">
        <v>0</v>
      </c>
      <c r="V29" s="33">
        <v>0</v>
      </c>
      <c r="W29" s="33">
        <v>27.1</v>
      </c>
      <c r="X29" s="11">
        <v>2455</v>
      </c>
      <c r="Y29" s="11">
        <v>450</v>
      </c>
      <c r="Z29" s="31">
        <f t="shared" si="30"/>
        <v>-1.9500000000002728</v>
      </c>
      <c r="AA29" s="32">
        <f t="shared" si="3"/>
        <v>-92.350000000000364</v>
      </c>
      <c r="AB29" s="32">
        <f t="shared" si="18"/>
        <v>0</v>
      </c>
      <c r="AC29" s="32">
        <v>30</v>
      </c>
      <c r="AD29" s="33">
        <f t="shared" si="31"/>
        <v>75</v>
      </c>
      <c r="AE29" s="33">
        <v>0</v>
      </c>
      <c r="AF29" s="33"/>
      <c r="AG29" s="33">
        <f t="shared" si="32"/>
        <v>-75</v>
      </c>
    </row>
    <row r="30" spans="1:33" ht="20.25" customHeight="1">
      <c r="A30" s="9">
        <v>45163</v>
      </c>
      <c r="B30" s="10" t="s">
        <v>20</v>
      </c>
      <c r="C30" s="11">
        <v>10774.66</v>
      </c>
      <c r="D30" s="11">
        <v>5927.45</v>
      </c>
      <c r="E30" s="11">
        <v>75</v>
      </c>
      <c r="F30" s="11">
        <v>124</v>
      </c>
      <c r="G30" s="11">
        <v>43</v>
      </c>
      <c r="H30" s="11">
        <v>248</v>
      </c>
      <c r="I30" s="11">
        <f t="shared" si="29"/>
        <v>17217.13</v>
      </c>
      <c r="J30" s="11">
        <v>3253.25</v>
      </c>
      <c r="K30" s="11">
        <v>0</v>
      </c>
      <c r="L30" s="11">
        <f t="shared" si="33"/>
        <v>13822.880000000001</v>
      </c>
      <c r="M30" s="11">
        <f>514.28+4506+7820.74</f>
        <v>12841.02</v>
      </c>
      <c r="N30" s="11">
        <v>0</v>
      </c>
      <c r="O30" s="11">
        <v>95.77</v>
      </c>
      <c r="P30" s="11">
        <v>59.37</v>
      </c>
      <c r="Q30" s="11">
        <v>96.22</v>
      </c>
      <c r="R30" s="11">
        <v>401.6</v>
      </c>
      <c r="S30" s="11">
        <v>282.51</v>
      </c>
      <c r="T30" s="11">
        <v>46.39</v>
      </c>
      <c r="U30" s="11">
        <v>592.67999999999995</v>
      </c>
      <c r="V30" s="33">
        <v>25.02</v>
      </c>
      <c r="W30" s="33">
        <v>65</v>
      </c>
      <c r="X30" s="11">
        <v>2568</v>
      </c>
      <c r="Y30" s="11">
        <v>450</v>
      </c>
      <c r="Z30" s="31">
        <f t="shared" si="30"/>
        <v>-2.5500000000001819</v>
      </c>
      <c r="AA30" s="32">
        <f t="shared" si="3"/>
        <v>0</v>
      </c>
      <c r="AB30" s="32">
        <f t="shared" si="18"/>
        <v>43</v>
      </c>
      <c r="AC30" s="32">
        <v>0</v>
      </c>
      <c r="AD30" s="33">
        <f t="shared" si="31"/>
        <v>107</v>
      </c>
      <c r="AE30" s="33">
        <v>141</v>
      </c>
      <c r="AF30" s="33"/>
      <c r="AG30" s="33">
        <f t="shared" si="32"/>
        <v>-248</v>
      </c>
    </row>
    <row r="31" spans="1:33" ht="20.25" customHeight="1">
      <c r="A31" s="9">
        <v>45164</v>
      </c>
      <c r="B31" s="10" t="s">
        <v>21</v>
      </c>
      <c r="C31" s="11">
        <v>8224.7800000000007</v>
      </c>
      <c r="D31" s="11">
        <v>5206.6400000000003</v>
      </c>
      <c r="E31" s="11">
        <v>21</v>
      </c>
      <c r="F31" s="11">
        <v>67</v>
      </c>
      <c r="G31" s="11">
        <v>120</v>
      </c>
      <c r="H31" s="11">
        <v>200</v>
      </c>
      <c r="I31" s="11">
        <f t="shared" si="29"/>
        <v>13894.430000000002</v>
      </c>
      <c r="J31" s="11">
        <v>2597.91</v>
      </c>
      <c r="K31" s="11">
        <v>0</v>
      </c>
      <c r="L31" s="11">
        <f t="shared" si="33"/>
        <v>11116.46</v>
      </c>
      <c r="M31" s="11">
        <f>854.47+3615.67+5920.37</f>
        <v>10390.51</v>
      </c>
      <c r="N31" s="11">
        <v>132.34</v>
      </c>
      <c r="O31" s="11">
        <v>0</v>
      </c>
      <c r="P31" s="11">
        <v>0</v>
      </c>
      <c r="Q31" s="11">
        <v>69.33</v>
      </c>
      <c r="R31" s="11">
        <v>39.409999999999997</v>
      </c>
      <c r="S31" s="11">
        <v>224.32</v>
      </c>
      <c r="T31" s="11">
        <v>260.55</v>
      </c>
      <c r="U31" s="11">
        <v>0</v>
      </c>
      <c r="V31" s="33">
        <v>55.01</v>
      </c>
      <c r="W31" s="33">
        <v>17</v>
      </c>
      <c r="X31" s="11">
        <v>2536</v>
      </c>
      <c r="Y31" s="11">
        <v>450</v>
      </c>
      <c r="Z31" s="31">
        <f t="shared" si="30"/>
        <v>10.100000000000364</v>
      </c>
      <c r="AA31" s="32">
        <f t="shared" si="3"/>
        <v>-6.0000000003128662E-2</v>
      </c>
      <c r="AB31" s="32">
        <f t="shared" si="18"/>
        <v>70</v>
      </c>
      <c r="AC31" s="32">
        <v>50</v>
      </c>
      <c r="AD31" s="33">
        <f t="shared" si="31"/>
        <v>70</v>
      </c>
      <c r="AE31" s="33">
        <v>130</v>
      </c>
      <c r="AF31" s="33"/>
      <c r="AG31" s="33">
        <f t="shared" si="32"/>
        <v>-200</v>
      </c>
    </row>
    <row r="32" spans="1:33" ht="20.25" customHeight="1">
      <c r="A32" s="9">
        <v>45165</v>
      </c>
      <c r="B32" s="10" t="s">
        <v>22</v>
      </c>
      <c r="C32" s="11">
        <v>5701.8</v>
      </c>
      <c r="D32" s="11">
        <v>4631.6000000000004</v>
      </c>
      <c r="E32" s="11">
        <v>6</v>
      </c>
      <c r="F32" s="11">
        <v>71</v>
      </c>
      <c r="G32" s="11">
        <v>167</v>
      </c>
      <c r="H32" s="11">
        <v>30</v>
      </c>
      <c r="I32" s="11">
        <f t="shared" si="29"/>
        <v>10668.400000000001</v>
      </c>
      <c r="J32" s="11">
        <v>2205.16</v>
      </c>
      <c r="K32" s="11">
        <v>0</v>
      </c>
      <c r="L32" s="11">
        <f t="shared" si="33"/>
        <v>8431.2400000000016</v>
      </c>
      <c r="M32" s="11">
        <f>704.69+2615.75+4723.41</f>
        <v>8043.85</v>
      </c>
      <c r="N32" s="11">
        <v>32.299999999999997</v>
      </c>
      <c r="O32" s="11">
        <v>0</v>
      </c>
      <c r="P32" s="11">
        <v>33.46</v>
      </c>
      <c r="Q32" s="11">
        <v>105.58</v>
      </c>
      <c r="R32" s="11">
        <v>20.02</v>
      </c>
      <c r="S32" s="11">
        <v>125</v>
      </c>
      <c r="T32" s="11">
        <v>71.03</v>
      </c>
      <c r="U32" s="11">
        <v>118.65</v>
      </c>
      <c r="V32" s="33">
        <v>61</v>
      </c>
      <c r="W32" s="33">
        <v>27</v>
      </c>
      <c r="X32" s="11">
        <v>2003</v>
      </c>
      <c r="Y32" s="11">
        <v>450</v>
      </c>
      <c r="Z32" s="31">
        <f t="shared" si="30"/>
        <v>4.4900000000002365</v>
      </c>
      <c r="AA32" s="32">
        <f t="shared" si="3"/>
        <v>0</v>
      </c>
      <c r="AB32" s="32">
        <f t="shared" si="18"/>
        <v>135</v>
      </c>
      <c r="AC32" s="32">
        <v>32</v>
      </c>
      <c r="AD32" s="33">
        <f t="shared" si="31"/>
        <v>30</v>
      </c>
      <c r="AE32" s="33">
        <v>0</v>
      </c>
      <c r="AF32" s="33">
        <v>5030</v>
      </c>
      <c r="AG32" s="33">
        <f t="shared" si="32"/>
        <v>5000</v>
      </c>
    </row>
    <row r="33" spans="1:33" ht="37.5" customHeight="1">
      <c r="A33" s="65" t="s">
        <v>27</v>
      </c>
      <c r="B33" s="66"/>
      <c r="C33" s="27">
        <f t="shared" ref="C33:AG33" si="34">SUM(C26:C32)</f>
        <v>63270.19</v>
      </c>
      <c r="D33" s="27">
        <f t="shared" si="34"/>
        <v>31625.29</v>
      </c>
      <c r="E33" s="27">
        <f t="shared" si="34"/>
        <v>147</v>
      </c>
      <c r="F33" s="27">
        <f t="shared" si="34"/>
        <v>474</v>
      </c>
      <c r="G33" s="27">
        <f t="shared" si="34"/>
        <v>440</v>
      </c>
      <c r="H33" s="27">
        <f t="shared" si="34"/>
        <v>781</v>
      </c>
      <c r="I33" s="27">
        <f t="shared" si="34"/>
        <v>96929.510000000009</v>
      </c>
      <c r="J33" s="27">
        <f t="shared" si="34"/>
        <v>18302.809999999998</v>
      </c>
      <c r="K33" s="27">
        <f t="shared" si="34"/>
        <v>0</v>
      </c>
      <c r="L33" s="27">
        <f t="shared" si="34"/>
        <v>77988.289999999994</v>
      </c>
      <c r="M33" s="27">
        <f t="shared" si="34"/>
        <v>69624.350000000006</v>
      </c>
      <c r="N33" s="27">
        <f t="shared" si="34"/>
        <v>277.8</v>
      </c>
      <c r="O33" s="27">
        <f t="shared" si="34"/>
        <v>95.77</v>
      </c>
      <c r="P33" s="27">
        <f t="shared" si="34"/>
        <v>374.22999999999996</v>
      </c>
      <c r="Q33" s="27">
        <f t="shared" si="34"/>
        <v>1184.99</v>
      </c>
      <c r="R33" s="27">
        <f t="shared" si="34"/>
        <v>4140.5300000000007</v>
      </c>
      <c r="S33" s="27">
        <f t="shared" si="34"/>
        <v>1613.3</v>
      </c>
      <c r="T33" s="27">
        <f t="shared" si="34"/>
        <v>677.31999999999994</v>
      </c>
      <c r="U33" s="27">
        <f t="shared" si="34"/>
        <v>1084.22</v>
      </c>
      <c r="V33" s="27">
        <f t="shared" si="34"/>
        <v>192.03</v>
      </c>
      <c r="W33" s="27">
        <f t="shared" si="34"/>
        <v>260.10000000000002</v>
      </c>
      <c r="X33" s="27">
        <f t="shared" si="34"/>
        <v>16771.8</v>
      </c>
      <c r="Y33" s="27">
        <f t="shared" si="34"/>
        <v>3150</v>
      </c>
      <c r="Z33" s="27">
        <f t="shared" si="34"/>
        <v>5.3400000000001455</v>
      </c>
      <c r="AA33" s="27">
        <f t="shared" si="34"/>
        <v>-107.41000000000349</v>
      </c>
      <c r="AB33" s="27">
        <f t="shared" si="34"/>
        <v>248</v>
      </c>
      <c r="AC33" s="27">
        <f t="shared" si="34"/>
        <v>192</v>
      </c>
      <c r="AD33" s="27">
        <f t="shared" si="34"/>
        <v>442</v>
      </c>
      <c r="AE33" s="27">
        <f t="shared" si="34"/>
        <v>339</v>
      </c>
      <c r="AF33" s="27">
        <f t="shared" si="34"/>
        <v>5030</v>
      </c>
      <c r="AG33" s="27">
        <f t="shared" si="34"/>
        <v>4249</v>
      </c>
    </row>
    <row r="34" spans="1:33" ht="20.25" customHeight="1">
      <c r="A34" s="9">
        <v>45166</v>
      </c>
      <c r="B34" s="10" t="s">
        <v>23</v>
      </c>
      <c r="C34" s="11">
        <v>6963.24</v>
      </c>
      <c r="D34" s="11">
        <v>4010.69</v>
      </c>
      <c r="E34" s="11">
        <v>16</v>
      </c>
      <c r="F34" s="11">
        <v>25</v>
      </c>
      <c r="G34" s="11">
        <v>50</v>
      </c>
      <c r="H34" s="11">
        <v>18</v>
      </c>
      <c r="I34" s="11">
        <f t="shared" ref="I34:I37" si="35">SUM(C34:H34,V34)</f>
        <v>11082.93</v>
      </c>
      <c r="J34" s="11">
        <v>2235.0300000000002</v>
      </c>
      <c r="K34" s="11">
        <v>0</v>
      </c>
      <c r="L34" s="11">
        <f>SUM(M34:T34)</f>
        <v>8849.9</v>
      </c>
      <c r="M34" s="11">
        <f>604.01+2718.81+5180.68</f>
        <v>8503.5</v>
      </c>
      <c r="N34" s="11">
        <v>0</v>
      </c>
      <c r="O34" s="11">
        <v>0</v>
      </c>
      <c r="P34" s="11">
        <v>0</v>
      </c>
      <c r="Q34" s="11">
        <v>117.24</v>
      </c>
      <c r="R34" s="11">
        <v>0</v>
      </c>
      <c r="S34" s="11">
        <v>159.97</v>
      </c>
      <c r="T34" s="11">
        <v>69.19</v>
      </c>
      <c r="U34" s="11">
        <v>314.39</v>
      </c>
      <c r="V34" s="33">
        <v>0</v>
      </c>
      <c r="W34" s="33">
        <v>72</v>
      </c>
      <c r="X34" s="11">
        <v>1850</v>
      </c>
      <c r="Y34" s="11">
        <v>450</v>
      </c>
      <c r="Z34" s="31">
        <f t="shared" ref="Z34:Z37" si="36">SUM(U34,V34,W34,X34)-J34</f>
        <v>1.3599999999996726</v>
      </c>
      <c r="AA34" s="32">
        <f t="shared" ref="AA34:AA37" si="37">SUM(J34+K34+L34+AE34+AC34)-(I34)</f>
        <v>12</v>
      </c>
      <c r="AB34" s="32">
        <f t="shared" ref="AB34:AB37" si="38">SUM(G34-AC34)</f>
        <v>40</v>
      </c>
      <c r="AC34" s="32">
        <v>10</v>
      </c>
      <c r="AD34" s="33">
        <f t="shared" ref="AD34:AD37" si="39">SUM(H34-AE34)</f>
        <v>18</v>
      </c>
      <c r="AE34" s="33">
        <v>0</v>
      </c>
      <c r="AF34" s="33"/>
      <c r="AG34" s="33">
        <f t="shared" ref="AG34:AG37" si="40">SUM(AF34-H34)</f>
        <v>-18</v>
      </c>
    </row>
    <row r="35" spans="1:33" ht="20.25" customHeight="1">
      <c r="A35" s="9">
        <v>45167</v>
      </c>
      <c r="B35" s="10" t="s">
        <v>24</v>
      </c>
      <c r="C35" s="11">
        <v>9734.35</v>
      </c>
      <c r="D35" s="11">
        <v>3566.49</v>
      </c>
      <c r="E35" s="11">
        <v>18</v>
      </c>
      <c r="F35" s="11">
        <v>52</v>
      </c>
      <c r="G35" s="11">
        <v>50</v>
      </c>
      <c r="H35" s="11">
        <v>65</v>
      </c>
      <c r="I35" s="11">
        <f t="shared" si="35"/>
        <v>13580.84</v>
      </c>
      <c r="J35" s="11">
        <v>2493.8000000000002</v>
      </c>
      <c r="K35" s="11">
        <v>0</v>
      </c>
      <c r="L35" s="11">
        <f t="shared" ref="L35:L36" si="41">SUM(M35:T35)</f>
        <v>11021.960000000001</v>
      </c>
      <c r="M35" s="11">
        <f>576.16+2837.98+5640.44</f>
        <v>9054.58</v>
      </c>
      <c r="N35" s="11">
        <v>94.12</v>
      </c>
      <c r="O35" s="11">
        <v>0</v>
      </c>
      <c r="P35" s="11">
        <v>82.59</v>
      </c>
      <c r="Q35" s="11">
        <v>257.82</v>
      </c>
      <c r="R35" s="11">
        <v>1064</v>
      </c>
      <c r="S35" s="11">
        <f>180.86+136.04+129.95</f>
        <v>446.84999999999997</v>
      </c>
      <c r="T35" s="11">
        <v>22</v>
      </c>
      <c r="U35" s="11">
        <v>0</v>
      </c>
      <c r="V35" s="33">
        <v>95</v>
      </c>
      <c r="W35" s="33">
        <v>42</v>
      </c>
      <c r="X35" s="11">
        <v>2360</v>
      </c>
      <c r="Y35" s="11">
        <v>450</v>
      </c>
      <c r="Z35" s="31">
        <f t="shared" si="36"/>
        <v>3.1999999999998181</v>
      </c>
      <c r="AA35" s="32">
        <f t="shared" si="37"/>
        <v>-7.9999999998108251E-2</v>
      </c>
      <c r="AB35" s="32">
        <f t="shared" si="38"/>
        <v>30</v>
      </c>
      <c r="AC35" s="32">
        <v>20</v>
      </c>
      <c r="AD35" s="33">
        <f t="shared" si="39"/>
        <v>20</v>
      </c>
      <c r="AE35" s="33">
        <v>45</v>
      </c>
      <c r="AF35" s="33"/>
      <c r="AG35" s="33">
        <f t="shared" si="40"/>
        <v>-65</v>
      </c>
    </row>
    <row r="36" spans="1:33" ht="20.25" customHeight="1">
      <c r="A36" s="9">
        <v>45168</v>
      </c>
      <c r="B36" s="10" t="s">
        <v>25</v>
      </c>
      <c r="C36" s="11">
        <v>8945.51</v>
      </c>
      <c r="D36" s="11">
        <v>3670.46</v>
      </c>
      <c r="E36" s="11">
        <v>8</v>
      </c>
      <c r="F36" s="11">
        <v>42</v>
      </c>
      <c r="G36" s="11">
        <v>115</v>
      </c>
      <c r="H36" s="11">
        <v>175.47</v>
      </c>
      <c r="I36" s="11">
        <f t="shared" si="35"/>
        <v>12956.44</v>
      </c>
      <c r="J36" s="11">
        <v>2466.88</v>
      </c>
      <c r="K36" s="11">
        <v>0</v>
      </c>
      <c r="L36" s="11">
        <f t="shared" si="41"/>
        <v>10253.39</v>
      </c>
      <c r="M36" s="11">
        <f>1045.22+2919.98+4936.75</f>
        <v>8901.9500000000007</v>
      </c>
      <c r="N36" s="11">
        <v>0</v>
      </c>
      <c r="O36" s="11">
        <v>0</v>
      </c>
      <c r="P36" s="11">
        <v>10.71</v>
      </c>
      <c r="Q36" s="11">
        <v>169.34</v>
      </c>
      <c r="R36" s="11">
        <v>827.25</v>
      </c>
      <c r="S36" s="11">
        <v>330.15</v>
      </c>
      <c r="T36" s="11">
        <v>13.99</v>
      </c>
      <c r="U36" s="11">
        <v>700.37</v>
      </c>
      <c r="V36" s="33">
        <v>0</v>
      </c>
      <c r="W36" s="33">
        <v>29</v>
      </c>
      <c r="X36" s="11">
        <v>1738</v>
      </c>
      <c r="Y36" s="11">
        <v>450</v>
      </c>
      <c r="Z36" s="31">
        <f t="shared" si="36"/>
        <v>0.48999999999978172</v>
      </c>
      <c r="AA36" s="32">
        <f t="shared" si="37"/>
        <v>-0.7000000000007276</v>
      </c>
      <c r="AB36" s="32">
        <f t="shared" si="38"/>
        <v>20</v>
      </c>
      <c r="AC36" s="32">
        <v>95</v>
      </c>
      <c r="AD36" s="33">
        <f t="shared" si="39"/>
        <v>35</v>
      </c>
      <c r="AE36" s="33">
        <v>140.47</v>
      </c>
      <c r="AF36" s="33"/>
      <c r="AG36" s="33">
        <f t="shared" si="40"/>
        <v>-175.47</v>
      </c>
    </row>
    <row r="37" spans="1:33" ht="20.25" customHeight="1">
      <c r="A37" s="9">
        <v>45169</v>
      </c>
      <c r="B37" s="10" t="s">
        <v>26</v>
      </c>
      <c r="C37" s="11">
        <v>9925.17</v>
      </c>
      <c r="D37" s="11">
        <v>4127.4799999999996</v>
      </c>
      <c r="E37" s="11">
        <v>31.5</v>
      </c>
      <c r="F37" s="11">
        <v>60</v>
      </c>
      <c r="G37" s="11">
        <v>10</v>
      </c>
      <c r="H37" s="11">
        <v>15.2</v>
      </c>
      <c r="I37" s="11">
        <f t="shared" si="35"/>
        <v>14205.76</v>
      </c>
      <c r="J37" s="11">
        <v>2317.67</v>
      </c>
      <c r="K37" s="11">
        <v>0</v>
      </c>
      <c r="L37" s="11">
        <f t="shared" ref="L37" si="42">SUM(M37:T37)</f>
        <v>11869.230000000001</v>
      </c>
      <c r="M37" s="11">
        <f>929.96+3334.39+6387.05</f>
        <v>10651.400000000001</v>
      </c>
      <c r="N37" s="11">
        <v>0</v>
      </c>
      <c r="O37" s="11">
        <v>0</v>
      </c>
      <c r="P37" s="11">
        <v>0</v>
      </c>
      <c r="Q37" s="11">
        <v>219.4</v>
      </c>
      <c r="R37" s="11">
        <v>570.66999999999996</v>
      </c>
      <c r="S37" s="11">
        <v>338.81</v>
      </c>
      <c r="T37" s="11">
        <v>88.95</v>
      </c>
      <c r="U37" s="11">
        <v>0</v>
      </c>
      <c r="V37" s="33">
        <v>36.409999999999997</v>
      </c>
      <c r="W37" s="33">
        <v>16</v>
      </c>
      <c r="X37" s="11">
        <v>2275</v>
      </c>
      <c r="Y37" s="11">
        <v>450</v>
      </c>
      <c r="Z37" s="31">
        <f t="shared" si="36"/>
        <v>9.7399999999997817</v>
      </c>
      <c r="AA37" s="32">
        <f t="shared" si="37"/>
        <v>-8.8599999999987631</v>
      </c>
      <c r="AB37" s="32">
        <f t="shared" si="38"/>
        <v>0</v>
      </c>
      <c r="AC37" s="32">
        <v>10</v>
      </c>
      <c r="AD37" s="33">
        <f t="shared" si="39"/>
        <v>15.2</v>
      </c>
      <c r="AE37" s="33">
        <v>0</v>
      </c>
      <c r="AF37" s="33"/>
      <c r="AG37" s="33">
        <f t="shared" si="40"/>
        <v>-15.2</v>
      </c>
    </row>
    <row r="38" spans="1:33" ht="37.5" customHeight="1">
      <c r="A38" s="65" t="s">
        <v>27</v>
      </c>
      <c r="B38" s="66"/>
      <c r="C38" s="27">
        <f t="shared" ref="C38:AG38" si="43">SUM(C34:C37)</f>
        <v>35568.269999999997</v>
      </c>
      <c r="D38" s="27">
        <f t="shared" si="43"/>
        <v>15375.119999999999</v>
      </c>
      <c r="E38" s="27">
        <f t="shared" si="43"/>
        <v>73.5</v>
      </c>
      <c r="F38" s="27">
        <f t="shared" si="43"/>
        <v>179</v>
      </c>
      <c r="G38" s="27">
        <f t="shared" si="43"/>
        <v>225</v>
      </c>
      <c r="H38" s="27">
        <f t="shared" si="43"/>
        <v>273.67</v>
      </c>
      <c r="I38" s="27">
        <f t="shared" si="43"/>
        <v>51825.97</v>
      </c>
      <c r="J38" s="27">
        <f t="shared" si="43"/>
        <v>9513.380000000001</v>
      </c>
      <c r="K38" s="27">
        <f t="shared" si="43"/>
        <v>0</v>
      </c>
      <c r="L38" s="27">
        <f t="shared" si="43"/>
        <v>41994.48</v>
      </c>
      <c r="M38" s="27">
        <f t="shared" si="43"/>
        <v>37111.430000000008</v>
      </c>
      <c r="N38" s="27">
        <f t="shared" si="43"/>
        <v>94.12</v>
      </c>
      <c r="O38" s="27">
        <f t="shared" si="43"/>
        <v>0</v>
      </c>
      <c r="P38" s="27">
        <f t="shared" si="43"/>
        <v>93.300000000000011</v>
      </c>
      <c r="Q38" s="27">
        <f t="shared" si="43"/>
        <v>763.8</v>
      </c>
      <c r="R38" s="27">
        <f t="shared" si="43"/>
        <v>2461.92</v>
      </c>
      <c r="S38" s="27">
        <f t="shared" si="43"/>
        <v>1275.78</v>
      </c>
      <c r="T38" s="27">
        <f t="shared" si="43"/>
        <v>194.13</v>
      </c>
      <c r="U38" s="27">
        <f t="shared" si="43"/>
        <v>1014.76</v>
      </c>
      <c r="V38" s="27">
        <f t="shared" si="43"/>
        <v>131.41</v>
      </c>
      <c r="W38" s="27">
        <f t="shared" si="43"/>
        <v>159</v>
      </c>
      <c r="X38" s="27">
        <f t="shared" si="43"/>
        <v>8223</v>
      </c>
      <c r="Y38" s="27">
        <f t="shared" si="43"/>
        <v>1800</v>
      </c>
      <c r="Z38" s="27">
        <f t="shared" si="43"/>
        <v>14.789999999999054</v>
      </c>
      <c r="AA38" s="27">
        <f t="shared" si="43"/>
        <v>2.3600000000024011</v>
      </c>
      <c r="AB38" s="27">
        <f t="shared" si="43"/>
        <v>90</v>
      </c>
      <c r="AC38" s="27">
        <f t="shared" si="43"/>
        <v>135</v>
      </c>
      <c r="AD38" s="27">
        <f t="shared" si="43"/>
        <v>88.2</v>
      </c>
      <c r="AE38" s="27">
        <f t="shared" si="43"/>
        <v>185.47</v>
      </c>
      <c r="AF38" s="27">
        <f t="shared" si="43"/>
        <v>0</v>
      </c>
      <c r="AG38" s="27">
        <f t="shared" si="43"/>
        <v>-273.67</v>
      </c>
    </row>
    <row r="39" spans="1:33" ht="51.75" customHeight="1">
      <c r="A39" s="67" t="s">
        <v>17</v>
      </c>
      <c r="B39" s="68"/>
      <c r="C39" s="30">
        <f t="shared" ref="C39:AG39" si="44">SUM(C9,C17,C25,C33,C38)</f>
        <v>268102.33</v>
      </c>
      <c r="D39" s="30">
        <f t="shared" si="44"/>
        <v>139803.65</v>
      </c>
      <c r="E39" s="30">
        <f t="shared" si="44"/>
        <v>561.5</v>
      </c>
      <c r="F39" s="30">
        <f t="shared" si="44"/>
        <v>2250</v>
      </c>
      <c r="G39" s="30">
        <f t="shared" si="44"/>
        <v>2320</v>
      </c>
      <c r="H39" s="30">
        <f t="shared" si="44"/>
        <v>4138.78</v>
      </c>
      <c r="I39" s="30">
        <f t="shared" si="44"/>
        <v>418099.14</v>
      </c>
      <c r="J39" s="30">
        <f t="shared" si="44"/>
        <v>79909.14</v>
      </c>
      <c r="K39" s="30">
        <f t="shared" si="44"/>
        <v>0</v>
      </c>
      <c r="L39" s="30">
        <f t="shared" si="44"/>
        <v>334385.95</v>
      </c>
      <c r="M39" s="30">
        <f t="shared" si="44"/>
        <v>299998.07</v>
      </c>
      <c r="N39" s="30">
        <f t="shared" si="44"/>
        <v>1268.8800000000001</v>
      </c>
      <c r="O39" s="30">
        <f t="shared" si="44"/>
        <v>273.83999999999997</v>
      </c>
      <c r="P39" s="30">
        <f t="shared" si="44"/>
        <v>1448.6200000000001</v>
      </c>
      <c r="Q39" s="30">
        <f t="shared" si="44"/>
        <v>3891.8999999999996</v>
      </c>
      <c r="R39" s="30">
        <f t="shared" si="44"/>
        <v>15693.77</v>
      </c>
      <c r="S39" s="30">
        <f t="shared" si="44"/>
        <v>8067.66</v>
      </c>
      <c r="T39" s="30">
        <f t="shared" si="44"/>
        <v>3743.21</v>
      </c>
      <c r="U39" s="30">
        <f t="shared" si="44"/>
        <v>6136.06</v>
      </c>
      <c r="V39" s="30">
        <f t="shared" si="44"/>
        <v>922.88</v>
      </c>
      <c r="W39" s="30">
        <f t="shared" si="44"/>
        <v>1626.4</v>
      </c>
      <c r="X39" s="30">
        <f t="shared" si="44"/>
        <v>71283.5</v>
      </c>
      <c r="Y39" s="30">
        <f t="shared" si="44"/>
        <v>14400</v>
      </c>
      <c r="Z39" s="30">
        <f t="shared" si="44"/>
        <v>59.699999999997999</v>
      </c>
      <c r="AA39" s="30">
        <f t="shared" si="44"/>
        <v>-267.0099999999984</v>
      </c>
      <c r="AB39" s="30">
        <f t="shared" si="44"/>
        <v>1519</v>
      </c>
      <c r="AC39" s="30">
        <f t="shared" si="44"/>
        <v>801</v>
      </c>
      <c r="AD39" s="30">
        <f t="shared" si="44"/>
        <v>1402.74</v>
      </c>
      <c r="AE39" s="30">
        <f t="shared" si="44"/>
        <v>2736.0399999999995</v>
      </c>
      <c r="AF39" s="30">
        <f t="shared" si="44"/>
        <v>18460</v>
      </c>
      <c r="AG39" s="30">
        <f t="shared" si="44"/>
        <v>14321.22</v>
      </c>
    </row>
    <row r="41" spans="1:33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  <c r="AG41" s="41"/>
    </row>
    <row r="42" spans="1:33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  <c r="AG42" s="41"/>
    </row>
    <row r="43" spans="1:33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  <c r="AG43" s="42"/>
    </row>
    <row r="44" spans="1:33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  <c r="AG44" s="42"/>
    </row>
    <row r="45" spans="1:33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</row>
    <row r="47" spans="1:33" hidden="1"/>
    <row r="48" spans="1:33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33"/>
      <c r="W48" s="33"/>
      <c r="X48" s="11"/>
      <c r="Y48" s="11"/>
      <c r="Z48" s="31"/>
      <c r="AA48" s="32"/>
      <c r="AB48" s="32"/>
      <c r="AC48" s="32"/>
      <c r="AD48" s="33"/>
      <c r="AE48" s="33"/>
      <c r="AF48" s="33"/>
      <c r="AG48" s="33"/>
    </row>
    <row r="49" spans="1:33" ht="18.75" hidden="1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33"/>
      <c r="W49" s="33"/>
      <c r="X49" s="11"/>
      <c r="Y49" s="11"/>
      <c r="Z49" s="31"/>
      <c r="AA49" s="32"/>
      <c r="AB49" s="32"/>
      <c r="AC49" s="32"/>
      <c r="AD49" s="33"/>
      <c r="AE49" s="33"/>
      <c r="AF49" s="33"/>
      <c r="AG49" s="33"/>
    </row>
    <row r="50" spans="1:33" s="28" customFormat="1" ht="18.75" hidden="1">
      <c r="A50"/>
      <c r="B5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11"/>
      <c r="V50" s="33"/>
      <c r="W50" s="33"/>
      <c r="X50" s="11"/>
      <c r="Y50" s="11"/>
      <c r="Z50" s="31"/>
      <c r="AA50" s="32"/>
      <c r="AB50" s="32"/>
      <c r="AC50" s="32"/>
      <c r="AD50" s="33"/>
      <c r="AE50" s="33"/>
      <c r="AF50" s="33"/>
      <c r="AG50" s="33"/>
    </row>
    <row r="51" spans="1:33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</row>
    <row r="52" spans="1:33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</row>
    <row r="53" spans="1:33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</row>
  </sheetData>
  <sheetProtection password="CCFB" sheet="1" objects="1" scenarios="1"/>
  <mergeCells count="6">
    <mergeCell ref="A39:B39"/>
    <mergeCell ref="A9:B9"/>
    <mergeCell ref="A17:B17"/>
    <mergeCell ref="A25:B25"/>
    <mergeCell ref="A33:B33"/>
    <mergeCell ref="A38:B38"/>
  </mergeCells>
  <conditionalFormatting sqref="Z48:AC50 Z10:AB16 Z18:AC24 Z26:AC32 Z34:AC37 Z2:AC8">
    <cfRule type="cellIs" dxfId="95" priority="31" operator="lessThan">
      <formula>0</formula>
    </cfRule>
    <cfRule type="cellIs" dxfId="94" priority="32" operator="greaterThan">
      <formula>0</formula>
    </cfRule>
  </conditionalFormatting>
  <conditionalFormatting sqref="Z48:AD50 AD10:AD16 Z10:AB16 Z18:AD24 Z26:AD32 Z34:AD37 Z2:AD8">
    <cfRule type="cellIs" dxfId="93" priority="28" operator="equal">
      <formula>0</formula>
    </cfRule>
    <cfRule type="cellIs" dxfId="92" priority="29" operator="lessThan">
      <formula>0</formula>
    </cfRule>
    <cfRule type="cellIs" dxfId="91" priority="30" operator="greaterThan">
      <formula>0</formula>
    </cfRule>
  </conditionalFormatting>
  <conditionalFormatting sqref="AG18:AG24 AG26:AG32 AG10:AG16 AG34:AG37 AG2:AG8">
    <cfRule type="cellIs" dxfId="90" priority="25" operator="equal">
      <formula>0</formula>
    </cfRule>
    <cfRule type="cellIs" dxfId="89" priority="26" operator="lessThan">
      <formula>0</formula>
    </cfRule>
    <cfRule type="cellIs" dxfId="88" priority="27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>
  <dimension ref="A1:AF55"/>
  <sheetViews>
    <sheetView topLeftCell="A13" zoomScale="60" zoomScaleNormal="60" workbookViewId="0">
      <selection activeCell="A39" sqref="A39:XFD39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0" width="13.42578125" customWidth="1"/>
    <col min="11" max="12" width="14.7109375" customWidth="1"/>
    <col min="13" max="14" width="14" customWidth="1"/>
    <col min="15" max="15" width="15.7109375" customWidth="1"/>
    <col min="16" max="16" width="16.42578125" customWidth="1"/>
    <col min="17" max="19" width="15.5703125" customWidth="1"/>
    <col min="20" max="20" width="13.85546875" customWidth="1"/>
    <col min="21" max="21" width="13.5703125" customWidth="1"/>
    <col min="22" max="22" width="14.28515625" customWidth="1"/>
    <col min="23" max="23" width="13" customWidth="1"/>
    <col min="24" max="24" width="14.85546875" customWidth="1"/>
    <col min="25" max="25" width="15.85546875" customWidth="1"/>
    <col min="26" max="28" width="16.5703125" customWidth="1"/>
    <col min="29" max="29" width="14" customWidth="1"/>
    <col min="30" max="30" width="13" customWidth="1"/>
    <col min="31" max="31" width="14.85546875" customWidth="1"/>
    <col min="32" max="32" width="15.5703125" customWidth="1"/>
  </cols>
  <sheetData>
    <row r="1" spans="1:32" ht="64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43</v>
      </c>
      <c r="L1" s="8" t="s">
        <v>44</v>
      </c>
      <c r="M1" s="8" t="s">
        <v>42</v>
      </c>
      <c r="N1" s="8" t="s">
        <v>108</v>
      </c>
      <c r="O1" s="8" t="s">
        <v>96</v>
      </c>
      <c r="P1" s="8" t="s">
        <v>109</v>
      </c>
      <c r="Q1" s="8" t="s">
        <v>110</v>
      </c>
      <c r="R1" s="8" t="s">
        <v>111</v>
      </c>
      <c r="S1" s="8" t="s">
        <v>107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34</v>
      </c>
      <c r="AA1" s="23" t="s">
        <v>94</v>
      </c>
      <c r="AB1" s="23" t="s">
        <v>95</v>
      </c>
      <c r="AC1" s="23" t="s">
        <v>39</v>
      </c>
      <c r="AD1" s="23" t="s">
        <v>40</v>
      </c>
      <c r="AE1" s="23" t="s">
        <v>78</v>
      </c>
      <c r="AF1" s="23" t="s">
        <v>79</v>
      </c>
    </row>
    <row r="2" spans="1:32" ht="20.25" customHeight="1">
      <c r="A2" s="9">
        <v>45166</v>
      </c>
      <c r="B2" s="10" t="s">
        <v>23</v>
      </c>
      <c r="C2" s="11">
        <v>6963.24</v>
      </c>
      <c r="D2" s="11">
        <v>4010.69</v>
      </c>
      <c r="E2" s="11">
        <v>16</v>
      </c>
      <c r="F2" s="11">
        <v>25</v>
      </c>
      <c r="G2" s="11">
        <v>50</v>
      </c>
      <c r="H2" s="11">
        <v>18</v>
      </c>
      <c r="I2" s="11">
        <f t="shared" ref="I2:I8" si="0">SUM(C2:H2,U2)</f>
        <v>11082.93</v>
      </c>
      <c r="J2" s="11">
        <v>2235.0300000000002</v>
      </c>
      <c r="K2" s="11">
        <f>SUM(L2:S2)</f>
        <v>8849.9</v>
      </c>
      <c r="L2" s="11">
        <f>604.01+2718.81+5180.68</f>
        <v>8503.5</v>
      </c>
      <c r="M2" s="11">
        <v>0</v>
      </c>
      <c r="N2" s="11">
        <v>0</v>
      </c>
      <c r="O2" s="11">
        <v>0</v>
      </c>
      <c r="P2" s="11">
        <v>117.24</v>
      </c>
      <c r="Q2" s="11">
        <v>0</v>
      </c>
      <c r="R2" s="11">
        <v>159.97</v>
      </c>
      <c r="S2" s="11">
        <v>69.19</v>
      </c>
      <c r="T2" s="11">
        <v>314.39</v>
      </c>
      <c r="U2" s="33">
        <v>0</v>
      </c>
      <c r="V2" s="33">
        <v>72</v>
      </c>
      <c r="W2" s="11">
        <v>1850</v>
      </c>
      <c r="X2" s="11">
        <v>450</v>
      </c>
      <c r="Y2" s="31">
        <f t="shared" ref="Y2:Y8" si="1">SUM(T2,U2,V2,W2)-J2</f>
        <v>1.3599999999996726</v>
      </c>
      <c r="Z2" s="32">
        <f>SUM(J2+K2+AD2+AB2)-(I2)</f>
        <v>12</v>
      </c>
      <c r="AA2" s="32">
        <f t="shared" ref="AA2:AA8" si="2">SUM(G2-AB2)</f>
        <v>40</v>
      </c>
      <c r="AB2" s="32">
        <v>10</v>
      </c>
      <c r="AC2" s="33">
        <f t="shared" ref="AC2:AC8" si="3">SUM(H2-AD2)</f>
        <v>18</v>
      </c>
      <c r="AD2" s="33">
        <v>0</v>
      </c>
      <c r="AE2" s="33"/>
      <c r="AF2" s="33">
        <f t="shared" ref="AF2:AF8" si="4">SUM(AE2-H2)</f>
        <v>-18</v>
      </c>
    </row>
    <row r="3" spans="1:32" ht="20.25" customHeight="1">
      <c r="A3" s="9">
        <v>45167</v>
      </c>
      <c r="B3" s="10" t="s">
        <v>24</v>
      </c>
      <c r="C3" s="11">
        <v>9734.35</v>
      </c>
      <c r="D3" s="11">
        <v>3566.49</v>
      </c>
      <c r="E3" s="11">
        <v>18</v>
      </c>
      <c r="F3" s="11">
        <v>52</v>
      </c>
      <c r="G3" s="11">
        <v>50</v>
      </c>
      <c r="H3" s="11">
        <v>65</v>
      </c>
      <c r="I3" s="11">
        <f t="shared" si="0"/>
        <v>13580.84</v>
      </c>
      <c r="J3" s="11">
        <v>2493.8000000000002</v>
      </c>
      <c r="K3" s="11">
        <f t="shared" ref="K3:K4" si="5">SUM(L3:S3)</f>
        <v>11021.960000000001</v>
      </c>
      <c r="L3" s="11">
        <f>576.16+2837.98+5640.44</f>
        <v>9054.58</v>
      </c>
      <c r="M3" s="11">
        <v>94.12</v>
      </c>
      <c r="N3" s="11">
        <v>0</v>
      </c>
      <c r="O3" s="11">
        <v>82.59</v>
      </c>
      <c r="P3" s="11">
        <v>257.82</v>
      </c>
      <c r="Q3" s="11">
        <v>1064</v>
      </c>
      <c r="R3" s="11">
        <f>180.86+136.04+129.95</f>
        <v>446.84999999999997</v>
      </c>
      <c r="S3" s="11">
        <v>22</v>
      </c>
      <c r="T3" s="11">
        <v>0</v>
      </c>
      <c r="U3" s="33">
        <v>95</v>
      </c>
      <c r="V3" s="33">
        <v>42</v>
      </c>
      <c r="W3" s="11">
        <v>2360</v>
      </c>
      <c r="X3" s="11">
        <v>450</v>
      </c>
      <c r="Y3" s="31">
        <f t="shared" si="1"/>
        <v>3.1999999999998181</v>
      </c>
      <c r="Z3" s="32">
        <f t="shared" ref="Z3:Z39" si="6">SUM(J3+K3+AD3+AB3)-(I3)</f>
        <v>-7.9999999998108251E-2</v>
      </c>
      <c r="AA3" s="32">
        <f t="shared" si="2"/>
        <v>30</v>
      </c>
      <c r="AB3" s="32">
        <v>20</v>
      </c>
      <c r="AC3" s="33">
        <f t="shared" si="3"/>
        <v>20</v>
      </c>
      <c r="AD3" s="33">
        <v>45</v>
      </c>
      <c r="AE3" s="33"/>
      <c r="AF3" s="33">
        <f t="shared" si="4"/>
        <v>-65</v>
      </c>
    </row>
    <row r="4" spans="1:32" ht="20.25" customHeight="1">
      <c r="A4" s="9">
        <v>45168</v>
      </c>
      <c r="B4" s="10" t="s">
        <v>25</v>
      </c>
      <c r="C4" s="11">
        <v>8945.51</v>
      </c>
      <c r="D4" s="11">
        <v>3670.46</v>
      </c>
      <c r="E4" s="11">
        <v>8</v>
      </c>
      <c r="F4" s="11">
        <v>42</v>
      </c>
      <c r="G4" s="11">
        <v>115</v>
      </c>
      <c r="H4" s="11">
        <v>175.47</v>
      </c>
      <c r="I4" s="11">
        <f t="shared" si="0"/>
        <v>12956.44</v>
      </c>
      <c r="J4" s="11">
        <v>2466.88</v>
      </c>
      <c r="K4" s="11">
        <f t="shared" si="5"/>
        <v>10253.39</v>
      </c>
      <c r="L4" s="11">
        <f>1045.22+2919.98+4936.75</f>
        <v>8901.9500000000007</v>
      </c>
      <c r="M4" s="11">
        <v>0</v>
      </c>
      <c r="N4" s="11">
        <v>0</v>
      </c>
      <c r="O4" s="11">
        <v>10.71</v>
      </c>
      <c r="P4" s="11">
        <v>169.34</v>
      </c>
      <c r="Q4" s="11">
        <v>827.25</v>
      </c>
      <c r="R4" s="11">
        <v>330.15</v>
      </c>
      <c r="S4" s="11">
        <v>13.99</v>
      </c>
      <c r="T4" s="11">
        <v>700.37</v>
      </c>
      <c r="U4" s="33">
        <v>0</v>
      </c>
      <c r="V4" s="33">
        <v>29</v>
      </c>
      <c r="W4" s="11">
        <v>1738</v>
      </c>
      <c r="X4" s="11">
        <v>450</v>
      </c>
      <c r="Y4" s="31">
        <f t="shared" si="1"/>
        <v>0.48999999999978172</v>
      </c>
      <c r="Z4" s="32">
        <f t="shared" si="6"/>
        <v>-0.7000000000007276</v>
      </c>
      <c r="AA4" s="32">
        <f t="shared" si="2"/>
        <v>20</v>
      </c>
      <c r="AB4" s="32">
        <v>95</v>
      </c>
      <c r="AC4" s="33">
        <f t="shared" si="3"/>
        <v>35</v>
      </c>
      <c r="AD4" s="33">
        <v>140.47</v>
      </c>
      <c r="AE4" s="33"/>
      <c r="AF4" s="33">
        <f t="shared" si="4"/>
        <v>-175.47</v>
      </c>
    </row>
    <row r="5" spans="1:32" ht="20.25" customHeight="1">
      <c r="A5" s="9">
        <v>45169</v>
      </c>
      <c r="B5" s="10" t="s">
        <v>26</v>
      </c>
      <c r="C5" s="11">
        <v>9925.17</v>
      </c>
      <c r="D5" s="11">
        <v>4127.4799999999996</v>
      </c>
      <c r="E5" s="11">
        <v>31.5</v>
      </c>
      <c r="F5" s="11">
        <v>60</v>
      </c>
      <c r="G5" s="11">
        <v>10</v>
      </c>
      <c r="H5" s="11">
        <v>15.2</v>
      </c>
      <c r="I5" s="11">
        <f t="shared" si="0"/>
        <v>14205.76</v>
      </c>
      <c r="J5" s="11">
        <v>2317.67</v>
      </c>
      <c r="K5" s="11">
        <f t="shared" ref="K5" si="7">SUM(L5:S5)</f>
        <v>11869.230000000001</v>
      </c>
      <c r="L5" s="11">
        <f>929.96+3334.39+6387.05</f>
        <v>10651.400000000001</v>
      </c>
      <c r="M5" s="11">
        <v>0</v>
      </c>
      <c r="N5" s="11">
        <v>0</v>
      </c>
      <c r="O5" s="11">
        <v>0</v>
      </c>
      <c r="P5" s="11">
        <v>219.4</v>
      </c>
      <c r="Q5" s="11">
        <v>570.66999999999996</v>
      </c>
      <c r="R5" s="11">
        <v>338.81</v>
      </c>
      <c r="S5" s="11">
        <v>88.95</v>
      </c>
      <c r="T5" s="11">
        <v>0</v>
      </c>
      <c r="U5" s="33">
        <v>36.409999999999997</v>
      </c>
      <c r="V5" s="33">
        <v>16</v>
      </c>
      <c r="W5" s="11">
        <v>2275</v>
      </c>
      <c r="X5" s="11">
        <v>450</v>
      </c>
      <c r="Y5" s="31">
        <f t="shared" si="1"/>
        <v>9.7399999999997817</v>
      </c>
      <c r="Z5" s="32">
        <f t="shared" si="6"/>
        <v>-8.8599999999987631</v>
      </c>
      <c r="AA5" s="32">
        <f t="shared" si="2"/>
        <v>0</v>
      </c>
      <c r="AB5" s="32">
        <v>10</v>
      </c>
      <c r="AC5" s="33">
        <f t="shared" si="3"/>
        <v>15.2</v>
      </c>
      <c r="AD5" s="33">
        <v>0</v>
      </c>
      <c r="AE5" s="33"/>
      <c r="AF5" s="33">
        <f t="shared" si="4"/>
        <v>-15.2</v>
      </c>
    </row>
    <row r="6" spans="1:32" ht="20.25" customHeight="1">
      <c r="A6" s="9">
        <v>45170</v>
      </c>
      <c r="B6" s="10" t="s">
        <v>20</v>
      </c>
      <c r="C6" s="11">
        <v>9475.16</v>
      </c>
      <c r="D6" s="11">
        <v>4979.58</v>
      </c>
      <c r="E6" s="11">
        <v>48.5</v>
      </c>
      <c r="F6" s="11">
        <v>52</v>
      </c>
      <c r="G6" s="11">
        <v>20</v>
      </c>
      <c r="H6" s="11">
        <v>70.38</v>
      </c>
      <c r="I6" s="11">
        <f t="shared" si="0"/>
        <v>14650.619999999999</v>
      </c>
      <c r="J6" s="11">
        <v>2534.9699999999998</v>
      </c>
      <c r="K6" s="11">
        <f t="shared" ref="K6" si="8">SUM(L6:S6)</f>
        <v>12054.449999999997</v>
      </c>
      <c r="L6" s="11">
        <f>1009.49+3625.65+6646.07</f>
        <v>11281.21</v>
      </c>
      <c r="M6" s="11">
        <v>80.98</v>
      </c>
      <c r="N6" s="11">
        <v>96.99</v>
      </c>
      <c r="O6" s="11">
        <v>0</v>
      </c>
      <c r="P6" s="11">
        <v>0</v>
      </c>
      <c r="Q6" s="11">
        <v>220.39</v>
      </c>
      <c r="R6" s="11">
        <v>295.81</v>
      </c>
      <c r="S6" s="11">
        <v>79.069999999999993</v>
      </c>
      <c r="T6" s="11">
        <v>0</v>
      </c>
      <c r="U6" s="33">
        <v>5</v>
      </c>
      <c r="V6" s="33">
        <v>43</v>
      </c>
      <c r="W6" s="11">
        <v>2491</v>
      </c>
      <c r="X6" s="11">
        <v>450</v>
      </c>
      <c r="Y6" s="31">
        <f t="shared" si="1"/>
        <v>4.0300000000002001</v>
      </c>
      <c r="Z6" s="32">
        <f t="shared" si="6"/>
        <v>0</v>
      </c>
      <c r="AA6" s="32">
        <f t="shared" si="2"/>
        <v>0</v>
      </c>
      <c r="AB6" s="32">
        <v>20</v>
      </c>
      <c r="AC6" s="33">
        <f t="shared" si="3"/>
        <v>29.179999999999993</v>
      </c>
      <c r="AD6" s="33">
        <v>41.2</v>
      </c>
      <c r="AE6" s="33"/>
      <c r="AF6" s="33">
        <f t="shared" si="4"/>
        <v>-70.38</v>
      </c>
    </row>
    <row r="7" spans="1:32" ht="18.75">
      <c r="A7" s="9">
        <v>45171</v>
      </c>
      <c r="B7" s="10" t="s">
        <v>21</v>
      </c>
      <c r="C7" s="11">
        <v>9014</v>
      </c>
      <c r="D7" s="11">
        <v>5072.67</v>
      </c>
      <c r="E7" s="11">
        <v>49</v>
      </c>
      <c r="F7" s="11">
        <v>99</v>
      </c>
      <c r="G7" s="11">
        <v>15</v>
      </c>
      <c r="H7" s="11">
        <v>150</v>
      </c>
      <c r="I7" s="11">
        <f t="shared" si="0"/>
        <v>14400.67</v>
      </c>
      <c r="J7" s="11">
        <v>2572.21</v>
      </c>
      <c r="K7" s="11">
        <f t="shared" ref="K7:K8" si="9">SUM(L7:S7)</f>
        <v>11713.46</v>
      </c>
      <c r="L7" s="11">
        <f>898.53+4160.86+5508.7</f>
        <v>10568.09</v>
      </c>
      <c r="M7" s="11">
        <v>103.04</v>
      </c>
      <c r="N7" s="11">
        <v>0</v>
      </c>
      <c r="O7" s="11">
        <v>0</v>
      </c>
      <c r="P7" s="11">
        <v>141.91</v>
      </c>
      <c r="Q7" s="11">
        <v>702.96</v>
      </c>
      <c r="R7" s="11">
        <v>0</v>
      </c>
      <c r="S7" s="11">
        <v>197.46</v>
      </c>
      <c r="T7" s="11">
        <v>0</v>
      </c>
      <c r="U7" s="33">
        <v>1</v>
      </c>
      <c r="V7" s="33">
        <v>10</v>
      </c>
      <c r="W7" s="11">
        <v>2552</v>
      </c>
      <c r="X7" s="11">
        <v>450</v>
      </c>
      <c r="Y7" s="31">
        <f t="shared" si="1"/>
        <v>-9.2100000000000364</v>
      </c>
      <c r="Z7" s="32">
        <f t="shared" si="6"/>
        <v>-5.000000000001819</v>
      </c>
      <c r="AA7" s="32">
        <f t="shared" si="2"/>
        <v>0</v>
      </c>
      <c r="AB7" s="32">
        <v>15</v>
      </c>
      <c r="AC7" s="33">
        <f t="shared" si="3"/>
        <v>55</v>
      </c>
      <c r="AD7" s="33">
        <v>95</v>
      </c>
      <c r="AE7" s="33"/>
      <c r="AF7" s="33">
        <f t="shared" si="4"/>
        <v>-150</v>
      </c>
    </row>
    <row r="8" spans="1:32" ht="18.75">
      <c r="A8" s="9">
        <v>45172</v>
      </c>
      <c r="B8" s="10" t="s">
        <v>22</v>
      </c>
      <c r="C8" s="11">
        <v>7279.35</v>
      </c>
      <c r="D8" s="11">
        <v>5056.51</v>
      </c>
      <c r="E8" s="11">
        <v>16</v>
      </c>
      <c r="F8" s="11">
        <v>95</v>
      </c>
      <c r="G8" s="11">
        <v>60</v>
      </c>
      <c r="H8" s="11">
        <v>145</v>
      </c>
      <c r="I8" s="11">
        <f t="shared" si="0"/>
        <v>12681.94</v>
      </c>
      <c r="J8" s="11">
        <v>2448.11</v>
      </c>
      <c r="K8" s="11">
        <f t="shared" si="9"/>
        <v>10143.83</v>
      </c>
      <c r="L8" s="11">
        <f>632.01+3095.58+6062.06</f>
        <v>9789.6500000000015</v>
      </c>
      <c r="M8" s="11">
        <v>0</v>
      </c>
      <c r="N8" s="11">
        <v>0</v>
      </c>
      <c r="O8" s="11">
        <v>0</v>
      </c>
      <c r="P8" s="11">
        <v>40.5</v>
      </c>
      <c r="Q8" s="11">
        <v>64.31</v>
      </c>
      <c r="R8" s="11">
        <v>172.38</v>
      </c>
      <c r="S8" s="11">
        <v>76.989999999999995</v>
      </c>
      <c r="T8" s="11">
        <v>101.8</v>
      </c>
      <c r="U8" s="33">
        <v>30.08</v>
      </c>
      <c r="V8" s="33">
        <v>245</v>
      </c>
      <c r="W8" s="11">
        <v>2086</v>
      </c>
      <c r="X8" s="11">
        <v>450</v>
      </c>
      <c r="Y8" s="31">
        <f t="shared" si="1"/>
        <v>14.769999999999982</v>
      </c>
      <c r="Z8" s="32">
        <f t="shared" si="6"/>
        <v>0</v>
      </c>
      <c r="AA8" s="32">
        <f t="shared" si="2"/>
        <v>60</v>
      </c>
      <c r="AB8" s="32">
        <v>0</v>
      </c>
      <c r="AC8" s="33">
        <f t="shared" si="3"/>
        <v>55</v>
      </c>
      <c r="AD8" s="33">
        <v>90</v>
      </c>
      <c r="AE8" s="33">
        <v>4280</v>
      </c>
      <c r="AF8" s="33">
        <f t="shared" si="4"/>
        <v>4135</v>
      </c>
    </row>
    <row r="9" spans="1:32" ht="37.5" customHeight="1">
      <c r="A9" s="65" t="s">
        <v>27</v>
      </c>
      <c r="B9" s="66"/>
      <c r="C9" s="27">
        <f t="shared" ref="C9:AF9" si="10">SUM(C2:C8)</f>
        <v>61336.779999999992</v>
      </c>
      <c r="D9" s="27">
        <f t="shared" si="10"/>
        <v>30483.879999999997</v>
      </c>
      <c r="E9" s="27">
        <f t="shared" si="10"/>
        <v>187</v>
      </c>
      <c r="F9" s="27">
        <f t="shared" si="10"/>
        <v>425</v>
      </c>
      <c r="G9" s="27">
        <f t="shared" si="10"/>
        <v>320</v>
      </c>
      <c r="H9" s="27">
        <f t="shared" si="10"/>
        <v>639.04999999999995</v>
      </c>
      <c r="I9" s="27">
        <f t="shared" si="10"/>
        <v>93559.2</v>
      </c>
      <c r="J9" s="27">
        <f t="shared" si="10"/>
        <v>17068.670000000002</v>
      </c>
      <c r="K9" s="27">
        <f t="shared" si="10"/>
        <v>75906.22</v>
      </c>
      <c r="L9" s="27">
        <f t="shared" si="10"/>
        <v>68750.38</v>
      </c>
      <c r="M9" s="27">
        <f t="shared" si="10"/>
        <v>278.14000000000004</v>
      </c>
      <c r="N9" s="27">
        <f t="shared" si="10"/>
        <v>96.99</v>
      </c>
      <c r="O9" s="27">
        <f t="shared" si="10"/>
        <v>93.300000000000011</v>
      </c>
      <c r="P9" s="27">
        <f t="shared" si="10"/>
        <v>946.20999999999992</v>
      </c>
      <c r="Q9" s="27">
        <f t="shared" si="10"/>
        <v>3449.58</v>
      </c>
      <c r="R9" s="27">
        <f t="shared" si="10"/>
        <v>1743.9699999999998</v>
      </c>
      <c r="S9" s="27">
        <f t="shared" si="10"/>
        <v>547.65</v>
      </c>
      <c r="T9" s="27">
        <f t="shared" si="10"/>
        <v>1116.56</v>
      </c>
      <c r="U9" s="27">
        <f t="shared" si="10"/>
        <v>167.49</v>
      </c>
      <c r="V9" s="27">
        <f t="shared" si="10"/>
        <v>457</v>
      </c>
      <c r="W9" s="27">
        <f t="shared" si="10"/>
        <v>15352</v>
      </c>
      <c r="X9" s="27">
        <f t="shared" si="10"/>
        <v>3150</v>
      </c>
      <c r="Y9" s="27">
        <f t="shared" si="10"/>
        <v>24.3799999999992</v>
      </c>
      <c r="Z9" s="27">
        <f t="shared" si="10"/>
        <v>-2.6399999999994179</v>
      </c>
      <c r="AA9" s="27">
        <f t="shared" si="10"/>
        <v>150</v>
      </c>
      <c r="AB9" s="27">
        <f t="shared" si="10"/>
        <v>170</v>
      </c>
      <c r="AC9" s="27">
        <f t="shared" si="10"/>
        <v>227.38</v>
      </c>
      <c r="AD9" s="27">
        <f t="shared" si="10"/>
        <v>411.67</v>
      </c>
      <c r="AE9" s="27">
        <f t="shared" si="10"/>
        <v>4280</v>
      </c>
      <c r="AF9" s="27">
        <f t="shared" si="10"/>
        <v>3640.95</v>
      </c>
    </row>
    <row r="10" spans="1:32" s="35" customFormat="1" ht="18.75">
      <c r="A10" s="53">
        <v>45173</v>
      </c>
      <c r="B10" s="10" t="s">
        <v>23</v>
      </c>
      <c r="C10" s="11">
        <v>9735.16</v>
      </c>
      <c r="D10" s="11">
        <v>4083.41</v>
      </c>
      <c r="E10" s="11">
        <v>8</v>
      </c>
      <c r="F10" s="11">
        <v>45</v>
      </c>
      <c r="G10" s="11">
        <v>175</v>
      </c>
      <c r="H10" s="11">
        <v>130</v>
      </c>
      <c r="I10" s="11">
        <f t="shared" ref="I10:I16" si="11">SUM(C10:H10,U10)</f>
        <v>14201.57</v>
      </c>
      <c r="J10" s="11">
        <f>2850.56-6.99</f>
        <v>2843.57</v>
      </c>
      <c r="K10" s="11">
        <f>SUM(L10:S10)</f>
        <v>11238</v>
      </c>
      <c r="L10" s="11">
        <f>798.64+3153.86+5443.82</f>
        <v>9396.32</v>
      </c>
      <c r="M10" s="11">
        <v>31.82</v>
      </c>
      <c r="N10" s="11">
        <v>0</v>
      </c>
      <c r="O10" s="11">
        <v>30.01</v>
      </c>
      <c r="P10" s="11">
        <v>219.24</v>
      </c>
      <c r="Q10" s="11">
        <v>1202.18</v>
      </c>
      <c r="R10" s="11">
        <v>299.94</v>
      </c>
      <c r="S10" s="11">
        <v>58.49</v>
      </c>
      <c r="T10" s="11">
        <v>324.77999999999997</v>
      </c>
      <c r="U10" s="33">
        <v>25</v>
      </c>
      <c r="V10" s="33">
        <v>50</v>
      </c>
      <c r="W10" s="11">
        <v>2430</v>
      </c>
      <c r="X10" s="11">
        <v>450</v>
      </c>
      <c r="Y10" s="31">
        <f t="shared" ref="Y10:Y15" si="12">SUM(T10,U10,V10,W10)-J10</f>
        <v>-13.790000000000418</v>
      </c>
      <c r="Z10" s="32">
        <f t="shared" si="6"/>
        <v>0</v>
      </c>
      <c r="AA10" s="32">
        <f t="shared" ref="AA10:AA16" si="13">SUM(G10-AB10)</f>
        <v>175</v>
      </c>
      <c r="AB10" s="33">
        <v>0</v>
      </c>
      <c r="AC10" s="33">
        <f t="shared" ref="AC10:AC16" si="14">SUM(H10-AD10)</f>
        <v>10</v>
      </c>
      <c r="AD10" s="33">
        <v>120</v>
      </c>
      <c r="AE10" s="33"/>
      <c r="AF10" s="33">
        <f t="shared" ref="AF10:AF16" si="15">SUM(AE10-H10)</f>
        <v>-130</v>
      </c>
    </row>
    <row r="11" spans="1:32" s="35" customFormat="1" ht="18.75">
      <c r="A11" s="53">
        <v>45174</v>
      </c>
      <c r="B11" s="10" t="s">
        <v>24</v>
      </c>
      <c r="C11" s="11">
        <v>9348.2000000000007</v>
      </c>
      <c r="D11" s="11">
        <v>3943.65</v>
      </c>
      <c r="E11" s="11">
        <v>27.5</v>
      </c>
      <c r="F11" s="11">
        <v>58</v>
      </c>
      <c r="G11" s="11">
        <v>110</v>
      </c>
      <c r="H11" s="11">
        <v>55</v>
      </c>
      <c r="I11" s="11">
        <f t="shared" si="11"/>
        <v>13543.35</v>
      </c>
      <c r="J11" s="11">
        <v>2410.84</v>
      </c>
      <c r="K11" s="11">
        <f>SUM(L11:S11)</f>
        <v>10982.51</v>
      </c>
      <c r="L11" s="11">
        <f>869.78+2797.3+5872.56</f>
        <v>9539.64</v>
      </c>
      <c r="M11" s="11">
        <v>47.86</v>
      </c>
      <c r="N11" s="11">
        <v>104.44</v>
      </c>
      <c r="O11" s="11">
        <v>0</v>
      </c>
      <c r="P11" s="11">
        <v>59.24</v>
      </c>
      <c r="Q11" s="11">
        <v>763.59</v>
      </c>
      <c r="R11" s="11">
        <v>359.25</v>
      </c>
      <c r="S11" s="11">
        <v>108.49</v>
      </c>
      <c r="T11" s="11">
        <v>0</v>
      </c>
      <c r="U11" s="33">
        <v>1</v>
      </c>
      <c r="V11" s="33">
        <v>2</v>
      </c>
      <c r="W11" s="11">
        <v>2395</v>
      </c>
      <c r="X11" s="11">
        <v>450</v>
      </c>
      <c r="Y11" s="31">
        <f t="shared" si="12"/>
        <v>-12.840000000000146</v>
      </c>
      <c r="Z11" s="32">
        <f t="shared" si="6"/>
        <v>0</v>
      </c>
      <c r="AA11" s="32">
        <f t="shared" si="13"/>
        <v>10</v>
      </c>
      <c r="AB11" s="33">
        <v>100</v>
      </c>
      <c r="AC11" s="33">
        <f t="shared" si="14"/>
        <v>5</v>
      </c>
      <c r="AD11" s="33">
        <v>50</v>
      </c>
      <c r="AE11" s="33"/>
      <c r="AF11" s="33">
        <f t="shared" si="15"/>
        <v>-55</v>
      </c>
    </row>
    <row r="12" spans="1:32" s="35" customFormat="1" ht="18.75">
      <c r="A12" s="53">
        <v>45175</v>
      </c>
      <c r="B12" s="10" t="s">
        <v>25</v>
      </c>
      <c r="C12" s="11">
        <v>8477.27</v>
      </c>
      <c r="D12" s="11">
        <v>4037.81</v>
      </c>
      <c r="E12" s="11">
        <v>22</v>
      </c>
      <c r="F12" s="11">
        <v>56</v>
      </c>
      <c r="G12" s="11">
        <v>75</v>
      </c>
      <c r="H12" s="11">
        <v>34.57</v>
      </c>
      <c r="I12" s="11">
        <f t="shared" si="11"/>
        <v>12702.65</v>
      </c>
      <c r="J12" s="11">
        <v>2408.06</v>
      </c>
      <c r="K12" s="11">
        <f t="shared" ref="K12:K16" si="16">SUM(L12:S12)</f>
        <v>10217.230000000001</v>
      </c>
      <c r="L12" s="11">
        <f>1126.89+3015.8+4955.08</f>
        <v>9097.77</v>
      </c>
      <c r="M12" s="11">
        <v>28</v>
      </c>
      <c r="N12" s="11">
        <v>0</v>
      </c>
      <c r="O12" s="11">
        <v>98.23</v>
      </c>
      <c r="P12" s="11">
        <v>25.02</v>
      </c>
      <c r="Q12" s="11">
        <v>366.43</v>
      </c>
      <c r="R12" s="11">
        <v>599.1</v>
      </c>
      <c r="S12" s="11">
        <v>2.68</v>
      </c>
      <c r="T12" s="11">
        <f>268.73+41.76</f>
        <v>310.49</v>
      </c>
      <c r="U12" s="33">
        <v>0</v>
      </c>
      <c r="V12" s="33">
        <v>35</v>
      </c>
      <c r="W12" s="11">
        <v>2080</v>
      </c>
      <c r="X12" s="11">
        <v>450</v>
      </c>
      <c r="Y12" s="31">
        <f t="shared" si="12"/>
        <v>17.429999999999836</v>
      </c>
      <c r="Z12" s="32">
        <f t="shared" si="6"/>
        <v>-17.359999999998763</v>
      </c>
      <c r="AA12" s="32">
        <f t="shared" si="13"/>
        <v>15</v>
      </c>
      <c r="AB12" s="33">
        <v>60</v>
      </c>
      <c r="AC12" s="33">
        <f t="shared" si="14"/>
        <v>34.57</v>
      </c>
      <c r="AD12" s="33">
        <v>0</v>
      </c>
      <c r="AE12" s="33"/>
      <c r="AF12" s="33">
        <f t="shared" si="15"/>
        <v>-34.57</v>
      </c>
    </row>
    <row r="13" spans="1:32" s="35" customFormat="1" ht="18.75">
      <c r="A13" s="53">
        <v>45176</v>
      </c>
      <c r="B13" s="10" t="s">
        <v>26</v>
      </c>
      <c r="C13" s="11">
        <v>9020.6299999999992</v>
      </c>
      <c r="D13" s="11">
        <v>4542.93</v>
      </c>
      <c r="E13" s="11">
        <v>0</v>
      </c>
      <c r="F13" s="11">
        <v>27</v>
      </c>
      <c r="G13" s="11">
        <v>70</v>
      </c>
      <c r="H13" s="11">
        <v>221</v>
      </c>
      <c r="I13" s="11">
        <f t="shared" si="11"/>
        <v>13882.56</v>
      </c>
      <c r="J13" s="11">
        <v>2392.81</v>
      </c>
      <c r="K13" s="11">
        <f t="shared" si="16"/>
        <v>11343.75</v>
      </c>
      <c r="L13" s="11">
        <f>1137.95+3505.96+5649.14</f>
        <v>10293.049999999999</v>
      </c>
      <c r="M13" s="11">
        <v>34.58</v>
      </c>
      <c r="N13" s="11">
        <v>0</v>
      </c>
      <c r="O13" s="11">
        <v>0</v>
      </c>
      <c r="P13" s="11">
        <v>105.57</v>
      </c>
      <c r="Q13" s="11">
        <v>609.53</v>
      </c>
      <c r="R13" s="11">
        <v>166.45</v>
      </c>
      <c r="S13" s="11">
        <v>134.57</v>
      </c>
      <c r="T13" s="11">
        <v>334.6</v>
      </c>
      <c r="U13" s="33">
        <v>1</v>
      </c>
      <c r="V13" s="33">
        <v>27</v>
      </c>
      <c r="W13" s="11">
        <v>2040</v>
      </c>
      <c r="X13" s="11">
        <v>450</v>
      </c>
      <c r="Y13" s="31">
        <f t="shared" si="12"/>
        <v>9.7899999999999636</v>
      </c>
      <c r="Z13" s="32">
        <f t="shared" si="6"/>
        <v>0</v>
      </c>
      <c r="AA13" s="32">
        <f t="shared" si="13"/>
        <v>70</v>
      </c>
      <c r="AB13" s="33">
        <v>0</v>
      </c>
      <c r="AC13" s="33">
        <f t="shared" si="14"/>
        <v>75</v>
      </c>
      <c r="AD13" s="33">
        <v>146</v>
      </c>
      <c r="AE13" s="33"/>
      <c r="AF13" s="33">
        <f t="shared" si="15"/>
        <v>-221</v>
      </c>
    </row>
    <row r="14" spans="1:32" s="35" customFormat="1" ht="18.75">
      <c r="A14" s="53">
        <v>45177</v>
      </c>
      <c r="B14" s="10" t="s">
        <v>20</v>
      </c>
      <c r="C14" s="11">
        <v>11348.06</v>
      </c>
      <c r="D14" s="11">
        <v>5517.37</v>
      </c>
      <c r="E14" s="11">
        <v>19.5</v>
      </c>
      <c r="F14" s="11">
        <v>67</v>
      </c>
      <c r="G14" s="11">
        <v>134</v>
      </c>
      <c r="H14" s="11">
        <v>57</v>
      </c>
      <c r="I14" s="11">
        <f t="shared" si="11"/>
        <v>17232.96</v>
      </c>
      <c r="J14" s="43">
        <v>2882.98</v>
      </c>
      <c r="K14" s="11">
        <f t="shared" si="16"/>
        <v>14278.000000000002</v>
      </c>
      <c r="L14" s="11">
        <f>1189.83+4098.6+7715.98</f>
        <v>13004.41</v>
      </c>
      <c r="M14" s="11">
        <v>71.930000000000007</v>
      </c>
      <c r="N14" s="11">
        <v>0</v>
      </c>
      <c r="O14" s="11">
        <v>0</v>
      </c>
      <c r="P14" s="11">
        <v>101.1</v>
      </c>
      <c r="Q14" s="11">
        <v>724.46</v>
      </c>
      <c r="R14" s="11">
        <v>177.87</v>
      </c>
      <c r="S14" s="11">
        <v>198.23</v>
      </c>
      <c r="T14" s="11">
        <v>813.76</v>
      </c>
      <c r="U14" s="33">
        <v>90.03</v>
      </c>
      <c r="V14" s="33">
        <v>12</v>
      </c>
      <c r="W14" s="11">
        <v>1975</v>
      </c>
      <c r="X14" s="11">
        <v>450</v>
      </c>
      <c r="Y14" s="31">
        <f t="shared" si="12"/>
        <v>7.8099999999999454</v>
      </c>
      <c r="Z14" s="32">
        <f t="shared" si="6"/>
        <v>14.020000000004075</v>
      </c>
      <c r="AA14" s="32">
        <f t="shared" si="13"/>
        <v>95</v>
      </c>
      <c r="AB14" s="33">
        <v>39</v>
      </c>
      <c r="AC14" s="33">
        <f t="shared" si="14"/>
        <v>10</v>
      </c>
      <c r="AD14" s="33">
        <v>47</v>
      </c>
      <c r="AE14" s="33"/>
      <c r="AF14" s="33">
        <f t="shared" si="15"/>
        <v>-57</v>
      </c>
    </row>
    <row r="15" spans="1:32" s="35" customFormat="1" ht="18.75">
      <c r="A15" s="53">
        <v>45178</v>
      </c>
      <c r="B15" s="10" t="s">
        <v>21</v>
      </c>
      <c r="C15" s="11">
        <v>7890.32</v>
      </c>
      <c r="D15" s="11">
        <v>5786.38</v>
      </c>
      <c r="E15" s="11">
        <v>26</v>
      </c>
      <c r="F15" s="11">
        <v>56</v>
      </c>
      <c r="G15" s="11">
        <v>0</v>
      </c>
      <c r="H15" s="11">
        <v>160</v>
      </c>
      <c r="I15" s="11">
        <f t="shared" si="11"/>
        <v>13928.7</v>
      </c>
      <c r="J15" s="11">
        <v>3030.21</v>
      </c>
      <c r="K15" s="11">
        <f t="shared" si="16"/>
        <v>10720.789999999999</v>
      </c>
      <c r="L15" s="11">
        <f>921.7+3153.94+5733.7</f>
        <v>9809.34</v>
      </c>
      <c r="M15" s="11">
        <v>102.89</v>
      </c>
      <c r="N15" s="11">
        <v>0</v>
      </c>
      <c r="O15" s="11">
        <v>115.92</v>
      </c>
      <c r="P15" s="11">
        <f>35+82.25</f>
        <v>117.25</v>
      </c>
      <c r="Q15" s="11">
        <v>183.3</v>
      </c>
      <c r="R15" s="11">
        <f>114.1+35.08</f>
        <v>149.18</v>
      </c>
      <c r="S15" s="11">
        <v>242.91</v>
      </c>
      <c r="T15" s="11">
        <v>7.09</v>
      </c>
      <c r="U15" s="33">
        <v>10</v>
      </c>
      <c r="V15" s="33">
        <v>65.599999999999994</v>
      </c>
      <c r="W15" s="11">
        <v>2945.75</v>
      </c>
      <c r="X15" s="11">
        <v>450</v>
      </c>
      <c r="Y15" s="31">
        <f t="shared" si="12"/>
        <v>-1.7699999999999818</v>
      </c>
      <c r="Z15" s="32">
        <f t="shared" si="6"/>
        <v>-87.700000000000728</v>
      </c>
      <c r="AA15" s="32">
        <f t="shared" si="13"/>
        <v>0</v>
      </c>
      <c r="AB15" s="33">
        <v>0</v>
      </c>
      <c r="AC15" s="33">
        <f t="shared" si="14"/>
        <v>70</v>
      </c>
      <c r="AD15" s="33">
        <v>90</v>
      </c>
      <c r="AE15" s="33"/>
      <c r="AF15" s="33">
        <f t="shared" si="15"/>
        <v>-160</v>
      </c>
    </row>
    <row r="16" spans="1:32" s="35" customFormat="1" ht="18.75">
      <c r="A16" s="53">
        <v>45179</v>
      </c>
      <c r="B16" s="10" t="s">
        <v>22</v>
      </c>
      <c r="C16" s="11">
        <v>6602.45</v>
      </c>
      <c r="D16" s="11">
        <v>4453.66</v>
      </c>
      <c r="E16" s="11">
        <v>17.5</v>
      </c>
      <c r="F16" s="11">
        <v>48</v>
      </c>
      <c r="G16" s="11">
        <v>100</v>
      </c>
      <c r="H16" s="11">
        <v>50</v>
      </c>
      <c r="I16" s="11">
        <f t="shared" si="11"/>
        <v>11271.61</v>
      </c>
      <c r="J16" s="11">
        <v>2252.8000000000002</v>
      </c>
      <c r="K16" s="11">
        <f t="shared" si="16"/>
        <v>9018.8100000000013</v>
      </c>
      <c r="L16" s="11">
        <f>736.89+2684.36+4854.81</f>
        <v>8276.0600000000013</v>
      </c>
      <c r="M16" s="11">
        <v>0</v>
      </c>
      <c r="N16" s="11">
        <v>0</v>
      </c>
      <c r="O16" s="11">
        <v>60.12</v>
      </c>
      <c r="P16" s="11">
        <v>90</v>
      </c>
      <c r="Q16" s="11">
        <v>236.8</v>
      </c>
      <c r="R16" s="11">
        <v>297.5</v>
      </c>
      <c r="S16" s="11">
        <v>58.33</v>
      </c>
      <c r="T16" s="11">
        <v>121.38</v>
      </c>
      <c r="U16" s="33">
        <v>0</v>
      </c>
      <c r="V16" s="33">
        <v>22</v>
      </c>
      <c r="W16" s="11">
        <v>2112</v>
      </c>
      <c r="X16" s="11">
        <v>450</v>
      </c>
      <c r="Y16" s="31">
        <v>2.58</v>
      </c>
      <c r="Z16" s="32">
        <f t="shared" si="6"/>
        <v>0</v>
      </c>
      <c r="AA16" s="32">
        <f t="shared" si="13"/>
        <v>100</v>
      </c>
      <c r="AB16" s="33">
        <v>0</v>
      </c>
      <c r="AC16" s="33">
        <f t="shared" si="14"/>
        <v>50</v>
      </c>
      <c r="AD16" s="33">
        <v>0</v>
      </c>
      <c r="AE16" s="33">
        <v>3620</v>
      </c>
      <c r="AF16" s="33">
        <f t="shared" si="15"/>
        <v>3570</v>
      </c>
    </row>
    <row r="17" spans="1:32" ht="37.5" customHeight="1">
      <c r="A17" s="65" t="s">
        <v>27</v>
      </c>
      <c r="B17" s="66"/>
      <c r="C17" s="27">
        <f>SUM(C10:C16)</f>
        <v>62422.09</v>
      </c>
      <c r="D17" s="27">
        <f t="shared" ref="D17:AF17" si="17">SUM(D10:D16)</f>
        <v>32365.21</v>
      </c>
      <c r="E17" s="27">
        <f t="shared" si="17"/>
        <v>120.5</v>
      </c>
      <c r="F17" s="27">
        <f t="shared" si="17"/>
        <v>357</v>
      </c>
      <c r="G17" s="27">
        <f t="shared" si="17"/>
        <v>664</v>
      </c>
      <c r="H17" s="27">
        <f t="shared" si="17"/>
        <v>707.56999999999994</v>
      </c>
      <c r="I17" s="27">
        <f t="shared" si="17"/>
        <v>96763.4</v>
      </c>
      <c r="J17" s="27">
        <f t="shared" si="17"/>
        <v>18221.269999999997</v>
      </c>
      <c r="K17" s="27">
        <f t="shared" si="17"/>
        <v>77799.09</v>
      </c>
      <c r="L17" s="27">
        <f t="shared" si="17"/>
        <v>69416.59</v>
      </c>
      <c r="M17" s="27">
        <f t="shared" si="17"/>
        <v>317.08</v>
      </c>
      <c r="N17" s="27">
        <f t="shared" si="17"/>
        <v>104.44</v>
      </c>
      <c r="O17" s="27">
        <f t="shared" si="17"/>
        <v>304.28000000000003</v>
      </c>
      <c r="P17" s="27">
        <f t="shared" si="17"/>
        <v>717.42</v>
      </c>
      <c r="Q17" s="27">
        <f t="shared" si="17"/>
        <v>4086.29</v>
      </c>
      <c r="R17" s="27">
        <f t="shared" si="17"/>
        <v>2049.29</v>
      </c>
      <c r="S17" s="27">
        <f t="shared" si="17"/>
        <v>803.7</v>
      </c>
      <c r="T17" s="27">
        <f t="shared" si="17"/>
        <v>1912.1</v>
      </c>
      <c r="U17" s="27">
        <f t="shared" si="17"/>
        <v>127.03</v>
      </c>
      <c r="V17" s="27">
        <v>22</v>
      </c>
      <c r="W17" s="27">
        <f t="shared" si="17"/>
        <v>15977.75</v>
      </c>
      <c r="X17" s="27">
        <f t="shared" si="17"/>
        <v>3150</v>
      </c>
      <c r="Y17" s="27">
        <f t="shared" si="17"/>
        <v>9.2099999999991997</v>
      </c>
      <c r="Z17" s="27">
        <f t="shared" si="17"/>
        <v>-91.039999999995416</v>
      </c>
      <c r="AA17" s="27">
        <f t="shared" si="17"/>
        <v>465</v>
      </c>
      <c r="AB17" s="27">
        <f t="shared" si="17"/>
        <v>199</v>
      </c>
      <c r="AC17" s="27">
        <f t="shared" si="17"/>
        <v>254.57</v>
      </c>
      <c r="AD17" s="27">
        <f t="shared" si="17"/>
        <v>453</v>
      </c>
      <c r="AE17" s="27">
        <f>SUM(AE10:AE16)</f>
        <v>3620</v>
      </c>
      <c r="AF17" s="27">
        <f t="shared" si="17"/>
        <v>2912.4300000000003</v>
      </c>
    </row>
    <row r="18" spans="1:32" s="35" customFormat="1" ht="18.75">
      <c r="A18" s="53">
        <v>45180</v>
      </c>
      <c r="B18" s="10" t="s">
        <v>23</v>
      </c>
      <c r="C18" s="11">
        <v>8923.65</v>
      </c>
      <c r="D18" s="11">
        <v>3248.61</v>
      </c>
      <c r="E18" s="11">
        <v>7.5</v>
      </c>
      <c r="F18" s="11">
        <v>30</v>
      </c>
      <c r="G18" s="11">
        <v>0</v>
      </c>
      <c r="H18" s="11">
        <v>169</v>
      </c>
      <c r="I18" s="11">
        <f t="shared" ref="I18:I24" si="18">SUM(C18:H18,U18)</f>
        <v>12463.2</v>
      </c>
      <c r="J18" s="11">
        <f>2628-3.19</f>
        <v>2624.81</v>
      </c>
      <c r="K18" s="11">
        <f>SUM(L18:S18)</f>
        <v>9759.39</v>
      </c>
      <c r="L18" s="11">
        <f>1186.06+2970.99+4717.77</f>
        <v>8874.82</v>
      </c>
      <c r="M18" s="11">
        <v>65.53</v>
      </c>
      <c r="N18" s="11">
        <v>0</v>
      </c>
      <c r="O18" s="11">
        <v>0</v>
      </c>
      <c r="P18" s="11">
        <v>190.82</v>
      </c>
      <c r="Q18" s="11">
        <v>410.42</v>
      </c>
      <c r="R18" s="11">
        <v>197.57</v>
      </c>
      <c r="S18" s="11">
        <v>20.23</v>
      </c>
      <c r="T18" s="11">
        <v>446.44</v>
      </c>
      <c r="U18" s="33">
        <v>84.44</v>
      </c>
      <c r="V18" s="33">
        <v>8</v>
      </c>
      <c r="W18" s="11">
        <v>2078</v>
      </c>
      <c r="X18" s="11">
        <v>450</v>
      </c>
      <c r="Y18" s="31">
        <f t="shared" ref="Y18:Y24" si="19">SUM(T18,U18,V18,W18)-J18</f>
        <v>-7.9299999999998363</v>
      </c>
      <c r="Z18" s="32">
        <f t="shared" si="6"/>
        <v>0.99999999999818101</v>
      </c>
      <c r="AA18" s="32">
        <f t="shared" ref="AA18:AA24" si="20">SUM(G18-AB18)</f>
        <v>0</v>
      </c>
      <c r="AB18" s="32">
        <v>0</v>
      </c>
      <c r="AC18" s="33">
        <f t="shared" ref="AC18:AC24" si="21">SUM(H18-AD18)</f>
        <v>89</v>
      </c>
      <c r="AD18" s="33">
        <v>80</v>
      </c>
      <c r="AE18" s="33"/>
      <c r="AF18" s="33">
        <f t="shared" ref="AF18:AF24" si="22">SUM(AE18-H18)</f>
        <v>-169</v>
      </c>
    </row>
    <row r="19" spans="1:32" s="35" customFormat="1" ht="18.75">
      <c r="A19" s="53">
        <v>45181</v>
      </c>
      <c r="B19" s="10" t="s">
        <v>24</v>
      </c>
      <c r="C19" s="11">
        <v>8873.14</v>
      </c>
      <c r="D19" s="11">
        <v>3776.54</v>
      </c>
      <c r="E19" s="11">
        <v>15.5</v>
      </c>
      <c r="F19" s="11">
        <v>13</v>
      </c>
      <c r="G19" s="11">
        <v>20</v>
      </c>
      <c r="H19" s="11">
        <v>69</v>
      </c>
      <c r="I19" s="11">
        <f t="shared" si="18"/>
        <v>12792.18</v>
      </c>
      <c r="J19" s="11">
        <v>2307.59</v>
      </c>
      <c r="K19" s="11">
        <f>SUM(L19:S19)</f>
        <v>10435.59</v>
      </c>
      <c r="L19" s="11">
        <f>1051.09+2745.22+5171.66</f>
        <v>8967.9699999999993</v>
      </c>
      <c r="M19" s="11">
        <v>0</v>
      </c>
      <c r="N19" s="11">
        <v>0</v>
      </c>
      <c r="O19" s="11">
        <v>132.53</v>
      </c>
      <c r="P19" s="11">
        <v>270.33999999999997</v>
      </c>
      <c r="Q19" s="11">
        <v>597.91999999999996</v>
      </c>
      <c r="R19" s="11">
        <v>409.07</v>
      </c>
      <c r="S19" s="11">
        <v>57.76</v>
      </c>
      <c r="T19" s="11">
        <v>0</v>
      </c>
      <c r="U19" s="33">
        <v>25</v>
      </c>
      <c r="V19" s="33">
        <v>2</v>
      </c>
      <c r="W19" s="11">
        <v>2293</v>
      </c>
      <c r="X19" s="11">
        <v>450</v>
      </c>
      <c r="Y19" s="31">
        <f t="shared" si="19"/>
        <v>12.409999999999854</v>
      </c>
      <c r="Z19" s="32">
        <f t="shared" si="6"/>
        <v>0</v>
      </c>
      <c r="AA19" s="32">
        <f t="shared" si="20"/>
        <v>20</v>
      </c>
      <c r="AB19" s="32">
        <v>0</v>
      </c>
      <c r="AC19" s="33">
        <f t="shared" si="21"/>
        <v>20</v>
      </c>
      <c r="AD19" s="33">
        <v>49</v>
      </c>
      <c r="AE19" s="33"/>
      <c r="AF19" s="33">
        <f t="shared" si="22"/>
        <v>-69</v>
      </c>
    </row>
    <row r="20" spans="1:32" s="35" customFormat="1" ht="18.75">
      <c r="A20" s="53">
        <v>45182</v>
      </c>
      <c r="B20" s="10" t="s">
        <v>25</v>
      </c>
      <c r="C20" s="11">
        <v>9158.5400000000009</v>
      </c>
      <c r="D20" s="11">
        <v>3931.79</v>
      </c>
      <c r="E20" s="11">
        <v>2</v>
      </c>
      <c r="F20" s="11">
        <v>22</v>
      </c>
      <c r="G20" s="11">
        <v>200</v>
      </c>
      <c r="H20" s="11">
        <v>0</v>
      </c>
      <c r="I20" s="11">
        <f t="shared" si="18"/>
        <v>13334.330000000002</v>
      </c>
      <c r="J20" s="11">
        <f>2500.47-2.99</f>
        <v>2497.48</v>
      </c>
      <c r="K20" s="11">
        <f t="shared" ref="K20:K24" si="23">SUM(L20:S20)</f>
        <v>10776.849999999999</v>
      </c>
      <c r="L20" s="11">
        <f>859.68+2768.24+5375.8</f>
        <v>9003.7199999999993</v>
      </c>
      <c r="M20" s="11">
        <v>30.03</v>
      </c>
      <c r="N20" s="11">
        <v>102.3</v>
      </c>
      <c r="O20" s="11">
        <v>0</v>
      </c>
      <c r="P20" s="11">
        <v>244.4</v>
      </c>
      <c r="Q20" s="11">
        <v>621.86</v>
      </c>
      <c r="R20" s="11">
        <v>389.71</v>
      </c>
      <c r="S20" s="11">
        <v>384.83</v>
      </c>
      <c r="T20" s="11">
        <v>407.78</v>
      </c>
      <c r="U20" s="33">
        <v>20</v>
      </c>
      <c r="V20" s="33">
        <v>10</v>
      </c>
      <c r="W20" s="11">
        <f>1044+1000</f>
        <v>2044</v>
      </c>
      <c r="X20" s="11">
        <v>450</v>
      </c>
      <c r="Y20" s="31">
        <f t="shared" si="19"/>
        <v>-15.700000000000273</v>
      </c>
      <c r="Z20" s="32">
        <f t="shared" si="6"/>
        <v>0</v>
      </c>
      <c r="AA20" s="32">
        <f t="shared" si="20"/>
        <v>140</v>
      </c>
      <c r="AB20" s="32">
        <v>60</v>
      </c>
      <c r="AC20" s="33">
        <f t="shared" si="21"/>
        <v>0</v>
      </c>
      <c r="AD20" s="33">
        <v>0</v>
      </c>
      <c r="AE20" s="33"/>
      <c r="AF20" s="33">
        <f t="shared" si="22"/>
        <v>0</v>
      </c>
    </row>
    <row r="21" spans="1:32" s="35" customFormat="1" ht="18.75">
      <c r="A21" s="53">
        <v>45183</v>
      </c>
      <c r="B21" s="10" t="s">
        <v>26</v>
      </c>
      <c r="C21" s="11">
        <v>9405.68</v>
      </c>
      <c r="D21" s="11">
        <v>3670.48</v>
      </c>
      <c r="E21" s="11">
        <v>24</v>
      </c>
      <c r="F21" s="11">
        <v>38</v>
      </c>
      <c r="G21" s="11">
        <v>25</v>
      </c>
      <c r="H21" s="11">
        <v>5</v>
      </c>
      <c r="I21" s="11">
        <f t="shared" si="18"/>
        <v>13168.16</v>
      </c>
      <c r="J21" s="11">
        <v>2520.59</v>
      </c>
      <c r="K21" s="11">
        <f t="shared" si="23"/>
        <v>10647.57</v>
      </c>
      <c r="L21" s="11">
        <f>881.31+3045.67+5567.25</f>
        <v>9494.23</v>
      </c>
      <c r="M21" s="11">
        <v>64.180000000000007</v>
      </c>
      <c r="N21" s="11">
        <v>0</v>
      </c>
      <c r="O21" s="11">
        <v>82.49</v>
      </c>
      <c r="P21" s="11">
        <f>252.07+42.29</f>
        <v>294.36</v>
      </c>
      <c r="Q21" s="11">
        <v>624.24</v>
      </c>
      <c r="R21" s="11">
        <v>35.51</v>
      </c>
      <c r="S21" s="11">
        <v>52.56</v>
      </c>
      <c r="T21" s="11">
        <v>0</v>
      </c>
      <c r="U21" s="33">
        <v>0</v>
      </c>
      <c r="V21" s="33">
        <v>17</v>
      </c>
      <c r="W21" s="11">
        <v>2501</v>
      </c>
      <c r="X21" s="11">
        <v>450</v>
      </c>
      <c r="Y21" s="31">
        <f t="shared" si="19"/>
        <v>-2.5900000000001455</v>
      </c>
      <c r="Z21" s="32">
        <f t="shared" si="6"/>
        <v>0</v>
      </c>
      <c r="AA21" s="32">
        <f t="shared" si="20"/>
        <v>25</v>
      </c>
      <c r="AB21" s="32">
        <v>0</v>
      </c>
      <c r="AC21" s="33">
        <f t="shared" si="21"/>
        <v>5</v>
      </c>
      <c r="AD21" s="33">
        <v>0</v>
      </c>
      <c r="AE21" s="33"/>
      <c r="AF21" s="33">
        <f t="shared" si="22"/>
        <v>-5</v>
      </c>
    </row>
    <row r="22" spans="1:32" s="35" customFormat="1" ht="18.75">
      <c r="A22" s="53">
        <v>45184</v>
      </c>
      <c r="B22" s="10" t="s">
        <v>20</v>
      </c>
      <c r="C22" s="11">
        <v>10364.99</v>
      </c>
      <c r="D22" s="11">
        <v>5276.33</v>
      </c>
      <c r="E22" s="11">
        <v>79.5</v>
      </c>
      <c r="F22" s="11">
        <v>44</v>
      </c>
      <c r="G22" s="11">
        <v>65</v>
      </c>
      <c r="H22" s="11">
        <v>70</v>
      </c>
      <c r="I22" s="11">
        <f t="shared" si="18"/>
        <v>15899.82</v>
      </c>
      <c r="J22" s="11">
        <v>2725.63</v>
      </c>
      <c r="K22" s="11">
        <f t="shared" si="23"/>
        <v>13076.46</v>
      </c>
      <c r="L22" s="11">
        <f>1223.98+3994.23+6889.69</f>
        <v>12107.9</v>
      </c>
      <c r="M22" s="11">
        <v>0</v>
      </c>
      <c r="N22" s="11">
        <v>0</v>
      </c>
      <c r="O22" s="11">
        <v>0</v>
      </c>
      <c r="P22" s="11">
        <v>0</v>
      </c>
      <c r="Q22" s="11">
        <v>588.01</v>
      </c>
      <c r="R22" s="11">
        <v>269.45999999999998</v>
      </c>
      <c r="S22" s="11">
        <v>111.09</v>
      </c>
      <c r="T22" s="11">
        <v>323.3</v>
      </c>
      <c r="U22" s="33">
        <v>0</v>
      </c>
      <c r="V22" s="33">
        <v>3</v>
      </c>
      <c r="W22" s="11">
        <v>2337</v>
      </c>
      <c r="X22" s="11">
        <v>450</v>
      </c>
      <c r="Y22" s="31">
        <f t="shared" si="19"/>
        <v>-62.329999999999927</v>
      </c>
      <c r="Z22" s="32">
        <f t="shared" si="6"/>
        <v>-32.729999999999563</v>
      </c>
      <c r="AA22" s="32">
        <f t="shared" si="20"/>
        <v>0</v>
      </c>
      <c r="AB22" s="32">
        <v>65</v>
      </c>
      <c r="AC22" s="33">
        <f t="shared" si="21"/>
        <v>70</v>
      </c>
      <c r="AD22" s="33">
        <v>0</v>
      </c>
      <c r="AE22" s="33"/>
      <c r="AF22" s="33">
        <f t="shared" si="22"/>
        <v>-70</v>
      </c>
    </row>
    <row r="23" spans="1:32" s="35" customFormat="1" ht="18.75">
      <c r="A23" s="53">
        <v>45185</v>
      </c>
      <c r="B23" s="10" t="s">
        <v>21</v>
      </c>
      <c r="C23" s="11">
        <v>8856.4500000000007</v>
      </c>
      <c r="D23" s="11">
        <v>4337.74</v>
      </c>
      <c r="E23" s="11">
        <v>8</v>
      </c>
      <c r="F23" s="11">
        <v>55</v>
      </c>
      <c r="G23" s="11">
        <v>30</v>
      </c>
      <c r="H23" s="11">
        <v>60</v>
      </c>
      <c r="I23" s="11">
        <f t="shared" si="18"/>
        <v>13347.19</v>
      </c>
      <c r="J23" s="11">
        <v>2368.38</v>
      </c>
      <c r="K23" s="11">
        <f t="shared" si="23"/>
        <v>10860.17</v>
      </c>
      <c r="L23" s="11">
        <f>935.56+3353.73+6105.24</f>
        <v>10394.529999999999</v>
      </c>
      <c r="M23" s="11">
        <v>0</v>
      </c>
      <c r="N23" s="11">
        <v>0</v>
      </c>
      <c r="O23" s="11">
        <v>0</v>
      </c>
      <c r="P23" s="11">
        <v>151.91</v>
      </c>
      <c r="Q23" s="11">
        <v>30.08</v>
      </c>
      <c r="R23" s="11">
        <v>46.87</v>
      </c>
      <c r="S23" s="11">
        <v>236.78</v>
      </c>
      <c r="T23" s="11">
        <v>0</v>
      </c>
      <c r="U23" s="33">
        <v>0</v>
      </c>
      <c r="V23" s="33">
        <v>24</v>
      </c>
      <c r="W23" s="11">
        <v>2340</v>
      </c>
      <c r="X23" s="11">
        <v>450</v>
      </c>
      <c r="Y23" s="31">
        <f t="shared" si="19"/>
        <v>-4.3800000000001091</v>
      </c>
      <c r="Z23" s="32">
        <f t="shared" si="6"/>
        <v>-108.64000000000124</v>
      </c>
      <c r="AA23" s="32">
        <f t="shared" si="20"/>
        <v>30</v>
      </c>
      <c r="AB23" s="32">
        <v>0</v>
      </c>
      <c r="AC23" s="33">
        <f t="shared" si="21"/>
        <v>50</v>
      </c>
      <c r="AD23" s="33">
        <v>10</v>
      </c>
      <c r="AE23" s="33"/>
      <c r="AF23" s="33">
        <f t="shared" si="22"/>
        <v>-60</v>
      </c>
    </row>
    <row r="24" spans="1:32" s="35" customFormat="1" ht="18.75">
      <c r="A24" s="53">
        <v>45186</v>
      </c>
      <c r="B24" s="10" t="s">
        <v>22</v>
      </c>
      <c r="C24" s="11">
        <v>7776.08</v>
      </c>
      <c r="D24" s="11">
        <v>4024.91</v>
      </c>
      <c r="E24" s="11">
        <v>2.5</v>
      </c>
      <c r="F24" s="11">
        <v>72</v>
      </c>
      <c r="G24" s="11">
        <v>100</v>
      </c>
      <c r="H24" s="11">
        <v>413</v>
      </c>
      <c r="I24" s="11">
        <f t="shared" si="18"/>
        <v>12388.49</v>
      </c>
      <c r="J24" s="11">
        <v>2367.65</v>
      </c>
      <c r="K24" s="11">
        <f t="shared" si="23"/>
        <v>9755.8399999999983</v>
      </c>
      <c r="L24" s="11">
        <f>623.55+2858.06+5379.65</f>
        <v>8861.2599999999984</v>
      </c>
      <c r="M24" s="11">
        <v>57.85</v>
      </c>
      <c r="N24" s="11">
        <v>0</v>
      </c>
      <c r="O24" s="11">
        <v>0</v>
      </c>
      <c r="P24" s="11">
        <v>97.76</v>
      </c>
      <c r="Q24" s="11">
        <v>330.64</v>
      </c>
      <c r="R24" s="11">
        <f>134.51+139.72</f>
        <v>274.23</v>
      </c>
      <c r="S24" s="11">
        <v>134.1</v>
      </c>
      <c r="T24" s="11">
        <v>121.86</v>
      </c>
      <c r="U24" s="33">
        <v>0</v>
      </c>
      <c r="V24" s="33">
        <v>26</v>
      </c>
      <c r="W24" s="11">
        <v>2225</v>
      </c>
      <c r="X24" s="11">
        <v>450</v>
      </c>
      <c r="Y24" s="31">
        <f t="shared" si="19"/>
        <v>5.2100000000000364</v>
      </c>
      <c r="Z24" s="32">
        <f t="shared" si="6"/>
        <v>0</v>
      </c>
      <c r="AA24" s="32">
        <f t="shared" si="20"/>
        <v>100</v>
      </c>
      <c r="AB24" s="32">
        <v>0</v>
      </c>
      <c r="AC24" s="33">
        <f t="shared" si="21"/>
        <v>148</v>
      </c>
      <c r="AD24" s="33">
        <v>265</v>
      </c>
      <c r="AE24" s="33"/>
      <c r="AF24" s="33">
        <f t="shared" si="22"/>
        <v>-413</v>
      </c>
    </row>
    <row r="25" spans="1:32" ht="37.5" customHeight="1">
      <c r="A25" s="65" t="s">
        <v>27</v>
      </c>
      <c r="B25" s="66"/>
      <c r="C25" s="27">
        <f>SUM(C18:C24)</f>
        <v>63358.53</v>
      </c>
      <c r="D25" s="27">
        <f t="shared" ref="D25:AF25" si="24">SUM(D18:D24)</f>
        <v>28266.399999999998</v>
      </c>
      <c r="E25" s="27">
        <f t="shared" si="24"/>
        <v>139</v>
      </c>
      <c r="F25" s="27">
        <f t="shared" si="24"/>
        <v>274</v>
      </c>
      <c r="G25" s="27">
        <f t="shared" si="24"/>
        <v>440</v>
      </c>
      <c r="H25" s="27">
        <f t="shared" si="24"/>
        <v>786</v>
      </c>
      <c r="I25" s="27">
        <f t="shared" si="24"/>
        <v>93393.37000000001</v>
      </c>
      <c r="J25" s="27">
        <f t="shared" si="24"/>
        <v>17412.13</v>
      </c>
      <c r="K25" s="27">
        <f t="shared" si="24"/>
        <v>75311.87</v>
      </c>
      <c r="L25" s="27">
        <f t="shared" si="24"/>
        <v>67704.430000000008</v>
      </c>
      <c r="M25" s="27">
        <f t="shared" si="24"/>
        <v>217.59</v>
      </c>
      <c r="N25" s="27">
        <f t="shared" si="24"/>
        <v>102.3</v>
      </c>
      <c r="O25" s="27">
        <f t="shared" si="24"/>
        <v>215.01999999999998</v>
      </c>
      <c r="P25" s="27">
        <f t="shared" si="24"/>
        <v>1249.5899999999999</v>
      </c>
      <c r="Q25" s="27">
        <f t="shared" si="24"/>
        <v>3203.1699999999996</v>
      </c>
      <c r="R25" s="27">
        <f t="shared" si="24"/>
        <v>1622.4199999999998</v>
      </c>
      <c r="S25" s="27">
        <f t="shared" si="24"/>
        <v>997.35</v>
      </c>
      <c r="T25" s="27">
        <f t="shared" si="24"/>
        <v>1299.3799999999999</v>
      </c>
      <c r="U25" s="27">
        <f t="shared" si="24"/>
        <v>129.44</v>
      </c>
      <c r="V25" s="27">
        <f t="shared" si="24"/>
        <v>90</v>
      </c>
      <c r="W25" s="27">
        <f t="shared" si="24"/>
        <v>15818</v>
      </c>
      <c r="X25" s="27">
        <f t="shared" si="24"/>
        <v>3150</v>
      </c>
      <c r="Y25" s="27">
        <f t="shared" si="24"/>
        <v>-75.3100000000004</v>
      </c>
      <c r="Z25" s="27">
        <f t="shared" si="24"/>
        <v>-140.37000000000262</v>
      </c>
      <c r="AA25" s="27">
        <f t="shared" si="24"/>
        <v>315</v>
      </c>
      <c r="AB25" s="27">
        <f t="shared" si="24"/>
        <v>125</v>
      </c>
      <c r="AC25" s="27">
        <f t="shared" si="24"/>
        <v>382</v>
      </c>
      <c r="AD25" s="27">
        <f t="shared" si="24"/>
        <v>404</v>
      </c>
      <c r="AE25" s="27">
        <f t="shared" si="24"/>
        <v>0</v>
      </c>
      <c r="AF25" s="27">
        <f t="shared" si="24"/>
        <v>-786</v>
      </c>
    </row>
    <row r="26" spans="1:32" ht="20.25" customHeight="1">
      <c r="A26" s="9">
        <v>45187</v>
      </c>
      <c r="B26" s="10" t="s">
        <v>23</v>
      </c>
      <c r="C26" s="11">
        <f>8012.96+20</f>
        <v>8032.96</v>
      </c>
      <c r="D26" s="11">
        <v>3699.63</v>
      </c>
      <c r="E26" s="11">
        <v>0</v>
      </c>
      <c r="F26" s="11">
        <v>55</v>
      </c>
      <c r="G26" s="11">
        <v>16</v>
      </c>
      <c r="H26" s="11">
        <v>164.1</v>
      </c>
      <c r="I26" s="11">
        <f t="shared" ref="I26:I32" si="25">SUM(C26:H26,U26)</f>
        <v>11967.69</v>
      </c>
      <c r="J26" s="11">
        <v>2745.63</v>
      </c>
      <c r="K26" s="11">
        <f>SUM(L26:S26)</f>
        <v>9060.9599999999991</v>
      </c>
      <c r="L26" s="11">
        <f>477.26+3020.32+4727.73</f>
        <v>8225.31</v>
      </c>
      <c r="M26" s="11">
        <v>0</v>
      </c>
      <c r="N26" s="11">
        <v>0</v>
      </c>
      <c r="O26" s="11">
        <v>0</v>
      </c>
      <c r="P26" s="11">
        <v>233.15</v>
      </c>
      <c r="Q26" s="11">
        <v>404.7</v>
      </c>
      <c r="R26" s="11">
        <v>125.89</v>
      </c>
      <c r="S26" s="11">
        <v>71.91</v>
      </c>
      <c r="T26" s="11">
        <v>0</v>
      </c>
      <c r="U26" s="33">
        <v>0</v>
      </c>
      <c r="V26" s="33">
        <v>24</v>
      </c>
      <c r="W26" s="11">
        <v>2730</v>
      </c>
      <c r="X26" s="11">
        <v>450</v>
      </c>
      <c r="Y26" s="31">
        <f t="shared" ref="Y26:Y32" si="26">SUM(T26,U26,V26,W26)-J26</f>
        <v>8.3699999999998909</v>
      </c>
      <c r="Z26" s="32">
        <f t="shared" si="6"/>
        <v>-36</v>
      </c>
      <c r="AA26" s="32">
        <f t="shared" ref="AA26:AA32" si="27">SUM(G26-AB26)</f>
        <v>16</v>
      </c>
      <c r="AB26" s="32">
        <v>0</v>
      </c>
      <c r="AC26" s="33">
        <f t="shared" ref="AC26:AC32" si="28">SUM(H26-AD26)</f>
        <v>39</v>
      </c>
      <c r="AD26" s="33">
        <v>125.1</v>
      </c>
      <c r="AE26" s="33"/>
      <c r="AF26" s="33">
        <f t="shared" ref="AF26:AF32" si="29">SUM(AE26-H26)</f>
        <v>-164.1</v>
      </c>
    </row>
    <row r="27" spans="1:32" ht="20.25" customHeight="1">
      <c r="A27" s="9">
        <v>45188</v>
      </c>
      <c r="B27" s="10" t="s">
        <v>24</v>
      </c>
      <c r="C27" s="11">
        <v>9076.2800000000007</v>
      </c>
      <c r="D27" s="11">
        <v>3354.55</v>
      </c>
      <c r="E27" s="11">
        <v>30</v>
      </c>
      <c r="F27" s="11">
        <v>81</v>
      </c>
      <c r="G27" s="11">
        <v>15</v>
      </c>
      <c r="H27" s="11">
        <v>51.6</v>
      </c>
      <c r="I27" s="11">
        <f t="shared" si="25"/>
        <v>12630.430000000002</v>
      </c>
      <c r="J27" s="11">
        <v>2295.59</v>
      </c>
      <c r="K27" s="11">
        <f>SUM(L27:S27)</f>
        <v>10290.819999999998</v>
      </c>
      <c r="L27" s="11">
        <f>1435.63+2525.26+5455.88</f>
        <v>9416.77</v>
      </c>
      <c r="M27" s="11">
        <v>60.01</v>
      </c>
      <c r="N27" s="11">
        <v>0</v>
      </c>
      <c r="O27" s="11">
        <v>0</v>
      </c>
      <c r="P27" s="11">
        <v>108.73</v>
      </c>
      <c r="Q27" s="11">
        <v>221.21</v>
      </c>
      <c r="R27" s="11">
        <v>267.39</v>
      </c>
      <c r="S27" s="11">
        <v>216.71</v>
      </c>
      <c r="T27" s="11">
        <v>13.62</v>
      </c>
      <c r="U27" s="33">
        <v>22</v>
      </c>
      <c r="V27" s="33">
        <v>48</v>
      </c>
      <c r="W27" s="11">
        <v>2215</v>
      </c>
      <c r="X27" s="11">
        <v>450</v>
      </c>
      <c r="Y27" s="31">
        <f t="shared" si="26"/>
        <v>3.0299999999997453</v>
      </c>
      <c r="Z27" s="32">
        <f t="shared" si="6"/>
        <v>7.5799999999962893</v>
      </c>
      <c r="AA27" s="32">
        <f t="shared" si="27"/>
        <v>0</v>
      </c>
      <c r="AB27" s="32">
        <v>15</v>
      </c>
      <c r="AC27" s="33">
        <f t="shared" si="28"/>
        <v>15</v>
      </c>
      <c r="AD27" s="33">
        <v>36.6</v>
      </c>
      <c r="AE27" s="33"/>
      <c r="AF27" s="33">
        <f t="shared" si="29"/>
        <v>-51.6</v>
      </c>
    </row>
    <row r="28" spans="1:32" ht="20.25" customHeight="1">
      <c r="A28" s="9">
        <v>45189</v>
      </c>
      <c r="B28" s="10" t="s">
        <v>25</v>
      </c>
      <c r="C28" s="11">
        <v>9201.35</v>
      </c>
      <c r="D28" s="11">
        <v>3622.68</v>
      </c>
      <c r="E28" s="11">
        <v>10.5</v>
      </c>
      <c r="F28" s="11">
        <v>21</v>
      </c>
      <c r="G28" s="11">
        <v>75</v>
      </c>
      <c r="H28" s="11">
        <v>125</v>
      </c>
      <c r="I28" s="11">
        <f t="shared" si="25"/>
        <v>13058.53</v>
      </c>
      <c r="J28" s="11">
        <v>2560.61</v>
      </c>
      <c r="K28" s="11">
        <f t="shared" ref="K28:K32" si="30">SUM(L28:S28)</f>
        <v>10401.740000000002</v>
      </c>
      <c r="L28" s="11">
        <f>598.8+1778.71+3648.72</f>
        <v>6026.23</v>
      </c>
      <c r="M28" s="11">
        <v>75.25</v>
      </c>
      <c r="N28" s="11">
        <v>0</v>
      </c>
      <c r="O28" s="11">
        <v>0</v>
      </c>
      <c r="P28" s="11">
        <v>244.3</v>
      </c>
      <c r="Q28" s="11">
        <v>974.23</v>
      </c>
      <c r="R28" s="11">
        <v>285.27</v>
      </c>
      <c r="S28" s="11">
        <v>2796.46</v>
      </c>
      <c r="T28" s="11">
        <v>198.65</v>
      </c>
      <c r="U28" s="33">
        <v>3</v>
      </c>
      <c r="V28" s="33">
        <v>0</v>
      </c>
      <c r="W28" s="11">
        <v>2365</v>
      </c>
      <c r="X28" s="11">
        <v>450</v>
      </c>
      <c r="Y28" s="31">
        <f t="shared" si="26"/>
        <v>6.0399999999999636</v>
      </c>
      <c r="Z28" s="32">
        <f t="shared" si="6"/>
        <v>-41.179999999998472</v>
      </c>
      <c r="AA28" s="32">
        <f t="shared" si="27"/>
        <v>55</v>
      </c>
      <c r="AB28" s="32">
        <v>20</v>
      </c>
      <c r="AC28" s="33">
        <f t="shared" si="28"/>
        <v>90</v>
      </c>
      <c r="AD28" s="33">
        <v>35</v>
      </c>
      <c r="AE28" s="33"/>
      <c r="AF28" s="33">
        <f t="shared" si="29"/>
        <v>-125</v>
      </c>
    </row>
    <row r="29" spans="1:32" ht="20.25" customHeight="1">
      <c r="A29" s="9">
        <v>45190</v>
      </c>
      <c r="B29" s="10" t="s">
        <v>26</v>
      </c>
      <c r="C29" s="11">
        <v>9603.68</v>
      </c>
      <c r="D29" s="11">
        <v>3740.3</v>
      </c>
      <c r="E29" s="11">
        <v>5.5</v>
      </c>
      <c r="F29" s="11">
        <v>27</v>
      </c>
      <c r="G29" s="11">
        <v>40</v>
      </c>
      <c r="H29" s="11">
        <v>55</v>
      </c>
      <c r="I29" s="11">
        <f t="shared" si="25"/>
        <v>13477.48</v>
      </c>
      <c r="J29" s="11">
        <v>2498.98</v>
      </c>
      <c r="K29" s="11">
        <f t="shared" si="30"/>
        <v>10938.499999999998</v>
      </c>
      <c r="L29" s="11">
        <f>822.12+3178.18+5502.15</f>
        <v>9502.4499999999989</v>
      </c>
      <c r="M29" s="11">
        <v>140.9</v>
      </c>
      <c r="N29" s="11">
        <v>0</v>
      </c>
      <c r="O29" s="11">
        <v>0</v>
      </c>
      <c r="P29" s="11">
        <v>147.81</v>
      </c>
      <c r="Q29" s="11">
        <v>655.03</v>
      </c>
      <c r="R29" s="11">
        <v>420.39</v>
      </c>
      <c r="S29" s="11">
        <v>71.92</v>
      </c>
      <c r="T29" s="11">
        <v>308.74</v>
      </c>
      <c r="U29" s="33">
        <v>6</v>
      </c>
      <c r="V29" s="33">
        <v>6</v>
      </c>
      <c r="W29" s="11">
        <v>2185</v>
      </c>
      <c r="X29" s="11">
        <v>450</v>
      </c>
      <c r="Y29" s="31">
        <f t="shared" si="26"/>
        <v>6.7599999999997635</v>
      </c>
      <c r="Z29" s="32">
        <f t="shared" si="6"/>
        <v>0</v>
      </c>
      <c r="AA29" s="32">
        <f t="shared" si="27"/>
        <v>0</v>
      </c>
      <c r="AB29" s="32">
        <v>40</v>
      </c>
      <c r="AC29" s="33">
        <f t="shared" si="28"/>
        <v>55</v>
      </c>
      <c r="AD29" s="33">
        <v>0</v>
      </c>
      <c r="AE29" s="33"/>
      <c r="AF29" s="33">
        <f t="shared" si="29"/>
        <v>-55</v>
      </c>
    </row>
    <row r="30" spans="1:32" ht="20.25" customHeight="1">
      <c r="A30" s="9">
        <v>45191</v>
      </c>
      <c r="B30" s="10" t="s">
        <v>20</v>
      </c>
      <c r="C30" s="11">
        <f>9405.4+133.25</f>
        <v>9538.65</v>
      </c>
      <c r="D30" s="11">
        <v>4613</v>
      </c>
      <c r="E30" s="11">
        <v>19.5</v>
      </c>
      <c r="F30" s="11">
        <v>70</v>
      </c>
      <c r="G30" s="11">
        <v>230</v>
      </c>
      <c r="H30" s="11">
        <v>25</v>
      </c>
      <c r="I30" s="11">
        <f t="shared" si="25"/>
        <v>14571.15</v>
      </c>
      <c r="J30" s="11">
        <v>2188.5700000000002</v>
      </c>
      <c r="K30" s="11">
        <f t="shared" si="30"/>
        <v>12219.060000000001</v>
      </c>
      <c r="L30" s="11">
        <f>695.37+3342.67+5465.95</f>
        <v>9503.99</v>
      </c>
      <c r="M30" s="11">
        <v>0</v>
      </c>
      <c r="N30" s="11">
        <v>0</v>
      </c>
      <c r="O30" s="11">
        <v>0</v>
      </c>
      <c r="P30" s="11">
        <v>98.95</v>
      </c>
      <c r="Q30" s="11">
        <v>419.25</v>
      </c>
      <c r="R30" s="11">
        <v>305.91000000000003</v>
      </c>
      <c r="S30" s="11">
        <v>1890.96</v>
      </c>
      <c r="T30" s="11">
        <v>311.14999999999998</v>
      </c>
      <c r="U30" s="33">
        <v>75</v>
      </c>
      <c r="V30" s="33">
        <v>43</v>
      </c>
      <c r="W30" s="11">
        <v>1720</v>
      </c>
      <c r="X30" s="11">
        <v>450</v>
      </c>
      <c r="Y30" s="31">
        <f t="shared" si="26"/>
        <v>-39.420000000000073</v>
      </c>
      <c r="Z30" s="32">
        <f t="shared" si="6"/>
        <v>-133.51999999999862</v>
      </c>
      <c r="AA30" s="32">
        <f t="shared" si="27"/>
        <v>200</v>
      </c>
      <c r="AB30" s="32">
        <v>30</v>
      </c>
      <c r="AC30" s="33">
        <f t="shared" si="28"/>
        <v>25</v>
      </c>
      <c r="AD30" s="33">
        <v>0</v>
      </c>
      <c r="AE30" s="33"/>
      <c r="AF30" s="33">
        <f t="shared" si="29"/>
        <v>-25</v>
      </c>
    </row>
    <row r="31" spans="1:32" ht="20.25" customHeight="1">
      <c r="A31" s="9">
        <v>45192</v>
      </c>
      <c r="B31" s="10" t="s">
        <v>21</v>
      </c>
      <c r="C31" s="11">
        <v>8471.89</v>
      </c>
      <c r="D31" s="11">
        <v>4594.41</v>
      </c>
      <c r="E31" s="11">
        <v>7</v>
      </c>
      <c r="F31" s="11">
        <v>96</v>
      </c>
      <c r="G31" s="11">
        <v>145</v>
      </c>
      <c r="H31" s="11">
        <v>170</v>
      </c>
      <c r="I31" s="11">
        <f t="shared" si="25"/>
        <v>13492.789999999999</v>
      </c>
      <c r="J31" s="11">
        <v>2490.04</v>
      </c>
      <c r="K31" s="11">
        <f t="shared" si="30"/>
        <v>10812.75</v>
      </c>
      <c r="L31" s="11">
        <f>1297.39+3235.31+5752.35</f>
        <v>10285.049999999999</v>
      </c>
      <c r="M31" s="11">
        <v>37.04</v>
      </c>
      <c r="N31" s="11">
        <v>0</v>
      </c>
      <c r="O31" s="11">
        <v>0</v>
      </c>
      <c r="P31" s="11">
        <v>0</v>
      </c>
      <c r="Q31" s="11">
        <v>139.97999999999999</v>
      </c>
      <c r="R31" s="11">
        <v>146.43</v>
      </c>
      <c r="S31" s="11">
        <v>204.25</v>
      </c>
      <c r="T31" s="11">
        <v>0</v>
      </c>
      <c r="U31" s="33">
        <v>8.49</v>
      </c>
      <c r="V31" s="33">
        <v>57</v>
      </c>
      <c r="W31" s="11">
        <v>2392</v>
      </c>
      <c r="X31" s="11">
        <v>450</v>
      </c>
      <c r="Y31" s="31">
        <f t="shared" si="26"/>
        <v>-32.550000000000182</v>
      </c>
      <c r="Z31" s="32">
        <f t="shared" si="6"/>
        <v>0</v>
      </c>
      <c r="AA31" s="32">
        <f t="shared" si="27"/>
        <v>60</v>
      </c>
      <c r="AB31" s="32">
        <v>85</v>
      </c>
      <c r="AC31" s="33">
        <f t="shared" si="28"/>
        <v>65</v>
      </c>
      <c r="AD31" s="33">
        <v>105</v>
      </c>
      <c r="AE31" s="33"/>
      <c r="AF31" s="33">
        <f t="shared" si="29"/>
        <v>-170</v>
      </c>
    </row>
    <row r="32" spans="1:32" ht="20.25" customHeight="1">
      <c r="A32" s="9">
        <v>45193</v>
      </c>
      <c r="B32" s="10" t="s">
        <v>22</v>
      </c>
      <c r="C32" s="11">
        <v>7339.98</v>
      </c>
      <c r="D32" s="11">
        <v>3575.72</v>
      </c>
      <c r="E32" s="11">
        <v>1.5</v>
      </c>
      <c r="F32" s="11">
        <v>38</v>
      </c>
      <c r="G32" s="11">
        <v>110</v>
      </c>
      <c r="H32" s="11">
        <v>25</v>
      </c>
      <c r="I32" s="11">
        <f t="shared" si="25"/>
        <v>11103.72</v>
      </c>
      <c r="J32" s="11">
        <v>2206.81</v>
      </c>
      <c r="K32" s="11">
        <f t="shared" si="30"/>
        <v>8836.9599999999991</v>
      </c>
      <c r="L32" s="11">
        <f>1068.9+2650.7+4735.69</f>
        <v>8455.2899999999991</v>
      </c>
      <c r="M32" s="11">
        <v>45.07</v>
      </c>
      <c r="N32" s="11">
        <v>0</v>
      </c>
      <c r="O32" s="11">
        <v>0</v>
      </c>
      <c r="P32" s="11">
        <v>0</v>
      </c>
      <c r="Q32" s="11">
        <v>70.77</v>
      </c>
      <c r="R32" s="11">
        <v>203.1</v>
      </c>
      <c r="S32" s="11">
        <v>62.73</v>
      </c>
      <c r="T32" s="11">
        <v>0</v>
      </c>
      <c r="U32" s="33">
        <v>13.52</v>
      </c>
      <c r="V32" s="33">
        <v>64.03</v>
      </c>
      <c r="W32" s="11">
        <v>2130</v>
      </c>
      <c r="X32" s="11">
        <v>450</v>
      </c>
      <c r="Y32" s="31">
        <f t="shared" si="26"/>
        <v>0.74000000000023647</v>
      </c>
      <c r="Z32" s="32">
        <f t="shared" si="6"/>
        <v>-24.950000000000728</v>
      </c>
      <c r="AA32" s="32">
        <f t="shared" si="27"/>
        <v>75</v>
      </c>
      <c r="AB32" s="32">
        <v>35</v>
      </c>
      <c r="AC32" s="33">
        <f t="shared" si="28"/>
        <v>25</v>
      </c>
      <c r="AD32" s="33">
        <v>0</v>
      </c>
      <c r="AE32" s="33">
        <v>2700</v>
      </c>
      <c r="AF32" s="33">
        <f t="shared" si="29"/>
        <v>2675</v>
      </c>
    </row>
    <row r="33" spans="1:32" ht="37.5" customHeight="1">
      <c r="A33" s="65" t="s">
        <v>27</v>
      </c>
      <c r="B33" s="66"/>
      <c r="C33" s="27">
        <f t="shared" ref="C33:AF33" si="31">SUM(C26:C32)</f>
        <v>61264.790000000008</v>
      </c>
      <c r="D33" s="27">
        <f t="shared" si="31"/>
        <v>27200.29</v>
      </c>
      <c r="E33" s="27">
        <f t="shared" si="31"/>
        <v>74</v>
      </c>
      <c r="F33" s="27">
        <f t="shared" si="31"/>
        <v>388</v>
      </c>
      <c r="G33" s="27">
        <f t="shared" si="31"/>
        <v>631</v>
      </c>
      <c r="H33" s="27">
        <f t="shared" si="31"/>
        <v>615.70000000000005</v>
      </c>
      <c r="I33" s="27">
        <f t="shared" si="31"/>
        <v>90301.79</v>
      </c>
      <c r="J33" s="27">
        <f t="shared" si="31"/>
        <v>16986.23</v>
      </c>
      <c r="K33" s="27">
        <f t="shared" si="31"/>
        <v>72560.790000000008</v>
      </c>
      <c r="L33" s="27">
        <f t="shared" si="31"/>
        <v>61415.090000000004</v>
      </c>
      <c r="M33" s="27">
        <f t="shared" si="31"/>
        <v>358.27</v>
      </c>
      <c r="N33" s="27">
        <f t="shared" si="31"/>
        <v>0</v>
      </c>
      <c r="O33" s="27">
        <f t="shared" si="31"/>
        <v>0</v>
      </c>
      <c r="P33" s="27">
        <f t="shared" si="31"/>
        <v>832.94</v>
      </c>
      <c r="Q33" s="27">
        <f t="shared" si="31"/>
        <v>2885.17</v>
      </c>
      <c r="R33" s="27">
        <f t="shared" si="31"/>
        <v>1754.38</v>
      </c>
      <c r="S33" s="27">
        <f t="shared" si="31"/>
        <v>5314.94</v>
      </c>
      <c r="T33" s="27">
        <f t="shared" si="31"/>
        <v>832.16</v>
      </c>
      <c r="U33" s="27">
        <f t="shared" si="31"/>
        <v>128.01</v>
      </c>
      <c r="V33" s="27">
        <f t="shared" si="31"/>
        <v>242.03</v>
      </c>
      <c r="W33" s="27">
        <f t="shared" si="31"/>
        <v>15737</v>
      </c>
      <c r="X33" s="27">
        <f t="shared" si="31"/>
        <v>3150</v>
      </c>
      <c r="Y33" s="27">
        <f t="shared" si="31"/>
        <v>-47.030000000000655</v>
      </c>
      <c r="Z33" s="27">
        <f t="shared" si="31"/>
        <v>-228.07000000000153</v>
      </c>
      <c r="AA33" s="27">
        <f t="shared" si="31"/>
        <v>406</v>
      </c>
      <c r="AB33" s="27">
        <f t="shared" si="31"/>
        <v>225</v>
      </c>
      <c r="AC33" s="27">
        <f t="shared" si="31"/>
        <v>314</v>
      </c>
      <c r="AD33" s="27">
        <f t="shared" si="31"/>
        <v>301.7</v>
      </c>
      <c r="AE33" s="27">
        <f t="shared" si="31"/>
        <v>2700</v>
      </c>
      <c r="AF33" s="27">
        <f t="shared" si="31"/>
        <v>2084.3000000000002</v>
      </c>
    </row>
    <row r="34" spans="1:32" ht="20.25" customHeight="1">
      <c r="A34" s="9">
        <v>45194</v>
      </c>
      <c r="B34" s="10" t="s">
        <v>23</v>
      </c>
      <c r="C34" s="11">
        <v>9615.42</v>
      </c>
      <c r="D34" s="11">
        <v>3786.79</v>
      </c>
      <c r="E34" s="11">
        <v>14</v>
      </c>
      <c r="F34" s="11">
        <v>89</v>
      </c>
      <c r="G34" s="11">
        <v>0</v>
      </c>
      <c r="H34" s="11">
        <v>128.69999999999999</v>
      </c>
      <c r="I34" s="11">
        <f t="shared" ref="I34:I39" si="32">SUM(C34:H34,U34)</f>
        <v>13663.91</v>
      </c>
      <c r="J34" s="11">
        <v>2646.82</v>
      </c>
      <c r="K34" s="11">
        <f>SUM(L34:S34)</f>
        <v>10943.39</v>
      </c>
      <c r="L34" s="11">
        <f>1061.97+2789.99+5851.64</f>
        <v>9703.6</v>
      </c>
      <c r="M34" s="11">
        <v>29.34</v>
      </c>
      <c r="N34" s="11">
        <v>0</v>
      </c>
      <c r="O34" s="11">
        <v>75.22</v>
      </c>
      <c r="P34" s="11">
        <v>126.17</v>
      </c>
      <c r="Q34" s="11">
        <v>701.59</v>
      </c>
      <c r="R34" s="11">
        <v>207.82</v>
      </c>
      <c r="S34" s="11">
        <v>99.65</v>
      </c>
      <c r="T34" s="11">
        <v>407.8</v>
      </c>
      <c r="U34" s="33">
        <v>30</v>
      </c>
      <c r="V34" s="33">
        <v>34</v>
      </c>
      <c r="W34" s="11">
        <v>2183</v>
      </c>
      <c r="X34" s="11">
        <v>450</v>
      </c>
      <c r="Y34" s="31">
        <f t="shared" ref="Y34:Y39" si="33">SUM(T34,U34,V34,W34)-J34</f>
        <v>7.9800000000000182</v>
      </c>
      <c r="Z34" s="32">
        <f t="shared" si="6"/>
        <v>0</v>
      </c>
      <c r="AA34" s="32">
        <f t="shared" ref="AA34:AA39" si="34">SUM(G34-AB34)</f>
        <v>0</v>
      </c>
      <c r="AB34" s="32">
        <v>0</v>
      </c>
      <c r="AC34" s="33">
        <f t="shared" ref="AC34:AC39" si="35">SUM(H34-AD34)</f>
        <v>54.999999999999986</v>
      </c>
      <c r="AD34" s="33">
        <v>73.7</v>
      </c>
      <c r="AE34" s="33"/>
      <c r="AF34" s="33">
        <f t="shared" ref="AF34:AF39" si="36">SUM(AE34-H34)</f>
        <v>-128.69999999999999</v>
      </c>
    </row>
    <row r="35" spans="1:32" ht="20.25" customHeight="1">
      <c r="A35" s="9">
        <v>45195</v>
      </c>
      <c r="B35" s="10" t="s">
        <v>24</v>
      </c>
      <c r="C35" s="11">
        <f>10153.18+69.62</f>
        <v>10222.800000000001</v>
      </c>
      <c r="D35" s="11">
        <v>3308.37</v>
      </c>
      <c r="E35" s="11">
        <v>17.5</v>
      </c>
      <c r="F35" s="11">
        <v>74</v>
      </c>
      <c r="G35" s="11">
        <v>0</v>
      </c>
      <c r="H35" s="11">
        <v>255</v>
      </c>
      <c r="I35" s="11">
        <f t="shared" si="32"/>
        <v>13899.670000000002</v>
      </c>
      <c r="J35" s="11">
        <v>2601.42</v>
      </c>
      <c r="K35" s="11">
        <f t="shared" ref="K35:K39" si="37">SUM(L35:S35)</f>
        <v>11110.1</v>
      </c>
      <c r="L35" s="11">
        <f>770.82+3450.9+5797.08</f>
        <v>10018.799999999999</v>
      </c>
      <c r="M35" s="11">
        <v>0</v>
      </c>
      <c r="N35" s="11">
        <v>0</v>
      </c>
      <c r="O35" s="11">
        <v>0</v>
      </c>
      <c r="P35" s="11">
        <v>60.01</v>
      </c>
      <c r="Q35" s="11">
        <v>694.6</v>
      </c>
      <c r="R35" s="11">
        <v>285.35000000000002</v>
      </c>
      <c r="S35" s="11">
        <v>51.34</v>
      </c>
      <c r="T35" s="11">
        <v>150</v>
      </c>
      <c r="U35" s="33">
        <v>22</v>
      </c>
      <c r="V35" s="33">
        <v>31</v>
      </c>
      <c r="W35" s="11">
        <v>2475</v>
      </c>
      <c r="X35" s="11">
        <v>450</v>
      </c>
      <c r="Y35" s="31">
        <f t="shared" si="33"/>
        <v>76.579999999999927</v>
      </c>
      <c r="Z35" s="32">
        <f t="shared" si="6"/>
        <v>-63.150000000001455</v>
      </c>
      <c r="AA35" s="32">
        <f t="shared" si="34"/>
        <v>0</v>
      </c>
      <c r="AB35" s="32">
        <v>0</v>
      </c>
      <c r="AC35" s="33">
        <f t="shared" si="35"/>
        <v>130</v>
      </c>
      <c r="AD35" s="33">
        <v>125</v>
      </c>
      <c r="AE35" s="33"/>
      <c r="AF35" s="33">
        <f t="shared" si="36"/>
        <v>-255</v>
      </c>
    </row>
    <row r="36" spans="1:32" ht="20.25" customHeight="1">
      <c r="A36" s="9">
        <v>45196</v>
      </c>
      <c r="B36" s="10" t="s">
        <v>25</v>
      </c>
      <c r="C36" s="11">
        <v>8872.57</v>
      </c>
      <c r="D36" s="11">
        <f>3755.47+23.99</f>
        <v>3779.4599999999996</v>
      </c>
      <c r="E36" s="11">
        <v>1</v>
      </c>
      <c r="F36" s="11">
        <v>47</v>
      </c>
      <c r="G36" s="11">
        <v>60</v>
      </c>
      <c r="H36" s="11">
        <v>296.08999999999997</v>
      </c>
      <c r="I36" s="11">
        <f t="shared" si="32"/>
        <v>13059.119999999999</v>
      </c>
      <c r="J36" s="11">
        <v>2633.24</v>
      </c>
      <c r="K36" s="11">
        <f t="shared" si="37"/>
        <v>10031.660000000002</v>
      </c>
      <c r="L36" s="11">
        <f>809.32+2869.48+5492.92</f>
        <v>9171.7200000000012</v>
      </c>
      <c r="M36" s="11">
        <v>14.38</v>
      </c>
      <c r="N36" s="11">
        <v>0</v>
      </c>
      <c r="O36" s="11">
        <v>0</v>
      </c>
      <c r="P36" s="11">
        <v>16.25</v>
      </c>
      <c r="Q36" s="11">
        <v>299.04000000000002</v>
      </c>
      <c r="R36" s="11">
        <f>81.02+319.92</f>
        <v>400.94</v>
      </c>
      <c r="S36" s="11">
        <v>129.33000000000001</v>
      </c>
      <c r="T36" s="11">
        <f>843.04+10</f>
        <v>853.04</v>
      </c>
      <c r="U36" s="33">
        <v>3</v>
      </c>
      <c r="V36" s="33">
        <v>32</v>
      </c>
      <c r="W36" s="11">
        <v>1642</v>
      </c>
      <c r="X36" s="11">
        <v>450</v>
      </c>
      <c r="Y36" s="31">
        <f t="shared" si="33"/>
        <v>-103.19999999999982</v>
      </c>
      <c r="Z36" s="32">
        <f t="shared" si="6"/>
        <v>-83.129999999997381</v>
      </c>
      <c r="AA36" s="32">
        <f t="shared" si="34"/>
        <v>30</v>
      </c>
      <c r="AB36" s="32">
        <v>30</v>
      </c>
      <c r="AC36" s="33">
        <f t="shared" si="35"/>
        <v>15</v>
      </c>
      <c r="AD36" s="33">
        <v>281.08999999999997</v>
      </c>
      <c r="AE36" s="33"/>
      <c r="AF36" s="33">
        <f t="shared" si="36"/>
        <v>-296.08999999999997</v>
      </c>
    </row>
    <row r="37" spans="1:32" ht="20.25" customHeight="1">
      <c r="A37" s="9">
        <v>45197</v>
      </c>
      <c r="B37" s="10" t="s">
        <v>26</v>
      </c>
      <c r="C37" s="11">
        <v>8774.86</v>
      </c>
      <c r="D37" s="11">
        <v>3691.83</v>
      </c>
      <c r="E37" s="11">
        <v>26</v>
      </c>
      <c r="F37" s="11">
        <v>118</v>
      </c>
      <c r="G37" s="11">
        <v>120</v>
      </c>
      <c r="H37" s="11">
        <v>145</v>
      </c>
      <c r="I37" s="11">
        <f t="shared" si="32"/>
        <v>12879.69</v>
      </c>
      <c r="J37" s="11">
        <v>1993.7</v>
      </c>
      <c r="K37" s="11">
        <f t="shared" si="37"/>
        <v>10577.610000000002</v>
      </c>
      <c r="L37" s="11">
        <f>894.25+2970.38+5939.5</f>
        <v>9804.130000000001</v>
      </c>
      <c r="M37" s="11">
        <v>2.4900000000000002</v>
      </c>
      <c r="N37" s="11">
        <v>0</v>
      </c>
      <c r="O37" s="11">
        <v>30</v>
      </c>
      <c r="P37" s="11">
        <v>50.03</v>
      </c>
      <c r="Q37" s="11">
        <v>533.28</v>
      </c>
      <c r="R37" s="11">
        <v>119.58</v>
      </c>
      <c r="S37" s="11">
        <v>38.1</v>
      </c>
      <c r="T37" s="11">
        <v>0</v>
      </c>
      <c r="U37" s="33">
        <v>4</v>
      </c>
      <c r="V37" s="33">
        <v>80</v>
      </c>
      <c r="W37" s="11">
        <v>1708</v>
      </c>
      <c r="X37" s="11">
        <v>450</v>
      </c>
      <c r="Y37" s="31">
        <f t="shared" si="33"/>
        <v>-201.70000000000005</v>
      </c>
      <c r="Z37" s="32">
        <f t="shared" si="6"/>
        <v>-158.37999999999738</v>
      </c>
      <c r="AA37" s="32">
        <f t="shared" si="34"/>
        <v>80</v>
      </c>
      <c r="AB37" s="32">
        <v>40</v>
      </c>
      <c r="AC37" s="33">
        <f t="shared" si="35"/>
        <v>35</v>
      </c>
      <c r="AD37" s="33">
        <v>110</v>
      </c>
      <c r="AE37" s="33"/>
      <c r="AF37" s="33">
        <f t="shared" si="36"/>
        <v>-145</v>
      </c>
    </row>
    <row r="38" spans="1:32" ht="20.25" customHeight="1">
      <c r="A38" s="9">
        <v>45198</v>
      </c>
      <c r="B38" s="10" t="s">
        <v>20</v>
      </c>
      <c r="C38" s="11">
        <v>11175.09</v>
      </c>
      <c r="D38" s="11">
        <f>5698.8+13.49</f>
        <v>5712.29</v>
      </c>
      <c r="E38" s="11">
        <v>75</v>
      </c>
      <c r="F38" s="11">
        <v>87</v>
      </c>
      <c r="G38" s="11">
        <v>20</v>
      </c>
      <c r="H38" s="11">
        <v>257.56</v>
      </c>
      <c r="I38" s="11">
        <f t="shared" si="32"/>
        <v>17336.940000000002</v>
      </c>
      <c r="J38" s="11">
        <v>2661.64</v>
      </c>
      <c r="K38" s="11">
        <f t="shared" si="37"/>
        <v>14655.3</v>
      </c>
      <c r="L38" s="11">
        <f>981.47+5027.13+7676.93</f>
        <v>13685.53</v>
      </c>
      <c r="M38" s="11">
        <v>72.16</v>
      </c>
      <c r="N38" s="11">
        <v>0</v>
      </c>
      <c r="O38" s="11">
        <v>0</v>
      </c>
      <c r="P38" s="11">
        <v>148.31</v>
      </c>
      <c r="Q38" s="11">
        <v>327.74</v>
      </c>
      <c r="R38" s="11">
        <v>248.13</v>
      </c>
      <c r="S38" s="11">
        <v>173.43</v>
      </c>
      <c r="T38" s="11">
        <v>277.60000000000002</v>
      </c>
      <c r="U38" s="33">
        <v>10</v>
      </c>
      <c r="V38" s="33">
        <v>45</v>
      </c>
      <c r="W38" s="11">
        <v>2338</v>
      </c>
      <c r="X38" s="11">
        <v>450</v>
      </c>
      <c r="Y38" s="31">
        <f t="shared" si="33"/>
        <v>8.9600000000000364</v>
      </c>
      <c r="Z38" s="32">
        <f t="shared" si="6"/>
        <v>0</v>
      </c>
      <c r="AA38" s="32">
        <f t="shared" si="34"/>
        <v>0</v>
      </c>
      <c r="AB38" s="32">
        <v>20</v>
      </c>
      <c r="AC38" s="33">
        <f t="shared" si="35"/>
        <v>257.56</v>
      </c>
      <c r="AD38" s="33">
        <v>0</v>
      </c>
      <c r="AE38" s="33"/>
      <c r="AF38" s="33">
        <f t="shared" si="36"/>
        <v>-257.56</v>
      </c>
    </row>
    <row r="39" spans="1:32" ht="20.25" customHeight="1">
      <c r="A39" s="9">
        <v>45199</v>
      </c>
      <c r="B39" s="10" t="s">
        <v>21</v>
      </c>
      <c r="C39" s="11">
        <v>8829.43</v>
      </c>
      <c r="D39" s="11">
        <v>4152.72</v>
      </c>
      <c r="E39" s="11">
        <v>17</v>
      </c>
      <c r="F39" s="11">
        <v>64</v>
      </c>
      <c r="G39" s="11">
        <v>150</v>
      </c>
      <c r="H39" s="11">
        <v>70</v>
      </c>
      <c r="I39" s="11">
        <f t="shared" si="32"/>
        <v>13283.150000000001</v>
      </c>
      <c r="J39" s="11">
        <v>2797.26</v>
      </c>
      <c r="K39" s="11">
        <f t="shared" si="37"/>
        <v>10387.880000000001</v>
      </c>
      <c r="L39" s="11">
        <f>871.45+2921.25+5627.84</f>
        <v>9420.5400000000009</v>
      </c>
      <c r="M39" s="11">
        <v>104.83</v>
      </c>
      <c r="N39" s="11">
        <v>0</v>
      </c>
      <c r="O39" s="11">
        <v>48.02</v>
      </c>
      <c r="P39" s="11">
        <v>69.44</v>
      </c>
      <c r="Q39" s="11">
        <v>323.25</v>
      </c>
      <c r="R39" s="11">
        <v>217.48</v>
      </c>
      <c r="S39" s="11">
        <v>204.32</v>
      </c>
      <c r="T39" s="11">
        <v>0</v>
      </c>
      <c r="U39" s="33">
        <v>0</v>
      </c>
      <c r="V39" s="33">
        <v>34.4</v>
      </c>
      <c r="W39" s="11">
        <v>2755</v>
      </c>
      <c r="X39" s="11">
        <v>450</v>
      </c>
      <c r="Y39" s="31">
        <f t="shared" si="33"/>
        <v>-7.8600000000001273</v>
      </c>
      <c r="Z39" s="32">
        <f t="shared" si="6"/>
        <v>11.989999999999782</v>
      </c>
      <c r="AA39" s="32">
        <f t="shared" si="34"/>
        <v>110</v>
      </c>
      <c r="AB39" s="32">
        <v>40</v>
      </c>
      <c r="AC39" s="33">
        <f t="shared" si="35"/>
        <v>0</v>
      </c>
      <c r="AD39" s="33">
        <v>70</v>
      </c>
      <c r="AE39" s="33"/>
      <c r="AF39" s="33">
        <f t="shared" si="36"/>
        <v>-70</v>
      </c>
    </row>
    <row r="40" spans="1:32" ht="37.5" customHeight="1">
      <c r="A40" s="65" t="s">
        <v>27</v>
      </c>
      <c r="B40" s="66"/>
      <c r="C40" s="27">
        <f>SUM(C34:C39)</f>
        <v>57490.170000000006</v>
      </c>
      <c r="D40" s="27">
        <f t="shared" ref="D40:AF40" si="38">SUM(D34:D39)</f>
        <v>24431.46</v>
      </c>
      <c r="E40" s="27">
        <f t="shared" si="38"/>
        <v>150.5</v>
      </c>
      <c r="F40" s="27">
        <f t="shared" si="38"/>
        <v>479</v>
      </c>
      <c r="G40" s="27">
        <f t="shared" si="38"/>
        <v>350</v>
      </c>
      <c r="H40" s="27">
        <f t="shared" si="38"/>
        <v>1152.3499999999999</v>
      </c>
      <c r="I40" s="27">
        <f t="shared" si="38"/>
        <v>84122.48000000001</v>
      </c>
      <c r="J40" s="27">
        <f t="shared" si="38"/>
        <v>15334.08</v>
      </c>
      <c r="K40" s="27">
        <f t="shared" si="38"/>
        <v>67705.94</v>
      </c>
      <c r="L40" s="27">
        <f t="shared" si="38"/>
        <v>61804.32</v>
      </c>
      <c r="M40" s="27">
        <f t="shared" si="38"/>
        <v>223.2</v>
      </c>
      <c r="N40" s="27">
        <f t="shared" si="38"/>
        <v>0</v>
      </c>
      <c r="O40" s="27">
        <f t="shared" si="38"/>
        <v>153.24</v>
      </c>
      <c r="P40" s="27">
        <f t="shared" si="38"/>
        <v>470.21</v>
      </c>
      <c r="Q40" s="27">
        <f t="shared" si="38"/>
        <v>2879.5</v>
      </c>
      <c r="R40" s="27">
        <f t="shared" si="38"/>
        <v>1479.3000000000002</v>
      </c>
      <c r="S40" s="27">
        <f t="shared" si="38"/>
        <v>696.17000000000007</v>
      </c>
      <c r="T40" s="27">
        <f t="shared" si="38"/>
        <v>1688.44</v>
      </c>
      <c r="U40" s="27">
        <f t="shared" si="38"/>
        <v>69</v>
      </c>
      <c r="V40" s="27">
        <f t="shared" si="38"/>
        <v>256.39999999999998</v>
      </c>
      <c r="W40" s="27">
        <f t="shared" si="38"/>
        <v>13101</v>
      </c>
      <c r="X40" s="27">
        <f t="shared" si="38"/>
        <v>2700</v>
      </c>
      <c r="Y40" s="27">
        <f t="shared" si="38"/>
        <v>-219.24</v>
      </c>
      <c r="Z40" s="27">
        <f t="shared" si="38"/>
        <v>-292.66999999999643</v>
      </c>
      <c r="AA40" s="27">
        <f t="shared" si="38"/>
        <v>220</v>
      </c>
      <c r="AB40" s="27">
        <f t="shared" si="38"/>
        <v>130</v>
      </c>
      <c r="AC40" s="27">
        <f t="shared" si="38"/>
        <v>492.56</v>
      </c>
      <c r="AD40" s="27">
        <f t="shared" si="38"/>
        <v>659.79</v>
      </c>
      <c r="AE40" s="27">
        <f t="shared" si="38"/>
        <v>0</v>
      </c>
      <c r="AF40" s="27">
        <f t="shared" si="38"/>
        <v>-1152.3499999999999</v>
      </c>
    </row>
    <row r="41" spans="1:32" ht="51.75" customHeight="1">
      <c r="A41" s="67" t="s">
        <v>17</v>
      </c>
      <c r="B41" s="68"/>
      <c r="C41" s="30">
        <f t="shared" ref="C41:AF41" si="39">SUM(C9,C17,C25,C33,C40)</f>
        <v>305872.36</v>
      </c>
      <c r="D41" s="30">
        <f t="shared" si="39"/>
        <v>142747.24</v>
      </c>
      <c r="E41" s="30">
        <f t="shared" si="39"/>
        <v>671</v>
      </c>
      <c r="F41" s="30">
        <f t="shared" si="39"/>
        <v>1923</v>
      </c>
      <c r="G41" s="30">
        <f t="shared" si="39"/>
        <v>2405</v>
      </c>
      <c r="H41" s="30">
        <f t="shared" si="39"/>
        <v>3900.6699999999996</v>
      </c>
      <c r="I41" s="30">
        <f t="shared" si="39"/>
        <v>458140.24</v>
      </c>
      <c r="J41" s="30">
        <f t="shared" si="39"/>
        <v>85022.38</v>
      </c>
      <c r="K41" s="30">
        <f t="shared" si="39"/>
        <v>369283.91</v>
      </c>
      <c r="L41" s="30">
        <f t="shared" si="39"/>
        <v>329090.81000000006</v>
      </c>
      <c r="M41" s="30">
        <f t="shared" si="39"/>
        <v>1394.28</v>
      </c>
      <c r="N41" s="30">
        <f t="shared" si="39"/>
        <v>303.73</v>
      </c>
      <c r="O41" s="30">
        <f t="shared" si="39"/>
        <v>765.84</v>
      </c>
      <c r="P41" s="30">
        <f t="shared" si="39"/>
        <v>4216.37</v>
      </c>
      <c r="Q41" s="30">
        <f t="shared" si="39"/>
        <v>16503.71</v>
      </c>
      <c r="R41" s="30">
        <f t="shared" si="39"/>
        <v>8649.36</v>
      </c>
      <c r="S41" s="30">
        <f t="shared" si="39"/>
        <v>8359.81</v>
      </c>
      <c r="T41" s="30">
        <f t="shared" si="39"/>
        <v>6848.6399999999994</v>
      </c>
      <c r="U41" s="30">
        <f t="shared" si="39"/>
        <v>620.97</v>
      </c>
      <c r="V41" s="30">
        <f t="shared" si="39"/>
        <v>1067.4299999999998</v>
      </c>
      <c r="W41" s="30">
        <f t="shared" si="39"/>
        <v>75985.75</v>
      </c>
      <c r="X41" s="30">
        <f t="shared" si="39"/>
        <v>15300</v>
      </c>
      <c r="Y41" s="30">
        <f t="shared" si="39"/>
        <v>-307.99000000000268</v>
      </c>
      <c r="Z41" s="30">
        <f t="shared" si="39"/>
        <v>-754.78999999999542</v>
      </c>
      <c r="AA41" s="30">
        <f t="shared" si="39"/>
        <v>1556</v>
      </c>
      <c r="AB41" s="30">
        <f t="shared" si="39"/>
        <v>849</v>
      </c>
      <c r="AC41" s="30">
        <f t="shared" si="39"/>
        <v>1670.51</v>
      </c>
      <c r="AD41" s="30">
        <f t="shared" si="39"/>
        <v>2230.16</v>
      </c>
      <c r="AE41" s="30">
        <f t="shared" si="39"/>
        <v>10600</v>
      </c>
      <c r="AF41" s="30">
        <f t="shared" si="39"/>
        <v>6699.33</v>
      </c>
    </row>
    <row r="43" spans="1:32">
      <c r="C43" s="41"/>
      <c r="D43" s="41"/>
      <c r="E43" s="41"/>
      <c r="F43" s="41"/>
      <c r="G43" s="41"/>
      <c r="H43" s="41"/>
      <c r="I43" s="41"/>
      <c r="J43" s="41"/>
      <c r="K43" s="41"/>
      <c r="L43" s="41"/>
      <c r="M43" s="41"/>
      <c r="N43" s="41"/>
      <c r="O43" s="41"/>
      <c r="P43" s="41"/>
      <c r="Q43" s="41"/>
      <c r="R43" s="41"/>
      <c r="S43" s="41"/>
      <c r="T43" s="41"/>
      <c r="U43" s="41"/>
      <c r="V43" s="41"/>
      <c r="W43" s="41"/>
      <c r="X43" s="41"/>
      <c r="Y43" s="41"/>
      <c r="Z43" s="41"/>
      <c r="AA43" s="41"/>
      <c r="AB43" s="41"/>
      <c r="AC43" s="41"/>
      <c r="AD43" s="41"/>
      <c r="AE43" s="41"/>
      <c r="AF43" s="41"/>
    </row>
    <row r="44" spans="1:32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</row>
    <row r="45" spans="1:32">
      <c r="C45" s="42"/>
      <c r="D45" s="42"/>
      <c r="E45" s="42"/>
      <c r="F45" s="42"/>
      <c r="G45" s="42"/>
      <c r="H45" s="42"/>
      <c r="I45" s="42"/>
      <c r="J45" s="42"/>
      <c r="K45" s="42"/>
      <c r="L45" s="42"/>
      <c r="M45" s="42"/>
      <c r="N45" s="42"/>
      <c r="O45" s="42"/>
      <c r="P45" s="42"/>
      <c r="Q45" s="42"/>
      <c r="R45" s="42"/>
      <c r="S45" s="42"/>
      <c r="T45" s="42"/>
      <c r="U45" s="42"/>
      <c r="V45" s="42"/>
      <c r="W45" s="42"/>
      <c r="X45" s="42"/>
      <c r="Y45" s="42"/>
      <c r="Z45" s="42"/>
      <c r="AA45" s="42"/>
      <c r="AB45" s="42"/>
      <c r="AC45" s="42"/>
      <c r="AD45" s="42"/>
      <c r="AE45" s="42"/>
      <c r="AF45" s="42"/>
    </row>
    <row r="46" spans="1:32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</row>
    <row r="47" spans="1:32"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9" spans="1:32" hidden="1"/>
    <row r="50" spans="1:32" ht="18.75" hidden="1"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33"/>
      <c r="V50" s="33"/>
      <c r="W50" s="11"/>
      <c r="X50" s="11"/>
      <c r="Y50" s="31"/>
      <c r="Z50" s="32"/>
      <c r="AA50" s="32"/>
      <c r="AB50" s="32"/>
      <c r="AC50" s="33"/>
      <c r="AD50" s="33"/>
      <c r="AE50" s="33"/>
      <c r="AF50" s="33"/>
    </row>
    <row r="51" spans="1:32" ht="18.75" hidden="1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33"/>
      <c r="V51" s="33"/>
      <c r="W51" s="11"/>
      <c r="X51" s="11"/>
      <c r="Y51" s="31"/>
      <c r="Z51" s="32"/>
      <c r="AA51" s="32"/>
      <c r="AB51" s="32"/>
      <c r="AC51" s="33"/>
      <c r="AD51" s="33"/>
      <c r="AE51" s="33"/>
      <c r="AF51" s="33"/>
    </row>
    <row r="52" spans="1:32" s="28" customFormat="1" ht="18.75" hidden="1">
      <c r="A52"/>
      <c r="B52"/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33"/>
      <c r="V52" s="33"/>
      <c r="W52" s="11"/>
      <c r="X52" s="11"/>
      <c r="Y52" s="31"/>
      <c r="Z52" s="32"/>
      <c r="AA52" s="32"/>
      <c r="AB52" s="32"/>
      <c r="AC52" s="33"/>
      <c r="AD52" s="33"/>
      <c r="AE52" s="33"/>
      <c r="AF52" s="33"/>
    </row>
    <row r="53" spans="1:32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  <row r="54" spans="1:32" s="28" customFormat="1" hidden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</row>
    <row r="55" spans="1:32" s="28" customFormat="1" hidden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</row>
  </sheetData>
  <sheetProtection password="CCFB" sheet="1" objects="1" scenarios="1"/>
  <mergeCells count="6">
    <mergeCell ref="A41:B41"/>
    <mergeCell ref="A9:B9"/>
    <mergeCell ref="A17:B17"/>
    <mergeCell ref="A25:B25"/>
    <mergeCell ref="A33:B33"/>
    <mergeCell ref="A40:B40"/>
  </mergeCells>
  <conditionalFormatting sqref="Y50:AB52 Y2:AB8 Y10:AA16 Y18:AB24 Y26:AB32 Y34:AB39">
    <cfRule type="cellIs" dxfId="87" priority="7" operator="lessThan">
      <formula>0</formula>
    </cfRule>
    <cfRule type="cellIs" dxfId="86" priority="8" operator="greaterThan">
      <formula>0</formula>
    </cfRule>
  </conditionalFormatting>
  <conditionalFormatting sqref="Y50:AC52 AC10:AC16 Y2:AC8 Y10:AA16 Y18:AC24 Y26:AC32 Y34:AC39">
    <cfRule type="cellIs" dxfId="85" priority="4" operator="equal">
      <formula>0</formula>
    </cfRule>
    <cfRule type="cellIs" dxfId="84" priority="5" operator="lessThan">
      <formula>0</formula>
    </cfRule>
    <cfRule type="cellIs" dxfId="83" priority="6" operator="greaterThan">
      <formula>0</formula>
    </cfRule>
  </conditionalFormatting>
  <conditionalFormatting sqref="AF18:AF24 AF26:AF32 AF10:AF16 AF2:AF8 AF34:AF39">
    <cfRule type="cellIs" dxfId="82" priority="1" operator="equal">
      <formula>0</formula>
    </cfRule>
    <cfRule type="cellIs" dxfId="81" priority="2" operator="lessThan">
      <formula>0</formula>
    </cfRule>
    <cfRule type="cellIs" dxfId="8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U46"/>
  <sheetViews>
    <sheetView zoomScale="70" zoomScaleNormal="70" workbookViewId="0">
      <pane ySplit="1" topLeftCell="A11" activePane="bottomLeft" state="frozen"/>
      <selection pane="bottomLeft" activeCell="D17" sqref="D17"/>
    </sheetView>
  </sheetViews>
  <sheetFormatPr defaultRowHeight="18.75"/>
  <cols>
    <col min="1" max="1" width="16" customWidth="1"/>
    <col min="2" max="2" width="16.7109375" customWidth="1"/>
    <col min="3" max="3" width="17.7109375" customWidth="1"/>
    <col min="4" max="4" width="15.140625" customWidth="1"/>
    <col min="5" max="5" width="12.85546875" customWidth="1"/>
    <col min="6" max="7" width="15" customWidth="1"/>
    <col min="8" max="8" width="17.85546875" customWidth="1"/>
    <col min="9" max="9" width="17.140625" customWidth="1"/>
    <col min="10" max="10" width="14.85546875" customWidth="1"/>
    <col min="11" max="11" width="14.140625" customWidth="1"/>
    <col min="12" max="12" width="19.7109375" customWidth="1"/>
    <col min="13" max="13" width="17.5703125" customWidth="1"/>
    <col min="14" max="14" width="17" customWidth="1"/>
    <col min="15" max="15" width="15.28515625" customWidth="1"/>
    <col min="16" max="16" width="21.140625" customWidth="1"/>
    <col min="17" max="17" width="19.5703125" customWidth="1"/>
    <col min="18" max="18" width="18" customWidth="1"/>
    <col min="19" max="19" width="17.85546875" customWidth="1"/>
    <col min="20" max="20" width="19.28515625" style="22" customWidth="1"/>
    <col min="21" max="21" width="18.28515625" customWidth="1"/>
  </cols>
  <sheetData>
    <row r="1" spans="1:21" ht="4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28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34</v>
      </c>
      <c r="T1" s="6" t="s">
        <v>39</v>
      </c>
      <c r="U1" s="6" t="s">
        <v>40</v>
      </c>
    </row>
    <row r="2" spans="1:21">
      <c r="A2" s="9">
        <v>44105</v>
      </c>
      <c r="B2" s="10" t="s">
        <v>26</v>
      </c>
      <c r="C2" s="5">
        <f>4338.19+230.12</f>
        <v>4568.3099999999995</v>
      </c>
      <c r="D2" s="5">
        <f>2340.91+9.99</f>
        <v>2350.8999999999996</v>
      </c>
      <c r="E2" s="5">
        <v>11.5</v>
      </c>
      <c r="F2" s="5">
        <v>54</v>
      </c>
      <c r="G2" s="62" t="s">
        <v>38</v>
      </c>
      <c r="H2" s="5">
        <f>SUM(C2:F2,N2)</f>
        <v>7129.7099999999991</v>
      </c>
      <c r="I2" s="5">
        <v>1905.3</v>
      </c>
      <c r="J2" s="5">
        <v>5065.75</v>
      </c>
      <c r="K2" s="5">
        <v>148.66999999999999</v>
      </c>
      <c r="L2" s="5">
        <v>230.12</v>
      </c>
      <c r="M2" s="5">
        <v>0</v>
      </c>
      <c r="N2" s="5">
        <v>145</v>
      </c>
      <c r="O2" s="5">
        <v>9</v>
      </c>
      <c r="P2" s="5">
        <v>1764.75</v>
      </c>
      <c r="Q2" s="5">
        <v>400</v>
      </c>
      <c r="R2" s="3">
        <f>SUM(M2,N2,O2,P2)-I2</f>
        <v>13.450000000000045</v>
      </c>
      <c r="S2" s="3">
        <f>(H2)-(I2+J2+K2)</f>
        <v>9.9899999999988722</v>
      </c>
      <c r="T2" s="62" t="s">
        <v>38</v>
      </c>
      <c r="U2" s="62" t="s">
        <v>38</v>
      </c>
    </row>
    <row r="3" spans="1:21">
      <c r="A3" s="9">
        <v>44106</v>
      </c>
      <c r="B3" s="10" t="s">
        <v>20</v>
      </c>
      <c r="C3" s="5">
        <f>5118.64+68.94</f>
        <v>5187.58</v>
      </c>
      <c r="D3" s="5">
        <f>2607.53+15.99+19.98</f>
        <v>2643.5</v>
      </c>
      <c r="E3" s="5">
        <v>15</v>
      </c>
      <c r="F3" s="5">
        <v>96</v>
      </c>
      <c r="G3" s="63"/>
      <c r="H3" s="5">
        <f>SUM(C3:F3,N3)</f>
        <v>8177.08</v>
      </c>
      <c r="I3" s="5">
        <v>2487.0700000000002</v>
      </c>
      <c r="J3" s="5">
        <v>5644.05</v>
      </c>
      <c r="K3" s="5">
        <v>0</v>
      </c>
      <c r="L3" s="5">
        <v>68.94</v>
      </c>
      <c r="M3" s="5">
        <v>112.86</v>
      </c>
      <c r="N3" s="5">
        <v>235</v>
      </c>
      <c r="O3" s="5">
        <v>38</v>
      </c>
      <c r="P3" s="5">
        <v>2155.08</v>
      </c>
      <c r="Q3" s="5">
        <v>400</v>
      </c>
      <c r="R3" s="3">
        <f>SUM(M3,N3,O3,P3)-I3</f>
        <v>53.869999999999891</v>
      </c>
      <c r="S3" s="3">
        <f t="shared" ref="S3:S37" si="0">(H3)-(I3+J3+K3)</f>
        <v>45.959999999999127</v>
      </c>
      <c r="T3" s="63"/>
      <c r="U3" s="63"/>
    </row>
    <row r="4" spans="1:21">
      <c r="A4" s="9">
        <v>44107</v>
      </c>
      <c r="B4" s="10" t="s">
        <v>21</v>
      </c>
      <c r="C4" s="5">
        <v>3610.81</v>
      </c>
      <c r="D4" s="5">
        <v>2214.48</v>
      </c>
      <c r="E4" s="5">
        <v>18</v>
      </c>
      <c r="F4" s="5">
        <v>34</v>
      </c>
      <c r="G4" s="63"/>
      <c r="H4" s="5">
        <f>SUM(C4:F4,N4)</f>
        <v>6047.29</v>
      </c>
      <c r="I4" s="5">
        <v>2171.11</v>
      </c>
      <c r="J4" s="5">
        <v>3876.18</v>
      </c>
      <c r="K4" s="5">
        <v>0</v>
      </c>
      <c r="L4" s="5">
        <v>0</v>
      </c>
      <c r="M4" s="5">
        <v>166.77</v>
      </c>
      <c r="N4" s="5">
        <v>170</v>
      </c>
      <c r="O4" s="5">
        <v>2</v>
      </c>
      <c r="P4" s="5">
        <v>1831.37</v>
      </c>
      <c r="Q4" s="5">
        <v>400</v>
      </c>
      <c r="R4" s="3">
        <f>SUM(M4,N4,O4,P4)-I4</f>
        <v>-0.97000000000025466</v>
      </c>
      <c r="S4" s="3">
        <f t="shared" si="0"/>
        <v>0</v>
      </c>
      <c r="T4" s="63"/>
      <c r="U4" s="63"/>
    </row>
    <row r="5" spans="1:21">
      <c r="A5" s="9">
        <v>44108</v>
      </c>
      <c r="B5" s="10" t="s">
        <v>22</v>
      </c>
      <c r="C5" s="5">
        <v>3126.35</v>
      </c>
      <c r="D5" s="5">
        <v>1856</v>
      </c>
      <c r="E5" s="5">
        <v>0</v>
      </c>
      <c r="F5" s="5">
        <v>10</v>
      </c>
      <c r="G5" s="63"/>
      <c r="H5" s="5">
        <f>SUM(C5:F5,N5)</f>
        <v>4992.3500000000004</v>
      </c>
      <c r="I5" s="5">
        <v>1419.33</v>
      </c>
      <c r="J5" s="5">
        <v>3573.02</v>
      </c>
      <c r="K5" s="5">
        <v>0</v>
      </c>
      <c r="L5" s="5">
        <v>0</v>
      </c>
      <c r="M5" s="5">
        <v>0</v>
      </c>
      <c r="N5" s="5">
        <v>0</v>
      </c>
      <c r="O5" s="5">
        <v>10</v>
      </c>
      <c r="P5" s="5">
        <v>1408.63</v>
      </c>
      <c r="Q5" s="5">
        <v>400</v>
      </c>
      <c r="R5" s="2">
        <f>SUM(M5,N5,O5,P5)-I5</f>
        <v>-0.6999999999998181</v>
      </c>
      <c r="S5" s="3">
        <f t="shared" si="0"/>
        <v>0</v>
      </c>
      <c r="T5" s="63"/>
      <c r="U5" s="63"/>
    </row>
    <row r="6" spans="1:21" ht="37.5">
      <c r="A6" s="14" t="s">
        <v>27</v>
      </c>
      <c r="B6" s="16"/>
      <c r="C6" s="15">
        <f t="shared" ref="C6:Q6" si="1">SUM(C2:C5)</f>
        <v>16493.05</v>
      </c>
      <c r="D6" s="15">
        <f t="shared" si="1"/>
        <v>9064.8799999999992</v>
      </c>
      <c r="E6" s="15">
        <f t="shared" si="1"/>
        <v>44.5</v>
      </c>
      <c r="F6" s="15">
        <f t="shared" si="1"/>
        <v>194</v>
      </c>
      <c r="G6" s="63"/>
      <c r="H6" s="15">
        <f t="shared" si="1"/>
        <v>26346.43</v>
      </c>
      <c r="I6" s="15">
        <f t="shared" si="1"/>
        <v>7982.8099999999995</v>
      </c>
      <c r="J6" s="15">
        <f t="shared" si="1"/>
        <v>18159</v>
      </c>
      <c r="K6" s="15">
        <f t="shared" si="1"/>
        <v>148.66999999999999</v>
      </c>
      <c r="L6" s="15">
        <f t="shared" si="1"/>
        <v>299.06</v>
      </c>
      <c r="M6" s="15">
        <f t="shared" si="1"/>
        <v>279.63</v>
      </c>
      <c r="N6" s="15">
        <f t="shared" si="1"/>
        <v>550</v>
      </c>
      <c r="O6" s="15">
        <f t="shared" si="1"/>
        <v>59</v>
      </c>
      <c r="P6" s="15">
        <f t="shared" si="1"/>
        <v>7159.83</v>
      </c>
      <c r="Q6" s="15">
        <f t="shared" si="1"/>
        <v>1600</v>
      </c>
      <c r="R6" s="15">
        <f>SUM(M6,N6,O6,P6)-I6</f>
        <v>65.650000000000546</v>
      </c>
      <c r="S6" s="20">
        <f t="shared" si="0"/>
        <v>55.950000000004366</v>
      </c>
      <c r="T6" s="63"/>
      <c r="U6" s="63"/>
    </row>
    <row r="7" spans="1:21">
      <c r="A7" s="9">
        <v>44109</v>
      </c>
      <c r="B7" s="10" t="s">
        <v>23</v>
      </c>
      <c r="C7" s="5">
        <f>4181.94+210.45</f>
        <v>4392.3899999999994</v>
      </c>
      <c r="D7" s="5">
        <v>1709.5</v>
      </c>
      <c r="E7" s="5">
        <v>29.5</v>
      </c>
      <c r="F7" s="5">
        <v>37</v>
      </c>
      <c r="G7" s="63"/>
      <c r="H7" s="5">
        <f t="shared" ref="H7:H13" si="2">SUM(C7:F7,N7)</f>
        <v>6278.3899999999994</v>
      </c>
      <c r="I7" s="5">
        <v>1430.03</v>
      </c>
      <c r="J7" s="5">
        <f>4633.92</f>
        <v>4633.92</v>
      </c>
      <c r="K7" s="5">
        <v>214.44</v>
      </c>
      <c r="L7" s="5">
        <v>210.45</v>
      </c>
      <c r="M7" s="5">
        <f>128.65+92.82+1</f>
        <v>222.47</v>
      </c>
      <c r="N7" s="5">
        <v>110</v>
      </c>
      <c r="O7" s="5">
        <v>19</v>
      </c>
      <c r="P7" s="5">
        <v>1060.9100000000001</v>
      </c>
      <c r="Q7" s="5">
        <v>400</v>
      </c>
      <c r="R7" s="3">
        <f t="shared" ref="R7:R14" si="3">SUM(M7,N7,O7,P7)-I7</f>
        <v>-17.649999999999864</v>
      </c>
      <c r="S7" s="3">
        <f>(H7)-(I7+J7+K7)</f>
        <v>0</v>
      </c>
      <c r="T7" s="63"/>
      <c r="U7" s="63"/>
    </row>
    <row r="8" spans="1:21">
      <c r="A8" s="9">
        <v>44110</v>
      </c>
      <c r="B8" s="10" t="s">
        <v>24</v>
      </c>
      <c r="C8" s="5">
        <f>3404.24+129.74-15.99</f>
        <v>3517.99</v>
      </c>
      <c r="D8" s="5">
        <f>1690.32+15.99</f>
        <v>1706.31</v>
      </c>
      <c r="E8" s="5">
        <v>22</v>
      </c>
      <c r="F8" s="5">
        <v>24</v>
      </c>
      <c r="G8" s="63"/>
      <c r="H8" s="5">
        <f t="shared" si="2"/>
        <v>5310.2999999999993</v>
      </c>
      <c r="I8" s="5">
        <v>1636.63</v>
      </c>
      <c r="J8" s="5">
        <v>3326.78</v>
      </c>
      <c r="K8" s="5">
        <v>346.89</v>
      </c>
      <c r="L8" s="5">
        <v>129.74</v>
      </c>
      <c r="M8" s="5">
        <v>0</v>
      </c>
      <c r="N8" s="5">
        <v>40</v>
      </c>
      <c r="O8" s="5">
        <v>0</v>
      </c>
      <c r="P8" s="5">
        <v>1603.77</v>
      </c>
      <c r="Q8" s="5">
        <v>400</v>
      </c>
      <c r="R8" s="3">
        <f t="shared" si="3"/>
        <v>7.1399999999998727</v>
      </c>
      <c r="S8" s="3">
        <f t="shared" si="0"/>
        <v>0</v>
      </c>
      <c r="T8" s="63"/>
      <c r="U8" s="63"/>
    </row>
    <row r="9" spans="1:21">
      <c r="A9" s="9">
        <v>44111</v>
      </c>
      <c r="B9" s="10" t="s">
        <v>25</v>
      </c>
      <c r="C9" s="5">
        <v>3787.7</v>
      </c>
      <c r="D9" s="5">
        <v>1146.33</v>
      </c>
      <c r="E9" s="5">
        <v>6</v>
      </c>
      <c r="F9" s="5">
        <v>30</v>
      </c>
      <c r="G9" s="63"/>
      <c r="H9" s="5">
        <f t="shared" si="2"/>
        <v>5030.03</v>
      </c>
      <c r="I9" s="5">
        <v>1054.55</v>
      </c>
      <c r="J9" s="5">
        <v>3663.95</v>
      </c>
      <c r="K9" s="5">
        <v>311.52999999999997</v>
      </c>
      <c r="L9" s="5">
        <v>160.31</v>
      </c>
      <c r="M9" s="5">
        <v>0</v>
      </c>
      <c r="N9" s="5">
        <v>60</v>
      </c>
      <c r="O9" s="5">
        <v>15</v>
      </c>
      <c r="P9" s="5">
        <v>981.48</v>
      </c>
      <c r="Q9" s="5">
        <v>400</v>
      </c>
      <c r="R9" s="3">
        <f t="shared" si="3"/>
        <v>1.9300000000000637</v>
      </c>
      <c r="S9" s="3">
        <f t="shared" si="0"/>
        <v>0</v>
      </c>
      <c r="T9" s="63"/>
      <c r="U9" s="63"/>
    </row>
    <row r="10" spans="1:21">
      <c r="A10" s="9">
        <v>44112</v>
      </c>
      <c r="B10" s="10" t="s">
        <v>26</v>
      </c>
      <c r="C10" s="5">
        <f>3925.11+69.26</f>
        <v>3994.3700000000003</v>
      </c>
      <c r="D10" s="5">
        <v>1716.21</v>
      </c>
      <c r="E10" s="5">
        <v>11</v>
      </c>
      <c r="F10" s="5">
        <v>48</v>
      </c>
      <c r="G10" s="63"/>
      <c r="H10" s="5">
        <f t="shared" si="2"/>
        <v>5859.58</v>
      </c>
      <c r="I10" s="5">
        <v>1509.65</v>
      </c>
      <c r="J10" s="5">
        <v>4015.69</v>
      </c>
      <c r="K10" s="5">
        <v>334.24</v>
      </c>
      <c r="L10" s="5">
        <v>69.260000000000005</v>
      </c>
      <c r="M10" s="5">
        <v>0</v>
      </c>
      <c r="N10" s="5">
        <v>90</v>
      </c>
      <c r="O10" s="5">
        <v>21</v>
      </c>
      <c r="P10" s="5">
        <v>1398.44</v>
      </c>
      <c r="Q10" s="5">
        <v>400</v>
      </c>
      <c r="R10" s="3">
        <f t="shared" si="3"/>
        <v>-0.21000000000003638</v>
      </c>
      <c r="S10" s="3">
        <f t="shared" si="0"/>
        <v>0</v>
      </c>
      <c r="T10" s="63"/>
      <c r="U10" s="63"/>
    </row>
    <row r="11" spans="1:21">
      <c r="A11" s="9">
        <v>44113</v>
      </c>
      <c r="B11" s="10" t="s">
        <v>20</v>
      </c>
      <c r="C11" s="5">
        <f>4903.49+171.47</f>
        <v>5074.96</v>
      </c>
      <c r="D11" s="5">
        <v>2569.7600000000002</v>
      </c>
      <c r="E11" s="5">
        <v>48.5</v>
      </c>
      <c r="F11" s="5">
        <v>71</v>
      </c>
      <c r="G11" s="63"/>
      <c r="H11" s="5">
        <f t="shared" si="2"/>
        <v>7899.22</v>
      </c>
      <c r="I11" s="5">
        <v>2259.34</v>
      </c>
      <c r="J11" s="5">
        <v>5340.36</v>
      </c>
      <c r="K11" s="5">
        <v>299.55</v>
      </c>
      <c r="L11" s="5">
        <v>171.47</v>
      </c>
      <c r="M11" s="5">
        <v>156</v>
      </c>
      <c r="N11" s="5">
        <v>135</v>
      </c>
      <c r="O11" s="5">
        <v>13</v>
      </c>
      <c r="P11" s="5">
        <v>1947.81</v>
      </c>
      <c r="Q11" s="5">
        <v>400</v>
      </c>
      <c r="R11" s="3">
        <f t="shared" si="3"/>
        <v>-7.5300000000002001</v>
      </c>
      <c r="S11" s="3">
        <f t="shared" si="0"/>
        <v>-2.9999999999745341E-2</v>
      </c>
      <c r="T11" s="63"/>
      <c r="U11" s="63"/>
    </row>
    <row r="12" spans="1:21">
      <c r="A12" s="9">
        <v>44114</v>
      </c>
      <c r="B12" s="10" t="s">
        <v>21</v>
      </c>
      <c r="C12" s="5">
        <v>3853.38</v>
      </c>
      <c r="D12" s="5">
        <v>1948.99</v>
      </c>
      <c r="E12" s="5">
        <v>12</v>
      </c>
      <c r="F12" s="5">
        <v>19</v>
      </c>
      <c r="G12" s="63"/>
      <c r="H12" s="5">
        <f t="shared" si="2"/>
        <v>5853.37</v>
      </c>
      <c r="I12" s="5">
        <v>2009.83</v>
      </c>
      <c r="J12" s="5">
        <v>3843.54</v>
      </c>
      <c r="K12" s="5">
        <v>0</v>
      </c>
      <c r="L12" s="5">
        <v>0</v>
      </c>
      <c r="M12" s="5">
        <v>82.62</v>
      </c>
      <c r="N12" s="5">
        <v>20</v>
      </c>
      <c r="O12" s="5">
        <v>38</v>
      </c>
      <c r="P12" s="5">
        <v>1879.14</v>
      </c>
      <c r="Q12" s="5">
        <v>400</v>
      </c>
      <c r="R12" s="3">
        <f t="shared" si="3"/>
        <v>9.930000000000291</v>
      </c>
      <c r="S12" s="3">
        <f t="shared" si="0"/>
        <v>0</v>
      </c>
      <c r="T12" s="63"/>
      <c r="U12" s="63"/>
    </row>
    <row r="13" spans="1:21">
      <c r="A13" s="9">
        <v>44115</v>
      </c>
      <c r="B13" s="10" t="s">
        <v>22</v>
      </c>
      <c r="C13" s="5">
        <v>3794.69</v>
      </c>
      <c r="D13" s="5">
        <v>2428.5500000000002</v>
      </c>
      <c r="E13" s="5">
        <v>0</v>
      </c>
      <c r="F13" s="5">
        <v>25</v>
      </c>
      <c r="G13" s="63"/>
      <c r="H13" s="5">
        <f t="shared" si="2"/>
        <v>6288.24</v>
      </c>
      <c r="I13" s="5">
        <v>1908.59</v>
      </c>
      <c r="J13" s="5" t="s">
        <v>35</v>
      </c>
      <c r="K13" s="5">
        <v>40</v>
      </c>
      <c r="L13" s="5">
        <v>0</v>
      </c>
      <c r="M13" s="5">
        <v>0</v>
      </c>
      <c r="N13" s="5">
        <v>40</v>
      </c>
      <c r="O13" s="5">
        <v>37</v>
      </c>
      <c r="P13" s="5">
        <v>1837.97</v>
      </c>
      <c r="Q13" s="5">
        <v>400</v>
      </c>
      <c r="R13" s="3">
        <f t="shared" si="3"/>
        <v>6.3800000000001091</v>
      </c>
      <c r="S13" s="3">
        <v>0</v>
      </c>
      <c r="T13" s="63"/>
      <c r="U13" s="63"/>
    </row>
    <row r="14" spans="1:21" ht="37.5">
      <c r="A14" s="14" t="s">
        <v>27</v>
      </c>
      <c r="B14" s="16"/>
      <c r="C14" s="15">
        <f>SUM(C7:C13)</f>
        <v>28415.48</v>
      </c>
      <c r="D14" s="15">
        <f t="shared" ref="D14:Q14" si="4">SUM(D7:D13)</f>
        <v>13225.650000000001</v>
      </c>
      <c r="E14" s="15">
        <f t="shared" si="4"/>
        <v>129</v>
      </c>
      <c r="F14" s="15">
        <f t="shared" si="4"/>
        <v>254</v>
      </c>
      <c r="G14" s="63"/>
      <c r="H14" s="15">
        <f t="shared" si="4"/>
        <v>42519.13</v>
      </c>
      <c r="I14" s="15">
        <f t="shared" si="4"/>
        <v>11808.62</v>
      </c>
      <c r="J14" s="15">
        <f t="shared" si="4"/>
        <v>24824.240000000002</v>
      </c>
      <c r="K14" s="15">
        <f t="shared" si="4"/>
        <v>1546.6499999999999</v>
      </c>
      <c r="L14" s="15">
        <f t="shared" si="4"/>
        <v>741.23</v>
      </c>
      <c r="M14" s="15">
        <f t="shared" si="4"/>
        <v>461.09000000000003</v>
      </c>
      <c r="N14" s="15">
        <f t="shared" si="4"/>
        <v>495</v>
      </c>
      <c r="O14" s="15">
        <f t="shared" si="4"/>
        <v>143</v>
      </c>
      <c r="P14" s="15">
        <f t="shared" si="4"/>
        <v>10709.519999999999</v>
      </c>
      <c r="Q14" s="15">
        <f t="shared" si="4"/>
        <v>2800</v>
      </c>
      <c r="R14" s="20">
        <f t="shared" si="3"/>
        <v>-1.0000000002037268E-2</v>
      </c>
      <c r="S14" s="20">
        <f t="shared" si="0"/>
        <v>4339.6199999999953</v>
      </c>
      <c r="T14" s="63"/>
      <c r="U14" s="63"/>
    </row>
    <row r="15" spans="1:21">
      <c r="A15" s="9">
        <v>44116</v>
      </c>
      <c r="B15" s="10" t="s">
        <v>23</v>
      </c>
      <c r="C15" s="5">
        <f>4738.01+105.33</f>
        <v>4843.34</v>
      </c>
      <c r="D15" s="5">
        <v>1411.42</v>
      </c>
      <c r="E15" s="5">
        <v>4.5</v>
      </c>
      <c r="F15" s="5">
        <v>33</v>
      </c>
      <c r="G15" s="63"/>
      <c r="H15" s="5">
        <f>SUM(C15:F15,N15)</f>
        <v>6392.26</v>
      </c>
      <c r="I15" s="5">
        <v>1725.08</v>
      </c>
      <c r="J15" s="5">
        <v>4429.34</v>
      </c>
      <c r="K15" s="5">
        <v>237.84</v>
      </c>
      <c r="L15" s="5">
        <v>105.33</v>
      </c>
      <c r="M15" s="5">
        <v>94.22</v>
      </c>
      <c r="N15" s="5">
        <v>100</v>
      </c>
      <c r="O15" s="5">
        <v>123</v>
      </c>
      <c r="P15" s="5">
        <v>1409.24</v>
      </c>
      <c r="Q15" s="5">
        <v>400</v>
      </c>
      <c r="R15" s="1">
        <f t="shared" ref="R15:R36" si="5">SUM(M15,N15,O15,P15)-I15</f>
        <v>1.3800000000001091</v>
      </c>
      <c r="S15" s="3">
        <f t="shared" si="0"/>
        <v>0</v>
      </c>
      <c r="T15" s="63"/>
      <c r="U15" s="63"/>
    </row>
    <row r="16" spans="1:21">
      <c r="A16" s="9">
        <v>44117</v>
      </c>
      <c r="B16" s="10" t="s">
        <v>24</v>
      </c>
      <c r="C16" s="5">
        <f>3581.03+65.36</f>
        <v>3646.3900000000003</v>
      </c>
      <c r="D16" s="5">
        <v>1390.05</v>
      </c>
      <c r="E16" s="5">
        <v>32.5</v>
      </c>
      <c r="F16" s="5">
        <v>26</v>
      </c>
      <c r="G16" s="63"/>
      <c r="H16" s="5">
        <f>SUM(C16:F16,N16)</f>
        <v>5154.9400000000005</v>
      </c>
      <c r="I16" s="5">
        <v>1562.28</v>
      </c>
      <c r="J16" s="5">
        <v>3047.08</v>
      </c>
      <c r="K16" s="5">
        <v>545.58000000000004</v>
      </c>
      <c r="L16" s="5">
        <v>65.36</v>
      </c>
      <c r="M16" s="5">
        <v>5.5</v>
      </c>
      <c r="N16" s="5">
        <v>60</v>
      </c>
      <c r="O16" s="5">
        <v>15.2</v>
      </c>
      <c r="P16" s="5">
        <v>1479</v>
      </c>
      <c r="Q16" s="5">
        <v>300</v>
      </c>
      <c r="R16" s="1">
        <f t="shared" si="5"/>
        <v>-2.5799999999999272</v>
      </c>
      <c r="S16" s="3">
        <f t="shared" si="0"/>
        <v>0</v>
      </c>
      <c r="T16" s="63"/>
      <c r="U16" s="63"/>
    </row>
    <row r="17" spans="1:21">
      <c r="A17" s="9">
        <v>44118</v>
      </c>
      <c r="B17" s="10" t="s">
        <v>25</v>
      </c>
      <c r="C17" s="5">
        <v>4093.22</v>
      </c>
      <c r="D17" s="5">
        <f>1437.28+15</f>
        <v>1452.28</v>
      </c>
      <c r="E17" s="5">
        <v>12</v>
      </c>
      <c r="F17" s="5">
        <v>20</v>
      </c>
      <c r="G17" s="63"/>
      <c r="H17" s="5">
        <f>SUM(C17:F17,N17)</f>
        <v>5617.5</v>
      </c>
      <c r="I17" s="5">
        <v>1438.51</v>
      </c>
      <c r="J17" s="5">
        <v>4032.32</v>
      </c>
      <c r="K17" s="5">
        <v>146.66999999999999</v>
      </c>
      <c r="L17" s="5">
        <v>0</v>
      </c>
      <c r="M17" s="5">
        <v>15</v>
      </c>
      <c r="N17" s="5">
        <v>40</v>
      </c>
      <c r="O17" s="5">
        <v>0</v>
      </c>
      <c r="P17" s="5">
        <v>1385.6</v>
      </c>
      <c r="Q17" s="5">
        <v>400</v>
      </c>
      <c r="R17" s="3">
        <f t="shared" si="5"/>
        <v>2.0899999999999181</v>
      </c>
      <c r="S17" s="3">
        <f t="shared" si="0"/>
        <v>0</v>
      </c>
      <c r="T17" s="63"/>
      <c r="U17" s="63"/>
    </row>
    <row r="18" spans="1:21">
      <c r="A18" s="9">
        <v>44119</v>
      </c>
      <c r="B18" s="10" t="s">
        <v>26</v>
      </c>
      <c r="C18" s="5">
        <f>4875.65+192.24</f>
        <v>5067.8899999999994</v>
      </c>
      <c r="D18" s="5">
        <v>1711.32</v>
      </c>
      <c r="E18" s="5">
        <v>4</v>
      </c>
      <c r="F18" s="5">
        <v>37</v>
      </c>
      <c r="G18" s="64"/>
      <c r="H18" s="5">
        <f>SUM(C18:F18,N18)</f>
        <v>6870.2099999999991</v>
      </c>
      <c r="I18" s="5">
        <v>1731.76</v>
      </c>
      <c r="J18" s="5">
        <v>4662.83</v>
      </c>
      <c r="K18" s="5">
        <v>475.62</v>
      </c>
      <c r="L18" s="5">
        <v>192.24</v>
      </c>
      <c r="M18" s="5">
        <v>0</v>
      </c>
      <c r="N18" s="5">
        <v>50</v>
      </c>
      <c r="O18" s="5">
        <v>10</v>
      </c>
      <c r="P18" s="5">
        <v>1676.88</v>
      </c>
      <c r="Q18" s="5">
        <v>400</v>
      </c>
      <c r="R18" s="1">
        <f t="shared" si="5"/>
        <v>5.1200000000001182</v>
      </c>
      <c r="S18" s="3">
        <f t="shared" si="0"/>
        <v>0</v>
      </c>
      <c r="T18" s="64"/>
      <c r="U18" s="64"/>
    </row>
    <row r="19" spans="1:21">
      <c r="A19" s="9">
        <v>44120</v>
      </c>
      <c r="B19" s="10" t="s">
        <v>20</v>
      </c>
      <c r="C19" s="5">
        <v>4459.41</v>
      </c>
      <c r="D19" s="5">
        <v>2846.74</v>
      </c>
      <c r="E19" s="5">
        <v>10</v>
      </c>
      <c r="F19" s="5">
        <v>46</v>
      </c>
      <c r="G19" s="5">
        <v>90</v>
      </c>
      <c r="H19" s="5">
        <f>SUM(C19:G19,N19)</f>
        <v>7657.15</v>
      </c>
      <c r="I19" s="5">
        <v>1978.19</v>
      </c>
      <c r="J19" s="5">
        <v>5619.93</v>
      </c>
      <c r="K19" s="5">
        <v>59.03</v>
      </c>
      <c r="L19" s="5">
        <v>0</v>
      </c>
      <c r="M19" s="5">
        <v>122.38</v>
      </c>
      <c r="N19" s="5">
        <v>205</v>
      </c>
      <c r="O19" s="5">
        <v>5</v>
      </c>
      <c r="P19" s="5">
        <v>1651.27</v>
      </c>
      <c r="Q19" s="5">
        <v>400</v>
      </c>
      <c r="R19" s="3">
        <f t="shared" si="5"/>
        <v>5.4600000000000364</v>
      </c>
      <c r="S19" s="3">
        <f t="shared" si="0"/>
        <v>0</v>
      </c>
      <c r="T19" s="6">
        <f>SUM(G19-U19)</f>
        <v>90</v>
      </c>
      <c r="U19" s="6">
        <v>0</v>
      </c>
    </row>
    <row r="20" spans="1:21">
      <c r="A20" s="9">
        <v>44121</v>
      </c>
      <c r="B20" s="10" t="s">
        <v>21</v>
      </c>
      <c r="C20" s="5">
        <v>3185.38</v>
      </c>
      <c r="D20" s="5">
        <v>1979.21</v>
      </c>
      <c r="E20" s="5">
        <v>10</v>
      </c>
      <c r="F20" s="5">
        <v>27</v>
      </c>
      <c r="G20" s="5">
        <v>20</v>
      </c>
      <c r="H20" s="5">
        <f t="shared" ref="H20:H36" si="6">SUM(C20:G20,N20)</f>
        <v>5381.59</v>
      </c>
      <c r="I20" s="5">
        <v>1742</v>
      </c>
      <c r="J20" s="5">
        <v>3619.59</v>
      </c>
      <c r="K20" s="5">
        <v>0</v>
      </c>
      <c r="L20" s="5">
        <v>40.43</v>
      </c>
      <c r="M20" s="5">
        <v>116.35</v>
      </c>
      <c r="N20" s="5">
        <v>160</v>
      </c>
      <c r="O20" s="5">
        <v>17</v>
      </c>
      <c r="P20" s="5">
        <v>1451.89</v>
      </c>
      <c r="Q20" s="5">
        <v>400</v>
      </c>
      <c r="R20" s="1">
        <f t="shared" si="5"/>
        <v>3.2400000000002365</v>
      </c>
      <c r="S20" s="3">
        <f t="shared" si="0"/>
        <v>20</v>
      </c>
      <c r="T20" s="6">
        <f t="shared" ref="T20:T36" si="7">SUM(G20-U20)</f>
        <v>0</v>
      </c>
      <c r="U20" s="6">
        <v>20</v>
      </c>
    </row>
    <row r="21" spans="1:21">
      <c r="A21" s="9">
        <v>44122</v>
      </c>
      <c r="B21" s="10" t="s">
        <v>22</v>
      </c>
      <c r="C21" s="5">
        <v>3528.69</v>
      </c>
      <c r="D21" s="5">
        <v>1772.77</v>
      </c>
      <c r="E21" s="5">
        <v>0</v>
      </c>
      <c r="F21" s="5">
        <v>41</v>
      </c>
      <c r="G21" s="5">
        <v>5</v>
      </c>
      <c r="H21" s="5">
        <f t="shared" si="6"/>
        <v>5457.46</v>
      </c>
      <c r="I21" s="5">
        <v>1741.38</v>
      </c>
      <c r="J21" s="5">
        <v>3711.08</v>
      </c>
      <c r="K21" s="5">
        <v>0</v>
      </c>
      <c r="L21" s="5">
        <v>0</v>
      </c>
      <c r="M21" s="5">
        <v>0</v>
      </c>
      <c r="N21" s="5">
        <v>110</v>
      </c>
      <c r="O21" s="5">
        <v>85</v>
      </c>
      <c r="P21" s="5">
        <v>1526.21</v>
      </c>
      <c r="Q21" s="5">
        <v>400</v>
      </c>
      <c r="R21" s="3">
        <f t="shared" si="5"/>
        <v>-20.170000000000073</v>
      </c>
      <c r="S21" s="3">
        <f t="shared" si="0"/>
        <v>5</v>
      </c>
      <c r="T21" s="6">
        <f t="shared" si="7"/>
        <v>0</v>
      </c>
      <c r="U21" s="6">
        <v>5</v>
      </c>
    </row>
    <row r="22" spans="1:21" ht="37.5">
      <c r="A22" s="14" t="s">
        <v>27</v>
      </c>
      <c r="B22" s="16"/>
      <c r="C22" s="15">
        <f>SUM(C15:C21)</f>
        <v>28824.319999999996</v>
      </c>
      <c r="D22" s="15">
        <f t="shared" ref="D22:P22" si="8">SUM(D15:D21)</f>
        <v>12563.79</v>
      </c>
      <c r="E22" s="15">
        <f t="shared" si="8"/>
        <v>73</v>
      </c>
      <c r="F22" s="15">
        <f t="shared" si="8"/>
        <v>230</v>
      </c>
      <c r="G22" s="15">
        <f t="shared" si="8"/>
        <v>115</v>
      </c>
      <c r="H22" s="15">
        <f t="shared" si="8"/>
        <v>42531.109999999993</v>
      </c>
      <c r="I22" s="15">
        <f t="shared" si="8"/>
        <v>11919.2</v>
      </c>
      <c r="J22" s="15">
        <f t="shared" si="8"/>
        <v>29122.17</v>
      </c>
      <c r="K22" s="15">
        <f t="shared" si="8"/>
        <v>1464.74</v>
      </c>
      <c r="L22" s="15">
        <f t="shared" si="8"/>
        <v>403.36</v>
      </c>
      <c r="M22" s="15">
        <f t="shared" si="8"/>
        <v>353.45</v>
      </c>
      <c r="N22" s="15">
        <f t="shared" si="8"/>
        <v>725</v>
      </c>
      <c r="O22" s="15">
        <f t="shared" si="8"/>
        <v>255.2</v>
      </c>
      <c r="P22" s="15">
        <f t="shared" si="8"/>
        <v>10580.09</v>
      </c>
      <c r="Q22" s="15">
        <v>2800</v>
      </c>
      <c r="R22" s="21">
        <f t="shared" si="5"/>
        <v>-5.4600000000009459</v>
      </c>
      <c r="S22" s="20">
        <f t="shared" si="0"/>
        <v>25</v>
      </c>
      <c r="T22" s="21">
        <f>SUM(T19:T21)</f>
        <v>90</v>
      </c>
      <c r="U22" s="21">
        <f>SUM(U19:U21)</f>
        <v>25</v>
      </c>
    </row>
    <row r="23" spans="1:21">
      <c r="A23" s="9">
        <v>44123</v>
      </c>
      <c r="B23" s="10" t="s">
        <v>23</v>
      </c>
      <c r="C23" s="5">
        <v>5499.61</v>
      </c>
      <c r="D23" s="5">
        <v>1592.63</v>
      </c>
      <c r="E23" s="5">
        <v>13</v>
      </c>
      <c r="F23" s="5">
        <v>56</v>
      </c>
      <c r="G23" s="5">
        <v>16</v>
      </c>
      <c r="H23" s="5">
        <f t="shared" si="6"/>
        <v>7198.24</v>
      </c>
      <c r="I23" s="5">
        <v>2222.02</v>
      </c>
      <c r="J23" s="5">
        <v>4522.7</v>
      </c>
      <c r="K23" s="5">
        <v>437.52</v>
      </c>
      <c r="L23" s="5">
        <v>216.84</v>
      </c>
      <c r="M23" s="5">
        <v>116.51</v>
      </c>
      <c r="N23" s="5">
        <v>21</v>
      </c>
      <c r="O23" s="5">
        <v>56</v>
      </c>
      <c r="P23" s="5">
        <v>2061.35</v>
      </c>
      <c r="Q23" s="5">
        <v>400</v>
      </c>
      <c r="R23" s="1">
        <f>SUM(M23,N23,O23,P23)-I23</f>
        <v>32.839999999999691</v>
      </c>
      <c r="S23" s="3">
        <f t="shared" si="0"/>
        <v>16</v>
      </c>
      <c r="T23" s="6">
        <f t="shared" si="7"/>
        <v>0</v>
      </c>
      <c r="U23" s="6">
        <v>16</v>
      </c>
    </row>
    <row r="24" spans="1:21">
      <c r="A24" s="9">
        <v>44124</v>
      </c>
      <c r="B24" s="10" t="s">
        <v>24</v>
      </c>
      <c r="C24" s="5">
        <v>4057.93</v>
      </c>
      <c r="D24" s="5">
        <v>1733.73</v>
      </c>
      <c r="E24" s="5">
        <v>42.5</v>
      </c>
      <c r="F24" s="5">
        <v>46</v>
      </c>
      <c r="G24" s="5">
        <v>162.5</v>
      </c>
      <c r="H24" s="5">
        <f t="shared" si="6"/>
        <v>6077.66</v>
      </c>
      <c r="I24" s="5">
        <v>1592.78</v>
      </c>
      <c r="J24" s="5">
        <v>3996.81</v>
      </c>
      <c r="K24" s="5">
        <v>330.57</v>
      </c>
      <c r="L24" s="5">
        <v>174.4</v>
      </c>
      <c r="M24" s="5">
        <v>0</v>
      </c>
      <c r="N24" s="5">
        <v>35</v>
      </c>
      <c r="O24" s="5">
        <v>105</v>
      </c>
      <c r="P24" s="5">
        <v>1441.04</v>
      </c>
      <c r="Q24" s="5">
        <v>400</v>
      </c>
      <c r="R24" s="1">
        <f t="shared" si="5"/>
        <v>-11.740000000000009</v>
      </c>
      <c r="S24" s="3">
        <f t="shared" si="0"/>
        <v>157.5</v>
      </c>
      <c r="T24" s="6">
        <f t="shared" si="7"/>
        <v>5</v>
      </c>
      <c r="U24" s="6">
        <v>157.5</v>
      </c>
    </row>
    <row r="25" spans="1:21">
      <c r="A25" s="9">
        <v>44125</v>
      </c>
      <c r="B25" s="10" t="s">
        <v>25</v>
      </c>
      <c r="C25" s="5">
        <v>4250.82</v>
      </c>
      <c r="D25" s="5">
        <v>1566.61</v>
      </c>
      <c r="E25" s="5">
        <v>18</v>
      </c>
      <c r="F25" s="5">
        <v>60</v>
      </c>
      <c r="G25" s="5">
        <v>30</v>
      </c>
      <c r="H25" s="5">
        <f t="shared" si="6"/>
        <v>5950.4299999999994</v>
      </c>
      <c r="I25" s="5">
        <v>1404.61</v>
      </c>
      <c r="J25" s="5">
        <v>4396.83</v>
      </c>
      <c r="K25" s="5">
        <v>118.99</v>
      </c>
      <c r="L25" s="5">
        <v>90.46</v>
      </c>
      <c r="M25" s="5">
        <v>99.39</v>
      </c>
      <c r="N25" s="5">
        <v>25</v>
      </c>
      <c r="O25" s="5">
        <v>37</v>
      </c>
      <c r="P25" s="5">
        <v>1190</v>
      </c>
      <c r="Q25" s="5">
        <v>400</v>
      </c>
      <c r="R25" s="1">
        <f t="shared" si="5"/>
        <v>-53.220000000000027</v>
      </c>
      <c r="S25" s="3">
        <f t="shared" si="0"/>
        <v>30</v>
      </c>
      <c r="T25" s="6">
        <f t="shared" si="7"/>
        <v>0</v>
      </c>
      <c r="U25" s="6">
        <v>30</v>
      </c>
    </row>
    <row r="26" spans="1:21">
      <c r="A26" s="9">
        <v>44126</v>
      </c>
      <c r="B26" s="10" t="s">
        <v>26</v>
      </c>
      <c r="C26" s="5">
        <v>3332.48</v>
      </c>
      <c r="D26" s="5">
        <v>1660.91</v>
      </c>
      <c r="E26" s="5">
        <v>7.5</v>
      </c>
      <c r="F26" s="5">
        <v>43</v>
      </c>
      <c r="G26" s="5">
        <v>10</v>
      </c>
      <c r="H26" s="5">
        <f t="shared" si="6"/>
        <v>5053.8900000000003</v>
      </c>
      <c r="I26" s="5">
        <v>1852.25</v>
      </c>
      <c r="J26" s="5">
        <v>3012.38</v>
      </c>
      <c r="K26" s="5">
        <v>179.26</v>
      </c>
      <c r="L26" s="5">
        <v>119.13</v>
      </c>
      <c r="M26" s="5">
        <v>0</v>
      </c>
      <c r="N26" s="5">
        <v>0</v>
      </c>
      <c r="O26" s="5">
        <v>50</v>
      </c>
      <c r="P26" s="5">
        <v>1804.76</v>
      </c>
      <c r="Q26" s="5">
        <v>400</v>
      </c>
      <c r="R26" s="1">
        <f t="shared" si="5"/>
        <v>2.5099999999999909</v>
      </c>
      <c r="S26" s="3">
        <f t="shared" si="0"/>
        <v>10</v>
      </c>
      <c r="T26" s="6">
        <f t="shared" si="7"/>
        <v>0</v>
      </c>
      <c r="U26" s="6">
        <v>10</v>
      </c>
    </row>
    <row r="27" spans="1:21">
      <c r="A27" s="9">
        <v>44127</v>
      </c>
      <c r="B27" s="10" t="s">
        <v>20</v>
      </c>
      <c r="C27" s="5">
        <v>3857.83</v>
      </c>
      <c r="D27" s="5">
        <v>2353.84</v>
      </c>
      <c r="E27" s="5">
        <v>42</v>
      </c>
      <c r="F27" s="5">
        <v>54</v>
      </c>
      <c r="G27" s="5">
        <v>15</v>
      </c>
      <c r="H27" s="5">
        <f t="shared" si="6"/>
        <v>6367.67</v>
      </c>
      <c r="I27" s="5">
        <v>2097.6799999999998</v>
      </c>
      <c r="J27" s="5">
        <v>4254.99</v>
      </c>
      <c r="K27" s="5">
        <v>0</v>
      </c>
      <c r="L27" s="5">
        <v>0</v>
      </c>
      <c r="M27" s="5">
        <v>48.63</v>
      </c>
      <c r="N27" s="5">
        <v>45</v>
      </c>
      <c r="O27" s="5">
        <v>33</v>
      </c>
      <c r="P27" s="5">
        <v>1966.77</v>
      </c>
      <c r="Q27" s="5">
        <v>400</v>
      </c>
      <c r="R27" s="1">
        <f t="shared" si="5"/>
        <v>-4.2799999999997453</v>
      </c>
      <c r="S27" s="3">
        <f t="shared" si="0"/>
        <v>15</v>
      </c>
      <c r="T27" s="6">
        <f t="shared" si="7"/>
        <v>0</v>
      </c>
      <c r="U27" s="6">
        <v>15</v>
      </c>
    </row>
    <row r="28" spans="1:21">
      <c r="A28" s="9">
        <v>44128</v>
      </c>
      <c r="B28" s="10" t="s">
        <v>21</v>
      </c>
      <c r="C28" s="5">
        <v>3398.72</v>
      </c>
      <c r="D28" s="5">
        <v>2148.35</v>
      </c>
      <c r="E28" s="5">
        <v>22</v>
      </c>
      <c r="F28" s="5">
        <v>38</v>
      </c>
      <c r="G28" s="5">
        <v>10</v>
      </c>
      <c r="H28" s="5">
        <f t="shared" si="6"/>
        <v>5727.07</v>
      </c>
      <c r="I28" s="5">
        <v>2112.8000000000002</v>
      </c>
      <c r="J28" s="5">
        <v>3604.27</v>
      </c>
      <c r="K28" s="5">
        <v>0</v>
      </c>
      <c r="L28" s="5">
        <v>0</v>
      </c>
      <c r="M28" s="5">
        <v>87.92</v>
      </c>
      <c r="N28" s="5">
        <v>110</v>
      </c>
      <c r="O28" s="5">
        <v>9</v>
      </c>
      <c r="P28" s="5">
        <v>1908.18</v>
      </c>
      <c r="Q28" s="5">
        <v>400</v>
      </c>
      <c r="R28" s="1">
        <f t="shared" si="5"/>
        <v>2.2999999999997272</v>
      </c>
      <c r="S28" s="3">
        <f t="shared" si="0"/>
        <v>10</v>
      </c>
      <c r="T28" s="6">
        <f t="shared" si="7"/>
        <v>0</v>
      </c>
      <c r="U28" s="6">
        <v>10</v>
      </c>
    </row>
    <row r="29" spans="1:21">
      <c r="A29" s="9">
        <v>44129</v>
      </c>
      <c r="B29" s="10" t="s">
        <v>22</v>
      </c>
      <c r="C29" s="5">
        <v>2624.49</v>
      </c>
      <c r="D29" s="5">
        <v>1581.53</v>
      </c>
      <c r="E29" s="5">
        <v>0</v>
      </c>
      <c r="F29" s="5">
        <v>49</v>
      </c>
      <c r="G29" s="5">
        <v>200</v>
      </c>
      <c r="H29" s="5">
        <f t="shared" si="6"/>
        <v>4554.0199999999995</v>
      </c>
      <c r="I29" s="5">
        <v>1589.74</v>
      </c>
      <c r="J29" s="5">
        <v>2764.28</v>
      </c>
      <c r="K29" s="5">
        <v>0</v>
      </c>
      <c r="L29" s="5">
        <v>0</v>
      </c>
      <c r="M29" s="5">
        <v>13.99</v>
      </c>
      <c r="N29" s="5">
        <v>99</v>
      </c>
      <c r="O29" s="5">
        <v>30</v>
      </c>
      <c r="P29" s="5">
        <v>1448.21</v>
      </c>
      <c r="Q29" s="5">
        <v>400</v>
      </c>
      <c r="R29" s="1">
        <f t="shared" si="5"/>
        <v>1.4600000000000364</v>
      </c>
      <c r="S29" s="3">
        <f t="shared" si="0"/>
        <v>199.99999999999909</v>
      </c>
      <c r="T29" s="6">
        <f t="shared" si="7"/>
        <v>0</v>
      </c>
      <c r="U29" s="6">
        <v>200</v>
      </c>
    </row>
    <row r="30" spans="1:21" ht="37.5">
      <c r="A30" s="14" t="s">
        <v>27</v>
      </c>
      <c r="B30" s="16"/>
      <c r="C30" s="15">
        <f>SUM(C23:C29)</f>
        <v>27021.879999999997</v>
      </c>
      <c r="D30" s="15">
        <f t="shared" ref="D30:Q30" si="9">SUM(D23:D29)</f>
        <v>12637.600000000002</v>
      </c>
      <c r="E30" s="15">
        <f t="shared" si="9"/>
        <v>145</v>
      </c>
      <c r="F30" s="15">
        <f t="shared" si="9"/>
        <v>346</v>
      </c>
      <c r="G30" s="15">
        <f t="shared" si="9"/>
        <v>443.5</v>
      </c>
      <c r="H30" s="15">
        <f t="shared" si="9"/>
        <v>40928.979999999996</v>
      </c>
      <c r="I30" s="15">
        <f t="shared" si="9"/>
        <v>12871.88</v>
      </c>
      <c r="J30" s="15">
        <f t="shared" si="9"/>
        <v>26552.26</v>
      </c>
      <c r="K30" s="15">
        <f t="shared" si="9"/>
        <v>1066.3399999999999</v>
      </c>
      <c r="L30" s="15">
        <f t="shared" si="9"/>
        <v>600.82999999999993</v>
      </c>
      <c r="M30" s="15">
        <f t="shared" si="9"/>
        <v>366.44000000000005</v>
      </c>
      <c r="N30" s="15">
        <f t="shared" si="9"/>
        <v>335</v>
      </c>
      <c r="O30" s="15">
        <f t="shared" si="9"/>
        <v>320</v>
      </c>
      <c r="P30" s="15">
        <f t="shared" si="9"/>
        <v>11820.310000000001</v>
      </c>
      <c r="Q30" s="15">
        <f t="shared" si="9"/>
        <v>2800</v>
      </c>
      <c r="R30" s="21">
        <f t="shared" si="5"/>
        <v>-30.129999999997381</v>
      </c>
      <c r="S30" s="20">
        <f t="shared" si="0"/>
        <v>438.5</v>
      </c>
      <c r="T30" s="20">
        <f>SUM(T23:T29)</f>
        <v>5</v>
      </c>
      <c r="U30" s="20">
        <f>SUM(U23:U29)</f>
        <v>438.5</v>
      </c>
    </row>
    <row r="31" spans="1:21">
      <c r="A31" s="9">
        <v>44130</v>
      </c>
      <c r="B31" s="10" t="s">
        <v>23</v>
      </c>
      <c r="C31" s="5">
        <v>3215.44</v>
      </c>
      <c r="D31" s="5">
        <v>1379.94</v>
      </c>
      <c r="E31" s="5">
        <v>2.5</v>
      </c>
      <c r="F31" s="5">
        <v>8</v>
      </c>
      <c r="G31" s="5">
        <v>16</v>
      </c>
      <c r="H31" s="5">
        <f t="shared" si="6"/>
        <v>4631.88</v>
      </c>
      <c r="I31" s="5">
        <v>1422.9</v>
      </c>
      <c r="J31" s="5">
        <v>3192.98</v>
      </c>
      <c r="K31" s="5">
        <v>0</v>
      </c>
      <c r="L31" s="5">
        <v>126.76</v>
      </c>
      <c r="M31" s="5">
        <v>114.66</v>
      </c>
      <c r="N31" s="6">
        <v>10</v>
      </c>
      <c r="O31" s="6">
        <v>48</v>
      </c>
      <c r="P31" s="5">
        <v>1249.79</v>
      </c>
      <c r="Q31" s="5">
        <v>400</v>
      </c>
      <c r="R31" s="1">
        <f t="shared" si="5"/>
        <v>-0.45000000000004547</v>
      </c>
      <c r="S31" s="3">
        <f t="shared" si="0"/>
        <v>16</v>
      </c>
      <c r="T31" s="6">
        <f t="shared" si="7"/>
        <v>0</v>
      </c>
      <c r="U31" s="6">
        <v>16</v>
      </c>
    </row>
    <row r="32" spans="1:21">
      <c r="A32" s="9">
        <v>44131</v>
      </c>
      <c r="B32" s="10" t="s">
        <v>24</v>
      </c>
      <c r="C32" s="5">
        <v>3357.89</v>
      </c>
      <c r="D32" s="5">
        <v>1431.89</v>
      </c>
      <c r="E32" s="5">
        <v>37.5</v>
      </c>
      <c r="F32" s="5">
        <v>42</v>
      </c>
      <c r="G32" s="5">
        <v>0</v>
      </c>
      <c r="H32" s="5">
        <f t="shared" si="6"/>
        <v>4934.28</v>
      </c>
      <c r="I32" s="5">
        <v>1620.35</v>
      </c>
      <c r="J32" s="5">
        <v>3313.93</v>
      </c>
      <c r="K32" s="5">
        <v>0</v>
      </c>
      <c r="L32" s="5">
        <v>0</v>
      </c>
      <c r="M32" s="5">
        <v>10</v>
      </c>
      <c r="N32" s="6">
        <v>65</v>
      </c>
      <c r="O32" s="6">
        <v>15</v>
      </c>
      <c r="P32" s="5">
        <v>1533.47</v>
      </c>
      <c r="Q32" s="5">
        <v>400</v>
      </c>
      <c r="R32" s="1">
        <f t="shared" si="5"/>
        <v>3.1200000000001182</v>
      </c>
      <c r="S32" s="3">
        <f t="shared" si="0"/>
        <v>0</v>
      </c>
      <c r="T32" s="6">
        <f t="shared" si="7"/>
        <v>0</v>
      </c>
      <c r="U32" s="6">
        <v>0</v>
      </c>
    </row>
    <row r="33" spans="1:21">
      <c r="A33" s="9">
        <v>44132</v>
      </c>
      <c r="B33" s="10" t="s">
        <v>25</v>
      </c>
      <c r="C33" s="5">
        <v>3291.78</v>
      </c>
      <c r="D33" s="5">
        <v>1175.3399999999999</v>
      </c>
      <c r="E33" s="5">
        <v>12</v>
      </c>
      <c r="F33" s="5">
        <v>35</v>
      </c>
      <c r="G33" s="5">
        <v>50</v>
      </c>
      <c r="H33" s="5">
        <f t="shared" si="6"/>
        <v>4594.12</v>
      </c>
      <c r="I33" s="5">
        <v>1341.07</v>
      </c>
      <c r="J33" s="5">
        <v>3203.05</v>
      </c>
      <c r="K33" s="5">
        <v>0</v>
      </c>
      <c r="L33" s="5">
        <v>6.49</v>
      </c>
      <c r="M33" s="5">
        <v>7.99</v>
      </c>
      <c r="N33" s="6">
        <v>30</v>
      </c>
      <c r="O33" s="6">
        <v>40</v>
      </c>
      <c r="P33" s="5">
        <v>1260.44</v>
      </c>
      <c r="Q33" s="5">
        <v>400</v>
      </c>
      <c r="R33" s="1">
        <f t="shared" si="5"/>
        <v>-2.6399999999998727</v>
      </c>
      <c r="S33" s="3">
        <f t="shared" si="0"/>
        <v>50</v>
      </c>
      <c r="T33" s="6">
        <f t="shared" si="7"/>
        <v>0</v>
      </c>
      <c r="U33" s="6">
        <v>50</v>
      </c>
    </row>
    <row r="34" spans="1:21">
      <c r="A34" s="9">
        <v>44133</v>
      </c>
      <c r="B34" s="10" t="s">
        <v>26</v>
      </c>
      <c r="C34" s="5">
        <v>3787.26</v>
      </c>
      <c r="D34" s="5">
        <v>1821.87</v>
      </c>
      <c r="E34" s="5">
        <v>9</v>
      </c>
      <c r="F34" s="5">
        <v>20</v>
      </c>
      <c r="G34" s="5">
        <v>0</v>
      </c>
      <c r="H34" s="5">
        <f t="shared" si="6"/>
        <v>5698.13</v>
      </c>
      <c r="I34" s="5">
        <v>1583.18</v>
      </c>
      <c r="J34" s="5">
        <v>4114.95</v>
      </c>
      <c r="K34" s="5">
        <v>0</v>
      </c>
      <c r="L34" s="5">
        <v>73</v>
      </c>
      <c r="M34" s="5">
        <v>176.88</v>
      </c>
      <c r="N34" s="6">
        <v>60</v>
      </c>
      <c r="O34" s="6">
        <v>20</v>
      </c>
      <c r="P34" s="5">
        <v>1328.22</v>
      </c>
      <c r="Q34" s="5">
        <v>400</v>
      </c>
      <c r="R34" s="1">
        <f t="shared" si="5"/>
        <v>1.9199999999998454</v>
      </c>
      <c r="S34" s="3">
        <f t="shared" si="0"/>
        <v>0</v>
      </c>
      <c r="T34" s="6">
        <f t="shared" si="7"/>
        <v>0</v>
      </c>
      <c r="U34" s="6">
        <v>0</v>
      </c>
    </row>
    <row r="35" spans="1:21">
      <c r="A35" s="9">
        <v>44134</v>
      </c>
      <c r="B35" s="10" t="s">
        <v>20</v>
      </c>
      <c r="C35" s="5">
        <v>3469.01</v>
      </c>
      <c r="D35" s="5">
        <v>2409.9899999999998</v>
      </c>
      <c r="E35" s="5">
        <v>20.5</v>
      </c>
      <c r="F35" s="5">
        <v>38</v>
      </c>
      <c r="G35" s="5">
        <v>8</v>
      </c>
      <c r="H35" s="5">
        <f t="shared" si="6"/>
        <v>6235.5</v>
      </c>
      <c r="I35" s="5">
        <v>1598.88</v>
      </c>
      <c r="J35" s="5">
        <v>4628.62</v>
      </c>
      <c r="K35" s="5">
        <v>0</v>
      </c>
      <c r="L35" s="5">
        <v>0</v>
      </c>
      <c r="M35" s="5">
        <v>0</v>
      </c>
      <c r="N35" s="6">
        <v>290</v>
      </c>
      <c r="O35" s="6">
        <v>20</v>
      </c>
      <c r="P35" s="5">
        <v>1290.01</v>
      </c>
      <c r="Q35" s="5">
        <v>400</v>
      </c>
      <c r="R35" s="1">
        <f t="shared" si="5"/>
        <v>1.1299999999998818</v>
      </c>
      <c r="S35" s="3">
        <f t="shared" si="0"/>
        <v>8</v>
      </c>
      <c r="T35" s="6">
        <f t="shared" si="7"/>
        <v>0</v>
      </c>
      <c r="U35" s="6">
        <v>8</v>
      </c>
    </row>
    <row r="36" spans="1:21">
      <c r="A36" s="9">
        <v>44135</v>
      </c>
      <c r="B36" s="10" t="s">
        <v>21</v>
      </c>
      <c r="C36" s="5">
        <v>2843.53</v>
      </c>
      <c r="D36" s="5">
        <v>2304.3200000000002</v>
      </c>
      <c r="E36" s="5">
        <v>42</v>
      </c>
      <c r="F36" s="5">
        <v>35</v>
      </c>
      <c r="G36" s="5">
        <v>45</v>
      </c>
      <c r="H36" s="5">
        <f t="shared" si="6"/>
        <v>5339.85</v>
      </c>
      <c r="I36" s="5">
        <v>1491.35</v>
      </c>
      <c r="J36" s="5">
        <v>3793.51</v>
      </c>
      <c r="K36" s="5">
        <v>0</v>
      </c>
      <c r="L36" s="5">
        <v>0</v>
      </c>
      <c r="M36" s="5">
        <v>73.42</v>
      </c>
      <c r="N36" s="6">
        <v>70</v>
      </c>
      <c r="O36" s="6">
        <v>9</v>
      </c>
      <c r="P36" s="5">
        <v>1344.71</v>
      </c>
      <c r="Q36" s="5">
        <v>400</v>
      </c>
      <c r="R36" s="1">
        <f t="shared" si="5"/>
        <v>5.7800000000002001</v>
      </c>
      <c r="S36" s="3">
        <f t="shared" si="0"/>
        <v>54.989999999999782</v>
      </c>
      <c r="T36" s="6">
        <f t="shared" si="7"/>
        <v>0</v>
      </c>
      <c r="U36" s="6">
        <v>45</v>
      </c>
    </row>
    <row r="37" spans="1:21" ht="37.5">
      <c r="A37" s="14" t="s">
        <v>27</v>
      </c>
      <c r="B37" s="16"/>
      <c r="C37" s="15">
        <f>SUM(C31:C36)</f>
        <v>19964.91</v>
      </c>
      <c r="D37" s="15">
        <f t="shared" ref="D37:U37" si="10">SUM(D31:D36)</f>
        <v>10523.349999999999</v>
      </c>
      <c r="E37" s="15">
        <f t="shared" si="10"/>
        <v>123.5</v>
      </c>
      <c r="F37" s="15">
        <f t="shared" si="10"/>
        <v>178</v>
      </c>
      <c r="G37" s="15">
        <f t="shared" si="10"/>
        <v>119</v>
      </c>
      <c r="H37" s="15">
        <f t="shared" si="10"/>
        <v>31433.760000000002</v>
      </c>
      <c r="I37" s="15">
        <f t="shared" si="10"/>
        <v>9057.73</v>
      </c>
      <c r="J37" s="15">
        <f t="shared" si="10"/>
        <v>22247.040000000001</v>
      </c>
      <c r="K37" s="15">
        <f t="shared" si="10"/>
        <v>0</v>
      </c>
      <c r="L37" s="15">
        <f t="shared" si="10"/>
        <v>206.25</v>
      </c>
      <c r="M37" s="15">
        <f t="shared" si="10"/>
        <v>382.95</v>
      </c>
      <c r="N37" s="15">
        <f t="shared" si="10"/>
        <v>525</v>
      </c>
      <c r="O37" s="15">
        <f t="shared" si="10"/>
        <v>152</v>
      </c>
      <c r="P37" s="15">
        <f t="shared" si="10"/>
        <v>8006.64</v>
      </c>
      <c r="Q37" s="15">
        <f t="shared" si="10"/>
        <v>2400</v>
      </c>
      <c r="R37" s="15">
        <f t="shared" si="10"/>
        <v>8.8600000000001273</v>
      </c>
      <c r="S37" s="20">
        <f t="shared" si="0"/>
        <v>128.9900000000016</v>
      </c>
      <c r="T37" s="20">
        <f t="shared" si="10"/>
        <v>0</v>
      </c>
      <c r="U37" s="20">
        <f t="shared" si="10"/>
        <v>119</v>
      </c>
    </row>
    <row r="38" spans="1:21">
      <c r="A38" s="24" t="s">
        <v>17</v>
      </c>
      <c r="B38" s="25"/>
      <c r="C38" s="24">
        <f>SUM(C37,C30,C22,C14,C6)</f>
        <v>120719.63999999998</v>
      </c>
      <c r="D38" s="24">
        <f t="shared" ref="D38:U38" si="11">SUM(D37,D30,D22,D14,D6)</f>
        <v>58015.270000000004</v>
      </c>
      <c r="E38" s="24">
        <f t="shared" si="11"/>
        <v>515</v>
      </c>
      <c r="F38" s="24">
        <f t="shared" si="11"/>
        <v>1202</v>
      </c>
      <c r="G38" s="24">
        <f t="shared" si="11"/>
        <v>677.5</v>
      </c>
      <c r="H38" s="24">
        <f t="shared" si="11"/>
        <v>183759.40999999997</v>
      </c>
      <c r="I38" s="24">
        <f t="shared" si="11"/>
        <v>53640.24</v>
      </c>
      <c r="J38" s="24">
        <f t="shared" si="11"/>
        <v>120904.71</v>
      </c>
      <c r="K38" s="24">
        <f t="shared" si="11"/>
        <v>4226.3999999999996</v>
      </c>
      <c r="L38" s="24">
        <f t="shared" si="11"/>
        <v>2250.73</v>
      </c>
      <c r="M38" s="24">
        <f t="shared" si="11"/>
        <v>1843.5600000000004</v>
      </c>
      <c r="N38" s="24">
        <f t="shared" si="11"/>
        <v>2630</v>
      </c>
      <c r="O38" s="24">
        <f t="shared" si="11"/>
        <v>929.2</v>
      </c>
      <c r="P38" s="24">
        <f t="shared" si="11"/>
        <v>48276.39</v>
      </c>
      <c r="Q38" s="24">
        <f t="shared" si="11"/>
        <v>12400</v>
      </c>
      <c r="R38" s="24">
        <f t="shared" si="11"/>
        <v>38.910000000000309</v>
      </c>
      <c r="S38" s="24">
        <f t="shared" si="11"/>
        <v>4988.0600000000013</v>
      </c>
      <c r="T38" s="24">
        <f t="shared" si="11"/>
        <v>95</v>
      </c>
      <c r="U38" s="24">
        <f t="shared" si="11"/>
        <v>582.5</v>
      </c>
    </row>
    <row r="42" spans="1:21">
      <c r="I42" s="18" t="s">
        <v>31</v>
      </c>
      <c r="J42" s="18" t="s">
        <v>32</v>
      </c>
      <c r="K42" s="18" t="s">
        <v>33</v>
      </c>
      <c r="L42" s="18" t="s">
        <v>32</v>
      </c>
    </row>
    <row r="43" spans="1:21">
      <c r="I43" s="19" t="s">
        <v>29</v>
      </c>
      <c r="J43" s="18">
        <v>2023.9</v>
      </c>
      <c r="K43" s="18">
        <v>34.049999999999997</v>
      </c>
      <c r="L43" s="18">
        <f>SUM(J43-K43)</f>
        <v>1989.8500000000001</v>
      </c>
    </row>
    <row r="44" spans="1:21">
      <c r="I44" s="19" t="s">
        <v>30</v>
      </c>
      <c r="J44" s="18">
        <v>2202.5</v>
      </c>
      <c r="K44" s="18">
        <v>37.08</v>
      </c>
      <c r="L44" s="18">
        <f>SUM(J44-K44)</f>
        <v>2165.42</v>
      </c>
    </row>
    <row r="45" spans="1:21">
      <c r="I45" s="18"/>
      <c r="J45" s="18"/>
      <c r="K45" s="18"/>
      <c r="L45" s="18"/>
    </row>
    <row r="46" spans="1:21">
      <c r="I46" s="18"/>
      <c r="J46" s="18">
        <f>SUM(J43:J45)</f>
        <v>4226.3999999999996</v>
      </c>
      <c r="K46" s="18">
        <f>SUM(K43:K45)</f>
        <v>71.13</v>
      </c>
      <c r="L46" s="18">
        <f>SUM(L43:L44)</f>
        <v>4155.2700000000004</v>
      </c>
    </row>
  </sheetData>
  <sheetProtection password="CCFB" sheet="1" objects="1" scenarios="1"/>
  <mergeCells count="3">
    <mergeCell ref="G2:G18"/>
    <mergeCell ref="T2:T18"/>
    <mergeCell ref="U2:U18"/>
  </mergeCells>
  <conditionalFormatting sqref="R15:S21 R23:S29 R7:S13 R2:S5 R24:R36 R6 R18:R22 R11:R14 T22:U22 T30:U30 S3:S37 R31:S36">
    <cfRule type="cellIs" dxfId="370" priority="1" operator="lessThan">
      <formula>0</formula>
    </cfRule>
    <cfRule type="cellIs" dxfId="369" priority="2" operator="greaterThan">
      <formula>0</formula>
    </cfRule>
  </conditionalFormatting>
  <pageMargins left="0.7" right="0.7" top="0.75" bottom="0.75" header="0.3" footer="0.3"/>
  <pageSetup paperSize="256" orientation="portrait" horizontalDpi="0" verticalDpi="0" r:id="rId1"/>
  <ignoredErrors>
    <ignoredError sqref="H19 T22 T30 S37" formula="1"/>
    <ignoredError sqref="Q30" formulaRange="1"/>
  </ignoredErrors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>
  <dimension ref="A1:AF59"/>
  <sheetViews>
    <sheetView zoomScale="60" zoomScaleNormal="60" workbookViewId="0">
      <pane xSplit="13" ySplit="17" topLeftCell="N39" activePane="bottomRight" state="frozen"/>
      <selection pane="topRight" activeCell="N1" sqref="N1"/>
      <selection pane="bottomLeft" activeCell="A18" sqref="A18"/>
      <selection pane="bottomRight" activeCell="L43" sqref="L43:R43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0" width="13.42578125" customWidth="1"/>
    <col min="11" max="12" width="14.7109375" customWidth="1"/>
    <col min="13" max="14" width="14" customWidth="1"/>
    <col min="15" max="15" width="15.7109375" customWidth="1"/>
    <col min="16" max="16" width="16.42578125" customWidth="1"/>
    <col min="17" max="19" width="15.5703125" customWidth="1"/>
    <col min="20" max="20" width="13.85546875" customWidth="1"/>
    <col min="21" max="21" width="13.5703125" customWidth="1"/>
    <col min="22" max="22" width="14.28515625" customWidth="1"/>
    <col min="23" max="23" width="13" customWidth="1"/>
    <col min="24" max="24" width="14.85546875" customWidth="1"/>
    <col min="25" max="25" width="15.85546875" customWidth="1"/>
    <col min="26" max="28" width="16.5703125" customWidth="1"/>
    <col min="29" max="29" width="14" customWidth="1"/>
    <col min="30" max="30" width="13" customWidth="1"/>
    <col min="31" max="31" width="14.85546875" customWidth="1"/>
    <col min="32" max="32" width="15.5703125" customWidth="1"/>
  </cols>
  <sheetData>
    <row r="1" spans="1:32" ht="64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43</v>
      </c>
      <c r="L1" s="8" t="s">
        <v>44</v>
      </c>
      <c r="M1" s="8" t="s">
        <v>42</v>
      </c>
      <c r="N1" s="8" t="s">
        <v>108</v>
      </c>
      <c r="O1" s="8" t="s">
        <v>96</v>
      </c>
      <c r="P1" s="8" t="s">
        <v>109</v>
      </c>
      <c r="Q1" s="8" t="s">
        <v>110</v>
      </c>
      <c r="R1" s="8" t="s">
        <v>111</v>
      </c>
      <c r="S1" s="8" t="s">
        <v>107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34</v>
      </c>
      <c r="AA1" s="23" t="s">
        <v>94</v>
      </c>
      <c r="AB1" s="23" t="s">
        <v>95</v>
      </c>
      <c r="AC1" s="23" t="s">
        <v>39</v>
      </c>
      <c r="AD1" s="23" t="s">
        <v>40</v>
      </c>
      <c r="AE1" s="23" t="s">
        <v>78</v>
      </c>
      <c r="AF1" s="23" t="s">
        <v>79</v>
      </c>
    </row>
    <row r="2" spans="1:32" ht="20.25" customHeight="1">
      <c r="A2" s="9">
        <v>45194</v>
      </c>
      <c r="B2" s="10" t="s">
        <v>23</v>
      </c>
      <c r="C2" s="11">
        <v>9615.42</v>
      </c>
      <c r="D2" s="11">
        <v>3786.79</v>
      </c>
      <c r="E2" s="11">
        <v>14</v>
      </c>
      <c r="F2" s="11">
        <v>89</v>
      </c>
      <c r="G2" s="11">
        <v>0</v>
      </c>
      <c r="H2" s="11">
        <v>128.69999999999999</v>
      </c>
      <c r="I2" s="11">
        <f t="shared" ref="I2:I8" si="0">SUM(C2:H2,U2)</f>
        <v>13663.91</v>
      </c>
      <c r="J2" s="11">
        <v>2646.82</v>
      </c>
      <c r="K2" s="69">
        <f>SUM(L2:S2)</f>
        <v>10943.39</v>
      </c>
      <c r="L2" s="11">
        <f>1061.97+2789.99+5851.64</f>
        <v>9703.6</v>
      </c>
      <c r="M2" s="11">
        <v>29.34</v>
      </c>
      <c r="N2" s="11">
        <v>0</v>
      </c>
      <c r="O2" s="11">
        <v>75.22</v>
      </c>
      <c r="P2" s="11">
        <v>126.17</v>
      </c>
      <c r="Q2" s="11">
        <v>701.59</v>
      </c>
      <c r="R2" s="11">
        <v>207.82</v>
      </c>
      <c r="S2" s="11">
        <v>99.65</v>
      </c>
      <c r="T2" s="11">
        <v>407.8</v>
      </c>
      <c r="U2" s="33">
        <v>30</v>
      </c>
      <c r="V2" s="33">
        <v>34</v>
      </c>
      <c r="W2" s="11">
        <v>2183</v>
      </c>
      <c r="X2" s="11">
        <v>450</v>
      </c>
      <c r="Y2" s="31">
        <f t="shared" ref="Y2:Y8" si="1">SUM(T2,U2,V2,W2)-J2</f>
        <v>7.9800000000000182</v>
      </c>
      <c r="Z2" s="32">
        <f t="shared" ref="Z2:Z6" si="2">SUM(J2+K2+AD2+AB2)-(I2)</f>
        <v>0</v>
      </c>
      <c r="AA2" s="32">
        <f t="shared" ref="AA2:AA8" si="3">SUM(G2-AB2)</f>
        <v>0</v>
      </c>
      <c r="AB2" s="32">
        <v>0</v>
      </c>
      <c r="AC2" s="33">
        <f t="shared" ref="AC2:AC8" si="4">SUM(H2-AD2)</f>
        <v>54.999999999999986</v>
      </c>
      <c r="AD2" s="33">
        <v>73.7</v>
      </c>
      <c r="AE2" s="33"/>
      <c r="AF2" s="33">
        <f t="shared" ref="AF2:AF8" si="5">SUM(AE2-H2)</f>
        <v>-128.69999999999999</v>
      </c>
    </row>
    <row r="3" spans="1:32" ht="20.25" customHeight="1">
      <c r="A3" s="9">
        <v>45195</v>
      </c>
      <c r="B3" s="10" t="s">
        <v>24</v>
      </c>
      <c r="C3" s="11">
        <f>10153.18+69.62</f>
        <v>10222.800000000001</v>
      </c>
      <c r="D3" s="11">
        <v>3308.37</v>
      </c>
      <c r="E3" s="11">
        <v>17.5</v>
      </c>
      <c r="F3" s="11">
        <v>74</v>
      </c>
      <c r="G3" s="11">
        <v>0</v>
      </c>
      <c r="H3" s="11">
        <v>255</v>
      </c>
      <c r="I3" s="11">
        <f t="shared" si="0"/>
        <v>13899.670000000002</v>
      </c>
      <c r="J3" s="11">
        <v>2601.42</v>
      </c>
      <c r="K3" s="69">
        <f t="shared" ref="K3:K7" si="6">SUM(L3:S3)</f>
        <v>11110.1</v>
      </c>
      <c r="L3" s="11">
        <f>770.82+3450.9+5797.08</f>
        <v>10018.799999999999</v>
      </c>
      <c r="M3" s="11">
        <v>0</v>
      </c>
      <c r="N3" s="11">
        <v>0</v>
      </c>
      <c r="O3" s="11">
        <v>0</v>
      </c>
      <c r="P3" s="11">
        <v>60.01</v>
      </c>
      <c r="Q3" s="11">
        <v>694.6</v>
      </c>
      <c r="R3" s="11">
        <v>285.35000000000002</v>
      </c>
      <c r="S3" s="11">
        <v>51.34</v>
      </c>
      <c r="T3" s="11">
        <v>150</v>
      </c>
      <c r="U3" s="33">
        <v>22</v>
      </c>
      <c r="V3" s="33">
        <v>31</v>
      </c>
      <c r="W3" s="11">
        <v>2475</v>
      </c>
      <c r="X3" s="11">
        <v>450</v>
      </c>
      <c r="Y3" s="31">
        <f t="shared" si="1"/>
        <v>76.579999999999927</v>
      </c>
      <c r="Z3" s="32">
        <f t="shared" si="2"/>
        <v>-63.150000000001455</v>
      </c>
      <c r="AA3" s="32">
        <f t="shared" si="3"/>
        <v>0</v>
      </c>
      <c r="AB3" s="32">
        <v>0</v>
      </c>
      <c r="AC3" s="33">
        <f t="shared" si="4"/>
        <v>130</v>
      </c>
      <c r="AD3" s="33">
        <v>125</v>
      </c>
      <c r="AE3" s="33"/>
      <c r="AF3" s="33">
        <f t="shared" si="5"/>
        <v>-255</v>
      </c>
    </row>
    <row r="4" spans="1:32" ht="20.25" customHeight="1">
      <c r="A4" s="9">
        <v>45196</v>
      </c>
      <c r="B4" s="10" t="s">
        <v>25</v>
      </c>
      <c r="C4" s="11">
        <v>8872.57</v>
      </c>
      <c r="D4" s="11">
        <f>3755.47+23.99</f>
        <v>3779.4599999999996</v>
      </c>
      <c r="E4" s="11">
        <v>1</v>
      </c>
      <c r="F4" s="11">
        <v>47</v>
      </c>
      <c r="G4" s="11">
        <v>60</v>
      </c>
      <c r="H4" s="11">
        <v>296.08999999999997</v>
      </c>
      <c r="I4" s="11">
        <f t="shared" si="0"/>
        <v>13059.119999999999</v>
      </c>
      <c r="J4" s="11">
        <v>2633.24</v>
      </c>
      <c r="K4" s="69">
        <f t="shared" si="6"/>
        <v>10031.660000000002</v>
      </c>
      <c r="L4" s="11">
        <f>809.32+2869.48+5492.92</f>
        <v>9171.7200000000012</v>
      </c>
      <c r="M4" s="11">
        <v>14.38</v>
      </c>
      <c r="N4" s="11">
        <v>0</v>
      </c>
      <c r="O4" s="11">
        <v>0</v>
      </c>
      <c r="P4" s="11">
        <v>16.25</v>
      </c>
      <c r="Q4" s="11">
        <v>299.04000000000002</v>
      </c>
      <c r="R4" s="11">
        <f>81.02+319.92</f>
        <v>400.94</v>
      </c>
      <c r="S4" s="11">
        <v>129.33000000000001</v>
      </c>
      <c r="T4" s="11">
        <f>843.04+10</f>
        <v>853.04</v>
      </c>
      <c r="U4" s="33">
        <v>3</v>
      </c>
      <c r="V4" s="33">
        <v>32</v>
      </c>
      <c r="W4" s="11">
        <v>1642</v>
      </c>
      <c r="X4" s="11">
        <v>450</v>
      </c>
      <c r="Y4" s="31">
        <f t="shared" si="1"/>
        <v>-103.19999999999982</v>
      </c>
      <c r="Z4" s="32">
        <f t="shared" si="2"/>
        <v>-83.129999999997381</v>
      </c>
      <c r="AA4" s="32">
        <f t="shared" si="3"/>
        <v>30</v>
      </c>
      <c r="AB4" s="32">
        <v>30</v>
      </c>
      <c r="AC4" s="33">
        <f t="shared" si="4"/>
        <v>15</v>
      </c>
      <c r="AD4" s="33">
        <v>281.08999999999997</v>
      </c>
      <c r="AE4" s="33"/>
      <c r="AF4" s="33">
        <f t="shared" si="5"/>
        <v>-296.08999999999997</v>
      </c>
    </row>
    <row r="5" spans="1:32" ht="20.25" customHeight="1">
      <c r="A5" s="9">
        <v>45197</v>
      </c>
      <c r="B5" s="10" t="s">
        <v>26</v>
      </c>
      <c r="C5" s="11">
        <v>8774.86</v>
      </c>
      <c r="D5" s="11">
        <v>3691.83</v>
      </c>
      <c r="E5" s="11">
        <v>26</v>
      </c>
      <c r="F5" s="11">
        <v>118</v>
      </c>
      <c r="G5" s="11">
        <v>120</v>
      </c>
      <c r="H5" s="11">
        <v>145</v>
      </c>
      <c r="I5" s="11">
        <f t="shared" si="0"/>
        <v>12879.69</v>
      </c>
      <c r="J5" s="11">
        <v>1993.7</v>
      </c>
      <c r="K5" s="69">
        <f t="shared" si="6"/>
        <v>10577.610000000002</v>
      </c>
      <c r="L5" s="11">
        <f>894.25+2970.38+5939.5</f>
        <v>9804.130000000001</v>
      </c>
      <c r="M5" s="11">
        <v>2.4900000000000002</v>
      </c>
      <c r="N5" s="11">
        <v>0</v>
      </c>
      <c r="O5" s="11">
        <v>30</v>
      </c>
      <c r="P5" s="11">
        <v>50.03</v>
      </c>
      <c r="Q5" s="11">
        <v>533.28</v>
      </c>
      <c r="R5" s="11">
        <v>119.58</v>
      </c>
      <c r="S5" s="11">
        <v>38.1</v>
      </c>
      <c r="T5" s="11">
        <v>0</v>
      </c>
      <c r="U5" s="33">
        <v>4</v>
      </c>
      <c r="V5" s="33">
        <v>80</v>
      </c>
      <c r="W5" s="11">
        <v>1708</v>
      </c>
      <c r="X5" s="11">
        <v>450</v>
      </c>
      <c r="Y5" s="31">
        <f t="shared" si="1"/>
        <v>-201.70000000000005</v>
      </c>
      <c r="Z5" s="32">
        <f t="shared" si="2"/>
        <v>-158.37999999999738</v>
      </c>
      <c r="AA5" s="32">
        <f t="shared" si="3"/>
        <v>80</v>
      </c>
      <c r="AB5" s="32">
        <v>40</v>
      </c>
      <c r="AC5" s="33">
        <f t="shared" si="4"/>
        <v>35</v>
      </c>
      <c r="AD5" s="33">
        <v>110</v>
      </c>
      <c r="AE5" s="33"/>
      <c r="AF5" s="33">
        <f t="shared" si="5"/>
        <v>-145</v>
      </c>
    </row>
    <row r="6" spans="1:32" ht="20.25" customHeight="1">
      <c r="A6" s="9">
        <v>45198</v>
      </c>
      <c r="B6" s="10" t="s">
        <v>20</v>
      </c>
      <c r="C6" s="11">
        <v>11175.09</v>
      </c>
      <c r="D6" s="11">
        <f>5698.8+13.49</f>
        <v>5712.29</v>
      </c>
      <c r="E6" s="11">
        <v>75</v>
      </c>
      <c r="F6" s="11">
        <v>87</v>
      </c>
      <c r="G6" s="11">
        <v>20</v>
      </c>
      <c r="H6" s="11">
        <v>257.56</v>
      </c>
      <c r="I6" s="11">
        <f t="shared" si="0"/>
        <v>17336.940000000002</v>
      </c>
      <c r="J6" s="11">
        <v>2661.64</v>
      </c>
      <c r="K6" s="69">
        <f t="shared" si="6"/>
        <v>14655.3</v>
      </c>
      <c r="L6" s="11">
        <f>981.47+5027.13+7676.93</f>
        <v>13685.53</v>
      </c>
      <c r="M6" s="11">
        <v>72.16</v>
      </c>
      <c r="N6" s="11">
        <v>0</v>
      </c>
      <c r="O6" s="11">
        <v>0</v>
      </c>
      <c r="P6" s="11">
        <v>148.31</v>
      </c>
      <c r="Q6" s="11">
        <v>327.74</v>
      </c>
      <c r="R6" s="11">
        <v>248.13</v>
      </c>
      <c r="S6" s="11">
        <v>173.43</v>
      </c>
      <c r="T6" s="11">
        <v>277.60000000000002</v>
      </c>
      <c r="U6" s="33">
        <v>10</v>
      </c>
      <c r="V6" s="33">
        <v>45</v>
      </c>
      <c r="W6" s="11">
        <v>2338</v>
      </c>
      <c r="X6" s="11">
        <v>450</v>
      </c>
      <c r="Y6" s="31">
        <f t="shared" si="1"/>
        <v>8.9600000000000364</v>
      </c>
      <c r="Z6" s="32">
        <f t="shared" si="2"/>
        <v>0</v>
      </c>
      <c r="AA6" s="32">
        <f t="shared" si="3"/>
        <v>0</v>
      </c>
      <c r="AB6" s="32">
        <v>20</v>
      </c>
      <c r="AC6" s="33">
        <f t="shared" si="4"/>
        <v>257.56</v>
      </c>
      <c r="AD6" s="33">
        <v>0</v>
      </c>
      <c r="AE6" s="33"/>
      <c r="AF6" s="33">
        <f t="shared" si="5"/>
        <v>-257.56</v>
      </c>
    </row>
    <row r="7" spans="1:32" ht="20.25" customHeight="1">
      <c r="A7" s="9">
        <v>45199</v>
      </c>
      <c r="B7" s="10" t="s">
        <v>21</v>
      </c>
      <c r="C7" s="11">
        <v>8829.43</v>
      </c>
      <c r="D7" s="11">
        <v>4152.72</v>
      </c>
      <c r="E7" s="11">
        <v>17</v>
      </c>
      <c r="F7" s="11">
        <v>64</v>
      </c>
      <c r="G7" s="11">
        <v>150</v>
      </c>
      <c r="H7" s="11">
        <v>70</v>
      </c>
      <c r="I7" s="11">
        <f>SUM(C7:H7,U7)</f>
        <v>13283.150000000001</v>
      </c>
      <c r="J7" s="11">
        <v>2797.26</v>
      </c>
      <c r="K7" s="69">
        <f t="shared" si="6"/>
        <v>10387.880000000001</v>
      </c>
      <c r="L7" s="11">
        <f>871.45+2921.25+5627.84</f>
        <v>9420.5400000000009</v>
      </c>
      <c r="M7" s="11">
        <v>104.83</v>
      </c>
      <c r="N7" s="11">
        <v>0</v>
      </c>
      <c r="O7" s="11">
        <v>48.02</v>
      </c>
      <c r="P7" s="11">
        <v>69.44</v>
      </c>
      <c r="Q7" s="11">
        <v>323.25</v>
      </c>
      <c r="R7" s="11">
        <v>217.48</v>
      </c>
      <c r="S7" s="11">
        <v>204.32</v>
      </c>
      <c r="T7" s="11">
        <v>0</v>
      </c>
      <c r="U7" s="33">
        <v>0</v>
      </c>
      <c r="V7" s="33">
        <v>34.4</v>
      </c>
      <c r="W7" s="11">
        <v>2755</v>
      </c>
      <c r="X7" s="11">
        <v>450</v>
      </c>
      <c r="Y7" s="31">
        <f>SUM(T7,U7,V7,W7)-J7</f>
        <v>-7.8600000000001273</v>
      </c>
      <c r="Z7" s="32">
        <f t="shared" ref="Z7" si="7">SUM(J7+K7+AD7+AB7)-(I7)</f>
        <v>11.989999999999782</v>
      </c>
      <c r="AA7" s="32">
        <f>SUM(G7-AB7)</f>
        <v>110</v>
      </c>
      <c r="AB7" s="32">
        <v>40</v>
      </c>
      <c r="AC7" s="33">
        <f>SUM(H7-AD7)</f>
        <v>0</v>
      </c>
      <c r="AD7" s="33">
        <v>70</v>
      </c>
      <c r="AE7" s="33"/>
      <c r="AF7" s="33">
        <f>SUM(AE7-H7)</f>
        <v>-70</v>
      </c>
    </row>
    <row r="8" spans="1:32" ht="18.75">
      <c r="A8" s="9">
        <v>45200</v>
      </c>
      <c r="B8" s="10" t="s">
        <v>22</v>
      </c>
      <c r="C8" s="11">
        <v>8497.31</v>
      </c>
      <c r="D8" s="11">
        <v>3684.95</v>
      </c>
      <c r="E8" s="11">
        <v>0</v>
      </c>
      <c r="F8" s="11">
        <v>32</v>
      </c>
      <c r="G8" s="11">
        <v>160</v>
      </c>
      <c r="H8" s="11">
        <v>25</v>
      </c>
      <c r="I8" s="11">
        <f t="shared" si="0"/>
        <v>12539.259999999998</v>
      </c>
      <c r="J8" s="11">
        <v>2194.11</v>
      </c>
      <c r="K8" s="69">
        <f t="shared" ref="K8" si="8">SUM(L8:S8)</f>
        <v>10306.140000000001</v>
      </c>
      <c r="L8" s="11">
        <f>578.39+3438.81+5628.47</f>
        <v>9645.67</v>
      </c>
      <c r="M8" s="11">
        <v>136.72</v>
      </c>
      <c r="N8" s="11">
        <v>0</v>
      </c>
      <c r="O8" s="11">
        <v>0</v>
      </c>
      <c r="P8" s="11">
        <v>165.78</v>
      </c>
      <c r="Q8" s="11">
        <v>244.87</v>
      </c>
      <c r="R8" s="11">
        <v>99.37</v>
      </c>
      <c r="S8" s="11">
        <v>13.73</v>
      </c>
      <c r="T8" s="11">
        <v>111.56</v>
      </c>
      <c r="U8" s="33">
        <v>140</v>
      </c>
      <c r="V8" s="33">
        <v>6</v>
      </c>
      <c r="W8" s="11">
        <v>1831</v>
      </c>
      <c r="X8" s="11">
        <v>450</v>
      </c>
      <c r="Y8" s="31">
        <f t="shared" si="1"/>
        <v>-105.55000000000018</v>
      </c>
      <c r="Z8" s="32">
        <f>SUM(J8+K8+AD8+AB8)-(I8)</f>
        <v>0.9900000000034197</v>
      </c>
      <c r="AA8" s="32">
        <f t="shared" si="3"/>
        <v>145</v>
      </c>
      <c r="AB8" s="32">
        <v>15</v>
      </c>
      <c r="AC8" s="33">
        <f t="shared" si="4"/>
        <v>0</v>
      </c>
      <c r="AD8" s="33">
        <v>25</v>
      </c>
      <c r="AE8" s="33">
        <v>3620</v>
      </c>
      <c r="AF8" s="33">
        <f t="shared" si="5"/>
        <v>3595</v>
      </c>
    </row>
    <row r="9" spans="1:32" ht="37.5" customHeight="1">
      <c r="A9" s="65" t="s">
        <v>27</v>
      </c>
      <c r="B9" s="66"/>
      <c r="C9" s="27">
        <f t="shared" ref="C9:AF9" si="9">SUM(C2:C8)</f>
        <v>65987.48000000001</v>
      </c>
      <c r="D9" s="27">
        <f t="shared" si="9"/>
        <v>28116.41</v>
      </c>
      <c r="E9" s="27">
        <f t="shared" si="9"/>
        <v>150.5</v>
      </c>
      <c r="F9" s="27">
        <f t="shared" si="9"/>
        <v>511</v>
      </c>
      <c r="G9" s="27">
        <f t="shared" si="9"/>
        <v>510</v>
      </c>
      <c r="H9" s="27">
        <f t="shared" si="9"/>
        <v>1177.3499999999999</v>
      </c>
      <c r="I9" s="27">
        <f t="shared" si="9"/>
        <v>96661.74</v>
      </c>
      <c r="J9" s="27">
        <f t="shared" si="9"/>
        <v>17528.189999999999</v>
      </c>
      <c r="K9" s="27">
        <f t="shared" si="9"/>
        <v>78012.08</v>
      </c>
      <c r="L9" s="27">
        <f t="shared" si="9"/>
        <v>71449.990000000005</v>
      </c>
      <c r="M9" s="27">
        <f t="shared" si="9"/>
        <v>359.91999999999996</v>
      </c>
      <c r="N9" s="27">
        <f t="shared" si="9"/>
        <v>0</v>
      </c>
      <c r="O9" s="27">
        <f t="shared" si="9"/>
        <v>153.24</v>
      </c>
      <c r="P9" s="27">
        <f t="shared" si="9"/>
        <v>635.99</v>
      </c>
      <c r="Q9" s="27">
        <f t="shared" si="9"/>
        <v>3124.37</v>
      </c>
      <c r="R9" s="27">
        <f t="shared" si="9"/>
        <v>1578.67</v>
      </c>
      <c r="S9" s="27">
        <f t="shared" si="9"/>
        <v>709.90000000000009</v>
      </c>
      <c r="T9" s="27">
        <f t="shared" si="9"/>
        <v>1800</v>
      </c>
      <c r="U9" s="27">
        <f t="shared" si="9"/>
        <v>209</v>
      </c>
      <c r="V9" s="27">
        <f t="shared" si="9"/>
        <v>262.39999999999998</v>
      </c>
      <c r="W9" s="27">
        <f t="shared" si="9"/>
        <v>14932</v>
      </c>
      <c r="X9" s="27">
        <f t="shared" si="9"/>
        <v>3150</v>
      </c>
      <c r="Y9" s="27">
        <f t="shared" si="9"/>
        <v>-324.79000000000019</v>
      </c>
      <c r="Z9" s="27">
        <f t="shared" si="9"/>
        <v>-291.67999999999302</v>
      </c>
      <c r="AA9" s="27">
        <f t="shared" si="9"/>
        <v>365</v>
      </c>
      <c r="AB9" s="27">
        <f t="shared" si="9"/>
        <v>145</v>
      </c>
      <c r="AC9" s="27">
        <f t="shared" si="9"/>
        <v>492.56</v>
      </c>
      <c r="AD9" s="27">
        <f t="shared" si="9"/>
        <v>684.79</v>
      </c>
      <c r="AE9" s="27">
        <f t="shared" si="9"/>
        <v>3620</v>
      </c>
      <c r="AF9" s="27">
        <f t="shared" si="9"/>
        <v>2442.65</v>
      </c>
    </row>
    <row r="10" spans="1:32" s="35" customFormat="1" ht="18.75">
      <c r="A10" s="9">
        <v>45201</v>
      </c>
      <c r="B10" s="10" t="s">
        <v>23</v>
      </c>
      <c r="C10" s="11">
        <v>9113.73</v>
      </c>
      <c r="D10" s="11">
        <v>3410.81</v>
      </c>
      <c r="E10" s="11">
        <v>6</v>
      </c>
      <c r="F10" s="11">
        <v>9</v>
      </c>
      <c r="G10" s="11">
        <v>45</v>
      </c>
      <c r="H10" s="11">
        <v>233.39</v>
      </c>
      <c r="I10" s="11">
        <f t="shared" ref="I10:I16" si="10">SUM(C10:H10,U10)</f>
        <v>12899.929999999998</v>
      </c>
      <c r="J10" s="11">
        <v>2621.68</v>
      </c>
      <c r="K10" s="69">
        <f>SUM(L10:S10)</f>
        <v>10198.24</v>
      </c>
      <c r="L10" s="11">
        <f>1037.39+2973.95+5090.9</f>
        <v>9102.24</v>
      </c>
      <c r="M10" s="11">
        <v>67.69</v>
      </c>
      <c r="N10" s="11">
        <v>0</v>
      </c>
      <c r="O10" s="11">
        <v>38.28</v>
      </c>
      <c r="P10" s="11">
        <v>315.14</v>
      </c>
      <c r="Q10" s="11">
        <v>394.46</v>
      </c>
      <c r="R10" s="11">
        <v>223.5</v>
      </c>
      <c r="S10" s="11">
        <v>56.93</v>
      </c>
      <c r="T10" s="11">
        <v>0</v>
      </c>
      <c r="U10" s="33">
        <v>82</v>
      </c>
      <c r="V10" s="33">
        <v>16</v>
      </c>
      <c r="W10" s="11">
        <v>2521</v>
      </c>
      <c r="X10" s="11">
        <v>450</v>
      </c>
      <c r="Y10" s="31">
        <f t="shared" ref="Y10:Y15" si="11">SUM(T10,U10,V10,W10)-J10</f>
        <v>-2.6799999999998363</v>
      </c>
      <c r="Z10" s="32">
        <f t="shared" ref="Z10:Z16" si="12">SUM(J10+K10+AD10+AB10)-(I10)</f>
        <v>-10.009999999998399</v>
      </c>
      <c r="AA10" s="32">
        <f t="shared" ref="AA10:AA16" si="13">SUM(G10-AB10)</f>
        <v>20</v>
      </c>
      <c r="AB10" s="33">
        <v>25</v>
      </c>
      <c r="AC10" s="33">
        <f t="shared" ref="AC10:AC16" si="14">SUM(H10-AD10)</f>
        <v>188.39</v>
      </c>
      <c r="AD10" s="33">
        <v>45</v>
      </c>
      <c r="AE10" s="33"/>
      <c r="AF10" s="33">
        <f t="shared" ref="AF10:AF16" si="15">SUM(AE10-H10)</f>
        <v>-233.39</v>
      </c>
    </row>
    <row r="11" spans="1:32" s="35" customFormat="1" ht="18.75">
      <c r="A11" s="9">
        <v>45202</v>
      </c>
      <c r="B11" s="10" t="s">
        <v>24</v>
      </c>
      <c r="C11" s="11">
        <v>10039.719999999999</v>
      </c>
      <c r="D11" s="11">
        <v>3045.29</v>
      </c>
      <c r="E11" s="11">
        <v>23.5</v>
      </c>
      <c r="F11" s="11">
        <v>82</v>
      </c>
      <c r="G11" s="11">
        <v>40</v>
      </c>
      <c r="H11" s="11">
        <v>194.8</v>
      </c>
      <c r="I11" s="11">
        <f t="shared" si="10"/>
        <v>13497.349999999999</v>
      </c>
      <c r="J11" s="11">
        <v>2680.98</v>
      </c>
      <c r="K11" s="69">
        <f>SUM(L11:S11)</f>
        <v>10691.569999999998</v>
      </c>
      <c r="L11" s="11">
        <f>769.43+3204.53+5722.22</f>
        <v>9696.18</v>
      </c>
      <c r="M11" s="11">
        <v>7.16</v>
      </c>
      <c r="N11" s="11">
        <v>79.23</v>
      </c>
      <c r="O11" s="11">
        <v>20.05</v>
      </c>
      <c r="P11" s="11">
        <v>227.05</v>
      </c>
      <c r="Q11" s="11">
        <v>118.32</v>
      </c>
      <c r="R11" s="11">
        <f>75.47+211.06+150.1</f>
        <v>436.63</v>
      </c>
      <c r="S11" s="11">
        <v>106.95</v>
      </c>
      <c r="T11" s="11">
        <v>0</v>
      </c>
      <c r="U11" s="33">
        <v>72.040000000000006</v>
      </c>
      <c r="V11" s="33">
        <v>21.4</v>
      </c>
      <c r="W11" s="11">
        <v>2565</v>
      </c>
      <c r="X11" s="11">
        <v>450</v>
      </c>
      <c r="Y11" s="31">
        <f t="shared" si="11"/>
        <v>-22.539999999999964</v>
      </c>
      <c r="Z11" s="32">
        <f t="shared" si="12"/>
        <v>-15.000000000001819</v>
      </c>
      <c r="AA11" s="32">
        <f t="shared" si="13"/>
        <v>20</v>
      </c>
      <c r="AB11" s="33">
        <v>20</v>
      </c>
      <c r="AC11" s="33">
        <f t="shared" si="14"/>
        <v>105.00000000000001</v>
      </c>
      <c r="AD11" s="33">
        <v>89.8</v>
      </c>
      <c r="AE11" s="33"/>
      <c r="AF11" s="33">
        <f t="shared" si="15"/>
        <v>-194.8</v>
      </c>
    </row>
    <row r="12" spans="1:32" s="35" customFormat="1" ht="18.75">
      <c r="A12" s="9">
        <v>45203</v>
      </c>
      <c r="B12" s="10" t="s">
        <v>25</v>
      </c>
      <c r="C12" s="11">
        <v>9894.6200000000008</v>
      </c>
      <c r="D12" s="11">
        <v>3437.6</v>
      </c>
      <c r="E12" s="11">
        <v>17</v>
      </c>
      <c r="F12" s="11">
        <v>86</v>
      </c>
      <c r="G12" s="11">
        <v>0</v>
      </c>
      <c r="H12" s="11">
        <v>279.88</v>
      </c>
      <c r="I12" s="11">
        <f t="shared" si="10"/>
        <v>13758.1</v>
      </c>
      <c r="J12" s="11">
        <v>2674.92</v>
      </c>
      <c r="K12" s="69">
        <f t="shared" ref="K12:K16" si="16">SUM(L12:S12)</f>
        <v>11083.18</v>
      </c>
      <c r="L12" s="11">
        <f>1713.73+3214.78+5380.95</f>
        <v>10309.459999999999</v>
      </c>
      <c r="M12" s="11">
        <v>0</v>
      </c>
      <c r="N12" s="11">
        <v>0</v>
      </c>
      <c r="O12" s="11">
        <v>0</v>
      </c>
      <c r="P12" s="11">
        <v>108.59</v>
      </c>
      <c r="Q12" s="11">
        <v>397.17</v>
      </c>
      <c r="R12" s="11">
        <v>184.09</v>
      </c>
      <c r="S12" s="11">
        <v>83.87</v>
      </c>
      <c r="T12" s="11">
        <v>381.17</v>
      </c>
      <c r="U12" s="33">
        <v>43</v>
      </c>
      <c r="V12" s="33">
        <v>17</v>
      </c>
      <c r="W12" s="11">
        <v>2235</v>
      </c>
      <c r="X12" s="11">
        <v>450</v>
      </c>
      <c r="Y12" s="31">
        <f t="shared" si="11"/>
        <v>1.25</v>
      </c>
      <c r="Z12" s="32">
        <f t="shared" si="12"/>
        <v>0</v>
      </c>
      <c r="AA12" s="32">
        <f t="shared" si="13"/>
        <v>0</v>
      </c>
      <c r="AB12" s="33">
        <v>0</v>
      </c>
      <c r="AC12" s="33">
        <v>279.88</v>
      </c>
      <c r="AD12" s="33">
        <v>0</v>
      </c>
      <c r="AE12" s="33"/>
      <c r="AF12" s="33">
        <f t="shared" si="15"/>
        <v>-279.88</v>
      </c>
    </row>
    <row r="13" spans="1:32" s="35" customFormat="1" ht="18.75">
      <c r="A13" s="9">
        <v>45204</v>
      </c>
      <c r="B13" s="10" t="s">
        <v>26</v>
      </c>
      <c r="C13" s="11">
        <v>11042.8</v>
      </c>
      <c r="D13" s="11">
        <v>3776.9</v>
      </c>
      <c r="E13" s="11">
        <v>0</v>
      </c>
      <c r="F13" s="11">
        <v>107</v>
      </c>
      <c r="G13" s="11">
        <v>40</v>
      </c>
      <c r="H13" s="11">
        <v>239.44</v>
      </c>
      <c r="I13" s="11">
        <f t="shared" si="10"/>
        <v>15269.23</v>
      </c>
      <c r="J13" s="11">
        <v>2726.79</v>
      </c>
      <c r="K13" s="69">
        <f t="shared" si="16"/>
        <v>11995.620000000003</v>
      </c>
      <c r="L13" s="11">
        <f>817.22+3958.3+6151</f>
        <v>10926.52</v>
      </c>
      <c r="M13" s="11">
        <v>0</v>
      </c>
      <c r="N13" s="11">
        <v>0</v>
      </c>
      <c r="O13" s="11">
        <v>137.09</v>
      </c>
      <c r="P13" s="11">
        <v>195.29</v>
      </c>
      <c r="Q13" s="11" t="s">
        <v>112</v>
      </c>
      <c r="R13" s="11">
        <v>393.78</v>
      </c>
      <c r="S13" s="11">
        <v>342.94</v>
      </c>
      <c r="T13" s="11">
        <v>572.22</v>
      </c>
      <c r="U13" s="33">
        <v>63.09</v>
      </c>
      <c r="V13" s="33">
        <v>14</v>
      </c>
      <c r="W13" s="11">
        <v>2078</v>
      </c>
      <c r="X13" s="11">
        <v>450</v>
      </c>
      <c r="Y13" s="31">
        <f t="shared" si="11"/>
        <v>0.51999999999998181</v>
      </c>
      <c r="Z13" s="32">
        <f t="shared" si="12"/>
        <v>-511.81999999999607</v>
      </c>
      <c r="AA13" s="32">
        <f t="shared" si="13"/>
        <v>30</v>
      </c>
      <c r="AB13" s="33">
        <v>10</v>
      </c>
      <c r="AC13" s="33">
        <f t="shared" si="14"/>
        <v>214.44</v>
      </c>
      <c r="AD13" s="33">
        <v>25</v>
      </c>
      <c r="AE13" s="33"/>
      <c r="AF13" s="33">
        <f t="shared" si="15"/>
        <v>-239.44</v>
      </c>
    </row>
    <row r="14" spans="1:32" s="35" customFormat="1" ht="18.75">
      <c r="A14" s="9">
        <v>45205</v>
      </c>
      <c r="B14" s="10" t="s">
        <v>20</v>
      </c>
      <c r="C14" s="11">
        <v>11107.63</v>
      </c>
      <c r="D14" s="11">
        <v>4872.3599999999997</v>
      </c>
      <c r="E14" s="11">
        <v>26.5</v>
      </c>
      <c r="F14" s="11">
        <v>110</v>
      </c>
      <c r="G14" s="11">
        <v>95</v>
      </c>
      <c r="H14" s="11">
        <v>177.9</v>
      </c>
      <c r="I14" s="11">
        <f t="shared" si="10"/>
        <v>16499.39</v>
      </c>
      <c r="J14" s="43">
        <v>2744.5</v>
      </c>
      <c r="K14" s="69">
        <f t="shared" si="16"/>
        <v>13622.96</v>
      </c>
      <c r="L14" s="11">
        <f>1223.45+3882.92+6939.43</f>
        <v>12045.8</v>
      </c>
      <c r="M14" s="11">
        <v>115.37</v>
      </c>
      <c r="N14" s="11">
        <v>0</v>
      </c>
      <c r="O14" s="11">
        <v>45.49</v>
      </c>
      <c r="P14" s="11">
        <v>338.63</v>
      </c>
      <c r="Q14" s="11">
        <v>515.17999999999995</v>
      </c>
      <c r="R14" s="11">
        <v>210.56</v>
      </c>
      <c r="S14" s="11">
        <v>351.93</v>
      </c>
      <c r="T14" s="11">
        <v>0</v>
      </c>
      <c r="U14" s="33">
        <v>110</v>
      </c>
      <c r="V14" s="33">
        <v>148</v>
      </c>
      <c r="W14" s="11">
        <v>2508</v>
      </c>
      <c r="X14" s="11">
        <v>450</v>
      </c>
      <c r="Y14" s="31">
        <f t="shared" si="11"/>
        <v>21.5</v>
      </c>
      <c r="Z14" s="32">
        <f t="shared" si="12"/>
        <v>-24.029999999998836</v>
      </c>
      <c r="AA14" s="32">
        <f t="shared" si="13"/>
        <v>95</v>
      </c>
      <c r="AB14" s="33">
        <v>0</v>
      </c>
      <c r="AC14" s="33">
        <f t="shared" si="14"/>
        <v>70</v>
      </c>
      <c r="AD14" s="33">
        <v>107.9</v>
      </c>
      <c r="AE14" s="33"/>
      <c r="AF14" s="33">
        <f t="shared" si="15"/>
        <v>-177.9</v>
      </c>
    </row>
    <row r="15" spans="1:32" s="35" customFormat="1" ht="18.75">
      <c r="A15" s="9">
        <v>45206</v>
      </c>
      <c r="B15" s="10" t="s">
        <v>21</v>
      </c>
      <c r="C15" s="11">
        <v>9136.84</v>
      </c>
      <c r="D15" s="11">
        <f>4346.03+12.99</f>
        <v>4359.0199999999995</v>
      </c>
      <c r="E15" s="11">
        <v>8</v>
      </c>
      <c r="F15" s="11">
        <v>84</v>
      </c>
      <c r="G15" s="11">
        <v>0</v>
      </c>
      <c r="H15" s="11">
        <v>245</v>
      </c>
      <c r="I15" s="11">
        <f t="shared" si="10"/>
        <v>13852.86</v>
      </c>
      <c r="J15" s="11">
        <v>3239.89</v>
      </c>
      <c r="K15" s="69">
        <f t="shared" si="16"/>
        <v>10242.950000000001</v>
      </c>
      <c r="L15" s="11">
        <f>661.92+3814.88+5161.76</f>
        <v>9638.5600000000013</v>
      </c>
      <c r="M15" s="11">
        <v>156.51</v>
      </c>
      <c r="N15" s="11">
        <v>0</v>
      </c>
      <c r="O15" s="11">
        <v>0</v>
      </c>
      <c r="P15" s="11">
        <v>0</v>
      </c>
      <c r="Q15" s="11">
        <v>107.71</v>
      </c>
      <c r="R15" s="11">
        <v>216.03</v>
      </c>
      <c r="S15" s="11">
        <v>124.14</v>
      </c>
      <c r="T15" s="11">
        <v>0</v>
      </c>
      <c r="U15" s="33">
        <v>20</v>
      </c>
      <c r="V15" s="33">
        <v>87</v>
      </c>
      <c r="W15" s="11">
        <v>3105</v>
      </c>
      <c r="X15" s="11">
        <v>450</v>
      </c>
      <c r="Y15" s="31">
        <f t="shared" si="11"/>
        <v>-27.889999999999873</v>
      </c>
      <c r="Z15" s="32">
        <f t="shared" si="12"/>
        <v>-230.02000000000044</v>
      </c>
      <c r="AA15" s="32">
        <f t="shared" si="13"/>
        <v>0</v>
      </c>
      <c r="AB15" s="33">
        <v>0</v>
      </c>
      <c r="AC15" s="33">
        <f t="shared" si="14"/>
        <v>105</v>
      </c>
      <c r="AD15" s="33">
        <v>140</v>
      </c>
      <c r="AE15" s="33"/>
      <c r="AF15" s="33">
        <f t="shared" si="15"/>
        <v>-245</v>
      </c>
    </row>
    <row r="16" spans="1:32" s="35" customFormat="1" ht="18.75">
      <c r="A16" s="9">
        <v>45207</v>
      </c>
      <c r="B16" s="10" t="s">
        <v>22</v>
      </c>
      <c r="C16" s="11">
        <v>7556.44</v>
      </c>
      <c r="D16" s="11">
        <v>3722.45</v>
      </c>
      <c r="E16" s="11">
        <v>6</v>
      </c>
      <c r="F16" s="11">
        <v>107</v>
      </c>
      <c r="G16" s="11">
        <v>164</v>
      </c>
      <c r="H16" s="11">
        <v>20</v>
      </c>
      <c r="I16" s="11">
        <f t="shared" si="10"/>
        <v>11605.89</v>
      </c>
      <c r="J16" s="11">
        <v>2209.02</v>
      </c>
      <c r="K16" s="69">
        <f t="shared" si="16"/>
        <v>9266.0500000000011</v>
      </c>
      <c r="L16" s="11">
        <f>882.63+2793.21+5078.61</f>
        <v>8754.4500000000007</v>
      </c>
      <c r="M16" s="11">
        <v>0</v>
      </c>
      <c r="N16" s="11">
        <v>0</v>
      </c>
      <c r="O16" s="11">
        <v>0</v>
      </c>
      <c r="P16" s="11">
        <v>0</v>
      </c>
      <c r="Q16" s="11">
        <v>250.52</v>
      </c>
      <c r="R16" s="11">
        <v>0</v>
      </c>
      <c r="S16" s="11">
        <v>261.08</v>
      </c>
      <c r="T16" s="11">
        <v>118.06</v>
      </c>
      <c r="U16" s="33">
        <v>30</v>
      </c>
      <c r="V16" s="33">
        <v>121</v>
      </c>
      <c r="W16" s="11">
        <v>1945</v>
      </c>
      <c r="X16" s="11">
        <v>450</v>
      </c>
      <c r="Y16" s="31">
        <v>2.58</v>
      </c>
      <c r="Z16" s="32">
        <f t="shared" si="12"/>
        <v>-60.81999999999789</v>
      </c>
      <c r="AA16" s="32">
        <f t="shared" si="13"/>
        <v>104</v>
      </c>
      <c r="AB16" s="33">
        <v>60</v>
      </c>
      <c r="AC16" s="33">
        <f t="shared" si="14"/>
        <v>10</v>
      </c>
      <c r="AD16" s="33">
        <v>10</v>
      </c>
      <c r="AE16" s="33">
        <v>3460</v>
      </c>
      <c r="AF16" s="33">
        <f t="shared" si="15"/>
        <v>3440</v>
      </c>
    </row>
    <row r="17" spans="1:32" ht="37.5" customHeight="1">
      <c r="A17" s="65" t="s">
        <v>27</v>
      </c>
      <c r="B17" s="66"/>
      <c r="C17" s="27">
        <f>SUM(C10:C16)</f>
        <v>67891.78</v>
      </c>
      <c r="D17" s="27">
        <f t="shared" ref="D17:AF17" si="17">SUM(D10:D16)</f>
        <v>26624.43</v>
      </c>
      <c r="E17" s="27">
        <f t="shared" si="17"/>
        <v>87</v>
      </c>
      <c r="F17" s="27">
        <f t="shared" si="17"/>
        <v>585</v>
      </c>
      <c r="G17" s="27">
        <f t="shared" si="17"/>
        <v>384</v>
      </c>
      <c r="H17" s="27">
        <f t="shared" si="17"/>
        <v>1390.41</v>
      </c>
      <c r="I17" s="27">
        <f t="shared" si="17"/>
        <v>97382.75</v>
      </c>
      <c r="J17" s="27">
        <f t="shared" si="17"/>
        <v>18897.78</v>
      </c>
      <c r="K17" s="27">
        <f t="shared" si="17"/>
        <v>77100.570000000007</v>
      </c>
      <c r="L17" s="27">
        <f t="shared" si="17"/>
        <v>70473.209999999992</v>
      </c>
      <c r="M17" s="27">
        <f t="shared" si="17"/>
        <v>346.73</v>
      </c>
      <c r="N17" s="27">
        <f t="shared" si="17"/>
        <v>79.23</v>
      </c>
      <c r="O17" s="27">
        <f t="shared" si="17"/>
        <v>240.91000000000003</v>
      </c>
      <c r="P17" s="27">
        <f t="shared" si="17"/>
        <v>1184.7</v>
      </c>
      <c r="Q17" s="27">
        <f t="shared" si="17"/>
        <v>1783.3600000000001</v>
      </c>
      <c r="R17" s="27">
        <f t="shared" si="17"/>
        <v>1664.59</v>
      </c>
      <c r="S17" s="27">
        <f t="shared" si="17"/>
        <v>1327.8400000000001</v>
      </c>
      <c r="T17" s="27">
        <f t="shared" si="17"/>
        <v>1071.45</v>
      </c>
      <c r="U17" s="27">
        <f t="shared" si="17"/>
        <v>420.13</v>
      </c>
      <c r="V17" s="27">
        <v>22</v>
      </c>
      <c r="W17" s="27">
        <f t="shared" si="17"/>
        <v>16957</v>
      </c>
      <c r="X17" s="27">
        <f t="shared" si="17"/>
        <v>3150</v>
      </c>
      <c r="Y17" s="27">
        <f t="shared" si="17"/>
        <v>-27.259999999999692</v>
      </c>
      <c r="Z17" s="27">
        <f t="shared" si="17"/>
        <v>-851.69999999999345</v>
      </c>
      <c r="AA17" s="27">
        <f t="shared" si="17"/>
        <v>269</v>
      </c>
      <c r="AB17" s="27">
        <f t="shared" si="17"/>
        <v>115</v>
      </c>
      <c r="AC17" s="27">
        <f t="shared" si="17"/>
        <v>972.71</v>
      </c>
      <c r="AD17" s="27">
        <f t="shared" si="17"/>
        <v>417.70000000000005</v>
      </c>
      <c r="AE17" s="27">
        <f>SUM(AE10:AE16)</f>
        <v>3460</v>
      </c>
      <c r="AF17" s="27">
        <f t="shared" si="17"/>
        <v>2069.59</v>
      </c>
    </row>
    <row r="18" spans="1:32" s="35" customFormat="1" ht="18.75">
      <c r="A18" s="9">
        <v>45208</v>
      </c>
      <c r="B18" s="10" t="s">
        <v>23</v>
      </c>
      <c r="C18" s="11">
        <v>9038.48</v>
      </c>
      <c r="D18" s="11">
        <v>3466.93</v>
      </c>
      <c r="E18" s="11">
        <v>4.5</v>
      </c>
      <c r="F18" s="11">
        <v>45</v>
      </c>
      <c r="G18" s="11">
        <v>0</v>
      </c>
      <c r="H18" s="11">
        <v>230</v>
      </c>
      <c r="I18" s="11">
        <f t="shared" ref="I18:I24" si="18">SUM(C18:H18,U18)</f>
        <v>12807.91</v>
      </c>
      <c r="J18" s="11">
        <v>2572.84</v>
      </c>
      <c r="K18" s="69">
        <f>SUM(L18:S18)</f>
        <v>10050.070000000002</v>
      </c>
      <c r="L18" s="11">
        <f>1146.7+2646.9+5170.78</f>
        <v>8964.380000000001</v>
      </c>
      <c r="M18" s="11">
        <v>58.53</v>
      </c>
      <c r="N18" s="11">
        <v>0</v>
      </c>
      <c r="O18" s="11">
        <v>0</v>
      </c>
      <c r="P18" s="11">
        <v>300.8</v>
      </c>
      <c r="Q18" s="11">
        <v>470.51</v>
      </c>
      <c r="R18" s="11">
        <v>247.51</v>
      </c>
      <c r="S18" s="11">
        <v>8.34</v>
      </c>
      <c r="T18" s="11">
        <v>0</v>
      </c>
      <c r="U18" s="33">
        <v>23</v>
      </c>
      <c r="V18" s="33">
        <v>18.899999999999999</v>
      </c>
      <c r="W18" s="11">
        <v>2380</v>
      </c>
      <c r="X18" s="11">
        <v>450</v>
      </c>
      <c r="Y18" s="31">
        <f t="shared" ref="Y18:Y24" si="19">SUM(T18,U18,V18,W18)-J18</f>
        <v>-150.94000000000005</v>
      </c>
      <c r="Z18" s="32">
        <f>SUM(J18+K18+AD18+AB18)-(I18)</f>
        <v>0</v>
      </c>
      <c r="AA18" s="32">
        <f t="shared" ref="AA18:AA24" si="20">SUM(G18-AB18)</f>
        <v>0</v>
      </c>
      <c r="AB18" s="32">
        <v>0</v>
      </c>
      <c r="AC18" s="33">
        <f t="shared" ref="AC18:AC24" si="21">SUM(H18-AD18)</f>
        <v>45</v>
      </c>
      <c r="AD18" s="33">
        <v>185</v>
      </c>
      <c r="AE18" s="33"/>
      <c r="AF18" s="33">
        <f t="shared" ref="AF18:AF24" si="22">SUM(AE18-H18)</f>
        <v>-230</v>
      </c>
    </row>
    <row r="19" spans="1:32" s="35" customFormat="1" ht="18.75">
      <c r="A19" s="9">
        <v>45209</v>
      </c>
      <c r="B19" s="10" t="s">
        <v>24</v>
      </c>
      <c r="C19" s="11">
        <v>10897.25</v>
      </c>
      <c r="D19" s="11">
        <v>3207.58</v>
      </c>
      <c r="E19" s="11">
        <v>14</v>
      </c>
      <c r="F19" s="11">
        <v>28</v>
      </c>
      <c r="G19" s="11">
        <v>0</v>
      </c>
      <c r="H19" s="11">
        <v>70</v>
      </c>
      <c r="I19" s="11">
        <f t="shared" si="18"/>
        <v>14223.83</v>
      </c>
      <c r="J19" s="11">
        <v>2556.77</v>
      </c>
      <c r="K19" s="69">
        <f>SUM(L19:S19)</f>
        <v>11597.06</v>
      </c>
      <c r="L19" s="11">
        <f>1194.67+3306.12+5905.53</f>
        <v>10406.32</v>
      </c>
      <c r="M19" s="11">
        <v>2.4900000000000002</v>
      </c>
      <c r="N19" s="11">
        <v>0</v>
      </c>
      <c r="O19" s="11">
        <v>83.15</v>
      </c>
      <c r="P19" s="11">
        <v>65</v>
      </c>
      <c r="Q19" s="11">
        <v>384.94</v>
      </c>
      <c r="R19" s="11">
        <v>614.4</v>
      </c>
      <c r="S19" s="11">
        <v>40.76</v>
      </c>
      <c r="T19" s="11">
        <v>472.24</v>
      </c>
      <c r="U19" s="33">
        <v>7</v>
      </c>
      <c r="V19" s="33">
        <v>35</v>
      </c>
      <c r="W19" s="11">
        <v>2045</v>
      </c>
      <c r="X19" s="11">
        <v>450</v>
      </c>
      <c r="Y19" s="31">
        <f t="shared" si="19"/>
        <v>2.4699999999997999</v>
      </c>
      <c r="Z19" s="32">
        <f t="shared" ref="Z19:Z24" si="23">SUM(J19+K19+AD19+AB19)-(I19)</f>
        <v>0</v>
      </c>
      <c r="AA19" s="32">
        <f t="shared" si="20"/>
        <v>0</v>
      </c>
      <c r="AB19" s="32">
        <v>0</v>
      </c>
      <c r="AC19" s="33">
        <f t="shared" si="21"/>
        <v>0</v>
      </c>
      <c r="AD19" s="33">
        <v>70</v>
      </c>
      <c r="AE19" s="33"/>
      <c r="AF19" s="33">
        <f t="shared" si="22"/>
        <v>-70</v>
      </c>
    </row>
    <row r="20" spans="1:32" s="35" customFormat="1" ht="18.75">
      <c r="A20" s="9">
        <v>45210</v>
      </c>
      <c r="B20" s="10" t="s">
        <v>25</v>
      </c>
      <c r="C20" s="11">
        <v>8850.7000000000007</v>
      </c>
      <c r="D20" s="11">
        <v>3404.68</v>
      </c>
      <c r="E20" s="11">
        <v>10</v>
      </c>
      <c r="F20" s="11">
        <v>71</v>
      </c>
      <c r="G20" s="11">
        <v>55</v>
      </c>
      <c r="H20" s="11">
        <v>65</v>
      </c>
      <c r="I20" s="11">
        <f t="shared" si="18"/>
        <v>12478.380000000001</v>
      </c>
      <c r="J20" s="11">
        <v>2448.2199999999998</v>
      </c>
      <c r="K20" s="69">
        <f t="shared" ref="K20:K24" si="24">SUM(L20:S20)</f>
        <v>9841.2099999999991</v>
      </c>
      <c r="L20" s="11">
        <f>1685.28+3129.81+4166.46</f>
        <v>8981.5499999999993</v>
      </c>
      <c r="M20" s="11">
        <v>0</v>
      </c>
      <c r="N20" s="11">
        <v>0</v>
      </c>
      <c r="O20" s="11">
        <v>0</v>
      </c>
      <c r="P20" s="11">
        <v>0</v>
      </c>
      <c r="Q20" s="11">
        <v>552.47</v>
      </c>
      <c r="R20" s="11">
        <v>119.83</v>
      </c>
      <c r="S20" s="11">
        <v>187.36</v>
      </c>
      <c r="T20" s="11">
        <v>903.32</v>
      </c>
      <c r="U20" s="33">
        <v>22</v>
      </c>
      <c r="V20" s="33">
        <v>39</v>
      </c>
      <c r="W20" s="11">
        <v>1480</v>
      </c>
      <c r="X20" s="11">
        <v>450</v>
      </c>
      <c r="Y20" s="31">
        <f t="shared" si="19"/>
        <v>-3.8999999999996362</v>
      </c>
      <c r="Z20" s="32">
        <f t="shared" si="23"/>
        <v>-93.950000000002547</v>
      </c>
      <c r="AA20" s="32">
        <f t="shared" si="20"/>
        <v>0</v>
      </c>
      <c r="AB20" s="32">
        <v>55</v>
      </c>
      <c r="AC20" s="33">
        <f t="shared" si="21"/>
        <v>25</v>
      </c>
      <c r="AD20" s="33">
        <v>40</v>
      </c>
      <c r="AE20" s="33"/>
      <c r="AF20" s="33">
        <f t="shared" si="22"/>
        <v>-65</v>
      </c>
    </row>
    <row r="21" spans="1:32" s="35" customFormat="1" ht="18.75">
      <c r="A21" s="9">
        <v>45211</v>
      </c>
      <c r="B21" s="10" t="s">
        <v>26</v>
      </c>
      <c r="C21" s="11">
        <v>10930.23</v>
      </c>
      <c r="D21" s="11">
        <v>3708.58</v>
      </c>
      <c r="E21" s="11">
        <v>8</v>
      </c>
      <c r="F21" s="11">
        <v>82</v>
      </c>
      <c r="G21" s="11">
        <v>80</v>
      </c>
      <c r="H21" s="11">
        <v>222.86</v>
      </c>
      <c r="I21" s="11">
        <f t="shared" si="18"/>
        <v>15083.68</v>
      </c>
      <c r="J21" s="11">
        <v>2890.95</v>
      </c>
      <c r="K21" s="69">
        <f t="shared" si="24"/>
        <v>11920.430000000002</v>
      </c>
      <c r="L21" s="11">
        <f>1208.32+3850.08+5949.3</f>
        <v>11007.7</v>
      </c>
      <c r="M21" s="11">
        <v>103.12</v>
      </c>
      <c r="N21" s="11">
        <v>0</v>
      </c>
      <c r="O21" s="11">
        <v>0</v>
      </c>
      <c r="P21" s="11">
        <v>165.97</v>
      </c>
      <c r="Q21" s="11">
        <v>364.37</v>
      </c>
      <c r="R21" s="11">
        <v>233.78</v>
      </c>
      <c r="S21" s="11">
        <v>45.49</v>
      </c>
      <c r="T21" s="11">
        <v>0</v>
      </c>
      <c r="U21" s="33">
        <v>52.01</v>
      </c>
      <c r="V21" s="33">
        <v>58</v>
      </c>
      <c r="W21" s="11">
        <v>2794</v>
      </c>
      <c r="X21" s="11">
        <v>450</v>
      </c>
      <c r="Y21" s="31">
        <f t="shared" si="19"/>
        <v>13.0600000000004</v>
      </c>
      <c r="Z21" s="32">
        <f t="shared" si="23"/>
        <v>-89.43999999999869</v>
      </c>
      <c r="AA21" s="32">
        <f t="shared" si="20"/>
        <v>65</v>
      </c>
      <c r="AB21" s="32">
        <v>15</v>
      </c>
      <c r="AC21" s="33">
        <f t="shared" si="21"/>
        <v>55</v>
      </c>
      <c r="AD21" s="33">
        <v>167.86</v>
      </c>
      <c r="AE21" s="33"/>
      <c r="AF21" s="33">
        <f t="shared" si="22"/>
        <v>-222.86</v>
      </c>
    </row>
    <row r="22" spans="1:32" s="35" customFormat="1" ht="18.75">
      <c r="A22" s="9">
        <v>45212</v>
      </c>
      <c r="B22" s="10" t="s">
        <v>20</v>
      </c>
      <c r="C22" s="11">
        <v>10777.39</v>
      </c>
      <c r="D22" s="11">
        <v>4912.8100000000004</v>
      </c>
      <c r="E22" s="11">
        <v>25.5</v>
      </c>
      <c r="F22" s="11">
        <v>86</v>
      </c>
      <c r="G22" s="11">
        <v>125</v>
      </c>
      <c r="H22" s="11">
        <v>140</v>
      </c>
      <c r="I22" s="11">
        <f t="shared" si="18"/>
        <v>16151.7</v>
      </c>
      <c r="J22" s="11">
        <v>2843.24</v>
      </c>
      <c r="K22" s="69">
        <f t="shared" si="24"/>
        <v>13263.46</v>
      </c>
      <c r="L22" s="11">
        <f>1364.42+3694.63+7174.75</f>
        <v>12233.8</v>
      </c>
      <c r="M22" s="11">
        <v>45.76</v>
      </c>
      <c r="N22" s="11">
        <v>0</v>
      </c>
      <c r="O22" s="11">
        <v>0</v>
      </c>
      <c r="P22" s="11">
        <v>60.03</v>
      </c>
      <c r="Q22" s="11">
        <v>419.88</v>
      </c>
      <c r="R22" s="11">
        <v>299.75</v>
      </c>
      <c r="S22" s="11">
        <v>204.24</v>
      </c>
      <c r="T22" s="11">
        <v>0</v>
      </c>
      <c r="U22" s="33">
        <v>85</v>
      </c>
      <c r="V22" s="33">
        <v>44</v>
      </c>
      <c r="W22" s="11">
        <v>2722</v>
      </c>
      <c r="X22" s="11">
        <v>450</v>
      </c>
      <c r="Y22" s="31">
        <f t="shared" si="19"/>
        <v>7.7600000000002183</v>
      </c>
      <c r="Z22" s="32">
        <f t="shared" si="23"/>
        <v>0</v>
      </c>
      <c r="AA22" s="32">
        <f t="shared" si="20"/>
        <v>110</v>
      </c>
      <c r="AB22" s="32">
        <v>15</v>
      </c>
      <c r="AC22" s="33">
        <f t="shared" si="21"/>
        <v>110</v>
      </c>
      <c r="AD22" s="33">
        <v>30</v>
      </c>
      <c r="AE22" s="33"/>
      <c r="AF22" s="33">
        <f t="shared" si="22"/>
        <v>-140</v>
      </c>
    </row>
    <row r="23" spans="1:32" s="35" customFormat="1" ht="18.75">
      <c r="A23" s="9">
        <v>45213</v>
      </c>
      <c r="B23" s="10" t="s">
        <v>21</v>
      </c>
      <c r="C23" s="11">
        <f>9424.34</f>
        <v>9424.34</v>
      </c>
      <c r="D23" s="11">
        <v>4559.2</v>
      </c>
      <c r="E23" s="11">
        <v>16</v>
      </c>
      <c r="F23" s="11">
        <v>63</v>
      </c>
      <c r="G23" s="11">
        <v>125</v>
      </c>
      <c r="H23" s="11">
        <v>50</v>
      </c>
      <c r="I23" s="11">
        <f t="shared" si="18"/>
        <v>14247.54</v>
      </c>
      <c r="J23" s="11">
        <v>2299.75</v>
      </c>
      <c r="K23" s="69">
        <f t="shared" si="24"/>
        <v>11748.01</v>
      </c>
      <c r="L23" s="11">
        <f>1136.6+3573.75+6427.12</f>
        <v>11137.470000000001</v>
      </c>
      <c r="M23" s="11">
        <v>9.48</v>
      </c>
      <c r="N23" s="11">
        <v>0</v>
      </c>
      <c r="O23" s="11">
        <v>98.97</v>
      </c>
      <c r="P23" s="11">
        <v>109.17</v>
      </c>
      <c r="Q23" s="11">
        <v>231.62</v>
      </c>
      <c r="R23" s="11">
        <v>45.92</v>
      </c>
      <c r="S23" s="11">
        <v>115.38</v>
      </c>
      <c r="T23" s="11">
        <v>0</v>
      </c>
      <c r="U23" s="33">
        <v>10</v>
      </c>
      <c r="V23" s="33">
        <v>14</v>
      </c>
      <c r="W23" s="11">
        <v>2265</v>
      </c>
      <c r="X23" s="11">
        <v>450</v>
      </c>
      <c r="Y23" s="31">
        <f t="shared" si="19"/>
        <v>-10.75</v>
      </c>
      <c r="Z23" s="32">
        <f t="shared" si="23"/>
        <v>-119.78000000000065</v>
      </c>
      <c r="AA23" s="32">
        <f t="shared" si="20"/>
        <v>60</v>
      </c>
      <c r="AB23" s="32">
        <v>65</v>
      </c>
      <c r="AC23" s="33">
        <f t="shared" si="21"/>
        <v>35</v>
      </c>
      <c r="AD23" s="33">
        <v>15</v>
      </c>
      <c r="AE23" s="33"/>
      <c r="AF23" s="33">
        <f t="shared" si="22"/>
        <v>-50</v>
      </c>
    </row>
    <row r="24" spans="1:32" s="35" customFormat="1" ht="18.75">
      <c r="A24" s="9">
        <v>45214</v>
      </c>
      <c r="B24" s="10" t="s">
        <v>22</v>
      </c>
      <c r="C24" s="11">
        <v>8887.73</v>
      </c>
      <c r="D24" s="11">
        <f>3844.06+6.99</f>
        <v>3851.0499999999997</v>
      </c>
      <c r="E24" s="11">
        <v>0</v>
      </c>
      <c r="F24" s="11">
        <v>54</v>
      </c>
      <c r="G24" s="11">
        <v>165</v>
      </c>
      <c r="H24" s="11">
        <v>110</v>
      </c>
      <c r="I24" s="11">
        <f t="shared" si="18"/>
        <v>13067.779999999999</v>
      </c>
      <c r="J24" s="11">
        <v>2663.03</v>
      </c>
      <c r="K24" s="69">
        <f t="shared" si="24"/>
        <v>10324.789999999999</v>
      </c>
      <c r="L24" s="11">
        <f>841.09+2797.26+6079.82</f>
        <v>9718.17</v>
      </c>
      <c r="M24" s="11">
        <v>10.82</v>
      </c>
      <c r="N24" s="11">
        <v>0</v>
      </c>
      <c r="O24" s="11">
        <v>0</v>
      </c>
      <c r="P24" s="11">
        <v>87.14</v>
      </c>
      <c r="Q24" s="11">
        <v>345.33</v>
      </c>
      <c r="R24" s="11">
        <v>80.03</v>
      </c>
      <c r="S24" s="11">
        <v>83.3</v>
      </c>
      <c r="T24" s="11">
        <v>98.16</v>
      </c>
      <c r="U24" s="33">
        <v>0</v>
      </c>
      <c r="V24" s="33">
        <v>30</v>
      </c>
      <c r="W24" s="11">
        <v>2530</v>
      </c>
      <c r="X24" s="11">
        <v>450</v>
      </c>
      <c r="Y24" s="31">
        <f t="shared" si="19"/>
        <v>-4.8700000000003456</v>
      </c>
      <c r="Z24" s="32">
        <f t="shared" si="23"/>
        <v>4.0000000000873115E-2</v>
      </c>
      <c r="AA24" s="32">
        <f t="shared" si="20"/>
        <v>145</v>
      </c>
      <c r="AB24" s="32">
        <v>20</v>
      </c>
      <c r="AC24" s="33">
        <f t="shared" si="21"/>
        <v>50</v>
      </c>
      <c r="AD24" s="33">
        <v>60</v>
      </c>
      <c r="AE24" s="33">
        <v>4880</v>
      </c>
      <c r="AF24" s="33">
        <f t="shared" si="22"/>
        <v>4770</v>
      </c>
    </row>
    <row r="25" spans="1:32" ht="37.5" customHeight="1">
      <c r="A25" s="65" t="s">
        <v>27</v>
      </c>
      <c r="B25" s="66"/>
      <c r="C25" s="27">
        <f>SUM(C18:C24)</f>
        <v>68806.12</v>
      </c>
      <c r="D25" s="27">
        <f t="shared" ref="D25:AF25" si="25">SUM(D18:D24)</f>
        <v>27110.83</v>
      </c>
      <c r="E25" s="27">
        <f t="shared" si="25"/>
        <v>78</v>
      </c>
      <c r="F25" s="27">
        <f t="shared" si="25"/>
        <v>429</v>
      </c>
      <c r="G25" s="27">
        <f t="shared" si="25"/>
        <v>550</v>
      </c>
      <c r="H25" s="27">
        <f t="shared" si="25"/>
        <v>887.86</v>
      </c>
      <c r="I25" s="27">
        <f t="shared" si="25"/>
        <v>98060.82</v>
      </c>
      <c r="J25" s="27">
        <f t="shared" si="25"/>
        <v>18274.8</v>
      </c>
      <c r="K25" s="27">
        <f t="shared" si="25"/>
        <v>78745.03</v>
      </c>
      <c r="L25" s="27">
        <f t="shared" si="25"/>
        <v>72449.39</v>
      </c>
      <c r="M25" s="27">
        <f t="shared" si="25"/>
        <v>230.2</v>
      </c>
      <c r="N25" s="27">
        <f t="shared" si="25"/>
        <v>0</v>
      </c>
      <c r="O25" s="27">
        <f t="shared" si="25"/>
        <v>182.12</v>
      </c>
      <c r="P25" s="27">
        <f t="shared" si="25"/>
        <v>788.1099999999999</v>
      </c>
      <c r="Q25" s="27">
        <f t="shared" si="25"/>
        <v>2769.12</v>
      </c>
      <c r="R25" s="27">
        <f t="shared" si="25"/>
        <v>1641.22</v>
      </c>
      <c r="S25" s="27">
        <f t="shared" si="25"/>
        <v>684.86999999999989</v>
      </c>
      <c r="T25" s="27">
        <f t="shared" si="25"/>
        <v>1473.72</v>
      </c>
      <c r="U25" s="27">
        <f t="shared" si="25"/>
        <v>199.01</v>
      </c>
      <c r="V25" s="27">
        <f t="shared" si="25"/>
        <v>238.9</v>
      </c>
      <c r="W25" s="27">
        <f t="shared" si="25"/>
        <v>16216</v>
      </c>
      <c r="X25" s="27">
        <f t="shared" si="25"/>
        <v>3150</v>
      </c>
      <c r="Y25" s="27">
        <f t="shared" si="25"/>
        <v>-147.16999999999962</v>
      </c>
      <c r="Z25" s="27">
        <f t="shared" si="25"/>
        <v>-303.13000000000102</v>
      </c>
      <c r="AA25" s="27">
        <f t="shared" si="25"/>
        <v>380</v>
      </c>
      <c r="AB25" s="27">
        <f t="shared" si="25"/>
        <v>170</v>
      </c>
      <c r="AC25" s="27">
        <f t="shared" si="25"/>
        <v>320</v>
      </c>
      <c r="AD25" s="27">
        <f t="shared" si="25"/>
        <v>567.86</v>
      </c>
      <c r="AE25" s="27">
        <f t="shared" si="25"/>
        <v>4880</v>
      </c>
      <c r="AF25" s="27">
        <f t="shared" si="25"/>
        <v>3992.14</v>
      </c>
    </row>
    <row r="26" spans="1:32" ht="20.25" customHeight="1">
      <c r="A26" s="9">
        <v>45215</v>
      </c>
      <c r="B26" s="10" t="s">
        <v>23</v>
      </c>
      <c r="C26" s="11">
        <v>10312.719999999999</v>
      </c>
      <c r="D26" s="11">
        <v>3193.12</v>
      </c>
      <c r="E26" s="11">
        <v>6</v>
      </c>
      <c r="F26" s="11">
        <v>34</v>
      </c>
      <c r="G26" s="11">
        <v>35</v>
      </c>
      <c r="H26" s="11">
        <v>35</v>
      </c>
      <c r="I26" s="11">
        <f t="shared" ref="I26:I32" si="26">SUM(C26:H26,U26)</f>
        <v>13616.84</v>
      </c>
      <c r="J26" s="11">
        <v>2663.39</v>
      </c>
      <c r="K26" s="69">
        <f>SUM(L26:S26)</f>
        <v>10893.449999999999</v>
      </c>
      <c r="L26" s="11">
        <f>755.15+3058.89+5745.61</f>
        <v>9559.65</v>
      </c>
      <c r="M26" s="11">
        <v>0</v>
      </c>
      <c r="N26" s="11">
        <v>0</v>
      </c>
      <c r="O26" s="11">
        <v>105.5</v>
      </c>
      <c r="P26" s="11">
        <v>198.42</v>
      </c>
      <c r="Q26" s="11">
        <v>713.75</v>
      </c>
      <c r="R26" s="11">
        <v>259.89999999999998</v>
      </c>
      <c r="S26" s="11">
        <v>56.23</v>
      </c>
      <c r="T26" s="11">
        <v>62.11</v>
      </c>
      <c r="U26" s="33">
        <v>1</v>
      </c>
      <c r="V26" s="33">
        <v>30</v>
      </c>
      <c r="W26" s="11">
        <v>2571</v>
      </c>
      <c r="X26" s="11">
        <v>450</v>
      </c>
      <c r="Y26" s="31">
        <f t="shared" ref="Y26:Y32" si="27">SUM(T26,U26,V26,W26)-J26</f>
        <v>0.72000000000025466</v>
      </c>
      <c r="Z26" s="32">
        <f t="shared" ref="Z26:Z40" si="28">SUM(J26+K26+AD26+AB26)-(I26)</f>
        <v>0</v>
      </c>
      <c r="AA26" s="32">
        <f t="shared" ref="AA26:AA32" si="29">SUM(G26-AB26)</f>
        <v>5</v>
      </c>
      <c r="AB26" s="32">
        <v>30</v>
      </c>
      <c r="AC26" s="33">
        <f t="shared" ref="AC26:AC32" si="30">SUM(H26-AD26)</f>
        <v>5</v>
      </c>
      <c r="AD26" s="33">
        <v>30</v>
      </c>
      <c r="AE26" s="33"/>
      <c r="AF26" s="33">
        <f t="shared" ref="AF26:AF32" si="31">SUM(AE26-H26)</f>
        <v>-35</v>
      </c>
    </row>
    <row r="27" spans="1:32" ht="20.25" customHeight="1">
      <c r="A27" s="9">
        <v>45216</v>
      </c>
      <c r="B27" s="10" t="s">
        <v>24</v>
      </c>
      <c r="C27" s="11">
        <v>10901.47</v>
      </c>
      <c r="D27" s="11">
        <v>3155.12</v>
      </c>
      <c r="E27" s="11">
        <v>17.5</v>
      </c>
      <c r="F27" s="11">
        <v>60</v>
      </c>
      <c r="G27" s="11">
        <v>45</v>
      </c>
      <c r="H27" s="11">
        <v>40</v>
      </c>
      <c r="I27" s="11">
        <f t="shared" si="26"/>
        <v>14291.09</v>
      </c>
      <c r="J27" s="11">
        <v>2206.56</v>
      </c>
      <c r="K27" s="69">
        <f>SUM(L27:S27)</f>
        <v>12009.529999999997</v>
      </c>
      <c r="L27" s="11">
        <f>1150.48+3764.83+5736.72</f>
        <v>10652.029999999999</v>
      </c>
      <c r="M27" s="11">
        <v>107.74</v>
      </c>
      <c r="N27" s="11">
        <v>0</v>
      </c>
      <c r="O27" s="11">
        <v>0</v>
      </c>
      <c r="P27" s="11">
        <v>0</v>
      </c>
      <c r="Q27" s="11">
        <v>753.47</v>
      </c>
      <c r="R27" s="11">
        <v>388.9</v>
      </c>
      <c r="S27" s="11">
        <v>107.39</v>
      </c>
      <c r="T27" s="11">
        <v>7.35</v>
      </c>
      <c r="U27" s="33">
        <v>72</v>
      </c>
      <c r="V27" s="33">
        <v>52</v>
      </c>
      <c r="W27" s="11">
        <v>2077</v>
      </c>
      <c r="X27" s="11">
        <v>450</v>
      </c>
      <c r="Y27" s="31">
        <f t="shared" si="27"/>
        <v>1.7899999999999636</v>
      </c>
      <c r="Z27" s="32">
        <f t="shared" si="28"/>
        <v>0</v>
      </c>
      <c r="AA27" s="32">
        <f t="shared" si="29"/>
        <v>10</v>
      </c>
      <c r="AB27" s="32">
        <v>35</v>
      </c>
      <c r="AC27" s="33">
        <f t="shared" si="30"/>
        <v>0</v>
      </c>
      <c r="AD27" s="33">
        <v>40</v>
      </c>
      <c r="AE27" s="33"/>
      <c r="AF27" s="33">
        <f t="shared" si="31"/>
        <v>-40</v>
      </c>
    </row>
    <row r="28" spans="1:32" ht="20.25" customHeight="1">
      <c r="A28" s="9">
        <v>45217</v>
      </c>
      <c r="B28" s="10" t="s">
        <v>25</v>
      </c>
      <c r="C28" s="11">
        <v>10120.23</v>
      </c>
      <c r="D28" s="11">
        <v>3441.25</v>
      </c>
      <c r="E28" s="11">
        <v>10</v>
      </c>
      <c r="F28" s="11">
        <v>37</v>
      </c>
      <c r="G28" s="11">
        <v>57</v>
      </c>
      <c r="H28" s="11">
        <v>25</v>
      </c>
      <c r="I28" s="11">
        <f t="shared" si="26"/>
        <v>13692.48</v>
      </c>
      <c r="J28" s="11">
        <v>2755.07</v>
      </c>
      <c r="K28" s="69">
        <f t="shared" ref="K28:K32" si="32">SUM(L28:S28)</f>
        <v>10805.279999999997</v>
      </c>
      <c r="L28" s="11">
        <f>986.68+2859.54+5937.9</f>
        <v>9784.119999999999</v>
      </c>
      <c r="M28" s="11">
        <v>67.97</v>
      </c>
      <c r="N28" s="11">
        <v>0</v>
      </c>
      <c r="O28" s="11">
        <v>91.85</v>
      </c>
      <c r="P28" s="11">
        <v>0</v>
      </c>
      <c r="Q28" s="11">
        <v>382.23</v>
      </c>
      <c r="R28" s="11">
        <v>182.13</v>
      </c>
      <c r="S28" s="11">
        <v>296.98</v>
      </c>
      <c r="T28" s="11">
        <v>590.86</v>
      </c>
      <c r="U28" s="33">
        <v>2</v>
      </c>
      <c r="V28" s="33">
        <v>47</v>
      </c>
      <c r="W28" s="11">
        <v>2117.63</v>
      </c>
      <c r="X28" s="11">
        <v>450</v>
      </c>
      <c r="Y28" s="31">
        <f t="shared" si="27"/>
        <v>2.4200000000000728</v>
      </c>
      <c r="Z28" s="32">
        <f t="shared" si="28"/>
        <v>-117.13000000000284</v>
      </c>
      <c r="AA28" s="32">
        <f t="shared" si="29"/>
        <v>52</v>
      </c>
      <c r="AB28" s="32">
        <v>5</v>
      </c>
      <c r="AC28" s="33">
        <f t="shared" si="30"/>
        <v>15</v>
      </c>
      <c r="AD28" s="33">
        <v>10</v>
      </c>
      <c r="AE28" s="33"/>
      <c r="AF28" s="33">
        <f t="shared" si="31"/>
        <v>-25</v>
      </c>
    </row>
    <row r="29" spans="1:32" ht="20.25" customHeight="1">
      <c r="A29" s="9">
        <v>45218</v>
      </c>
      <c r="B29" s="10" t="s">
        <v>26</v>
      </c>
      <c r="C29" s="11">
        <v>10483.86</v>
      </c>
      <c r="D29" s="11">
        <v>3797.75</v>
      </c>
      <c r="E29" s="11">
        <v>0</v>
      </c>
      <c r="F29" s="11">
        <v>72</v>
      </c>
      <c r="G29" s="11">
        <v>17.5</v>
      </c>
      <c r="H29" s="11">
        <v>56.07</v>
      </c>
      <c r="I29" s="11">
        <f t="shared" si="26"/>
        <v>14429.18</v>
      </c>
      <c r="J29" s="11">
        <v>2628.87</v>
      </c>
      <c r="K29" s="69">
        <f t="shared" si="32"/>
        <v>11683.08</v>
      </c>
      <c r="L29" s="11">
        <f>993.57+3294.38+5906.19</f>
        <v>10194.14</v>
      </c>
      <c r="M29" s="11">
        <v>84.5</v>
      </c>
      <c r="N29" s="11">
        <v>0</v>
      </c>
      <c r="O29" s="11">
        <v>63.17</v>
      </c>
      <c r="P29" s="11">
        <v>228.4</v>
      </c>
      <c r="Q29" s="11">
        <v>481.84</v>
      </c>
      <c r="R29" s="11">
        <v>474.68</v>
      </c>
      <c r="S29" s="11">
        <v>156.35</v>
      </c>
      <c r="T29" s="11">
        <v>1290.77</v>
      </c>
      <c r="U29" s="33">
        <v>2</v>
      </c>
      <c r="V29" s="33">
        <v>31</v>
      </c>
      <c r="W29" s="11">
        <v>1310</v>
      </c>
      <c r="X29" s="11">
        <v>450</v>
      </c>
      <c r="Y29" s="31">
        <f t="shared" si="27"/>
        <v>4.9000000000000909</v>
      </c>
      <c r="Z29" s="32">
        <f t="shared" si="28"/>
        <v>-117.22999999999956</v>
      </c>
      <c r="AA29" s="32">
        <f t="shared" si="29"/>
        <v>17.5</v>
      </c>
      <c r="AB29" s="32">
        <v>0</v>
      </c>
      <c r="AC29" s="33">
        <f t="shared" si="30"/>
        <v>56.07</v>
      </c>
      <c r="AD29" s="33">
        <v>0</v>
      </c>
      <c r="AE29" s="33"/>
      <c r="AF29" s="33">
        <f t="shared" si="31"/>
        <v>-56.07</v>
      </c>
    </row>
    <row r="30" spans="1:32" ht="20.25" customHeight="1">
      <c r="A30" s="9">
        <v>45219</v>
      </c>
      <c r="B30" s="10" t="s">
        <v>20</v>
      </c>
      <c r="C30" s="11">
        <v>11109.14</v>
      </c>
      <c r="D30" s="11">
        <v>4750.88</v>
      </c>
      <c r="E30" s="11">
        <v>50</v>
      </c>
      <c r="F30" s="11">
        <v>75</v>
      </c>
      <c r="G30" s="11">
        <v>60</v>
      </c>
      <c r="H30" s="11">
        <v>75</v>
      </c>
      <c r="I30" s="11">
        <f t="shared" si="26"/>
        <v>16210.02</v>
      </c>
      <c r="J30" s="11">
        <f>2678.84+10</f>
        <v>2688.84</v>
      </c>
      <c r="K30" s="69">
        <f t="shared" si="32"/>
        <v>13511.180000000002</v>
      </c>
      <c r="L30" s="11">
        <f>798.58+4406.1+6858.31</f>
        <v>12062.990000000002</v>
      </c>
      <c r="M30" s="11">
        <v>85.6</v>
      </c>
      <c r="N30" s="11">
        <v>0</v>
      </c>
      <c r="O30" s="11">
        <v>0</v>
      </c>
      <c r="P30" s="11">
        <v>111.42</v>
      </c>
      <c r="Q30" s="11">
        <v>546.49</v>
      </c>
      <c r="R30" s="11">
        <v>655.96</v>
      </c>
      <c r="S30" s="11">
        <v>48.72</v>
      </c>
      <c r="T30" s="11">
        <v>0</v>
      </c>
      <c r="U30" s="33">
        <v>90</v>
      </c>
      <c r="V30" s="33">
        <v>52</v>
      </c>
      <c r="W30" s="11">
        <v>2550.33</v>
      </c>
      <c r="X30" s="11">
        <v>450</v>
      </c>
      <c r="Y30" s="31">
        <f t="shared" si="27"/>
        <v>3.4899999999997817</v>
      </c>
      <c r="Z30" s="32">
        <f t="shared" si="28"/>
        <v>0</v>
      </c>
      <c r="AA30" s="32">
        <f t="shared" si="29"/>
        <v>60</v>
      </c>
      <c r="AB30" s="32">
        <v>0</v>
      </c>
      <c r="AC30" s="33">
        <f t="shared" si="30"/>
        <v>65</v>
      </c>
      <c r="AD30" s="33">
        <v>10</v>
      </c>
      <c r="AE30" s="33"/>
      <c r="AF30" s="33">
        <f t="shared" si="31"/>
        <v>-75</v>
      </c>
    </row>
    <row r="31" spans="1:32" ht="20.25" customHeight="1">
      <c r="A31" s="9">
        <v>45220</v>
      </c>
      <c r="B31" s="10" t="s">
        <v>21</v>
      </c>
      <c r="C31" s="11">
        <v>10099.209999999999</v>
      </c>
      <c r="D31" s="11">
        <v>3939.53</v>
      </c>
      <c r="E31" s="11">
        <v>20</v>
      </c>
      <c r="F31" s="11">
        <v>59</v>
      </c>
      <c r="G31" s="11">
        <v>60</v>
      </c>
      <c r="H31" s="11">
        <v>30</v>
      </c>
      <c r="I31" s="11">
        <f t="shared" si="26"/>
        <v>14207.74</v>
      </c>
      <c r="J31" s="11">
        <v>2588.89</v>
      </c>
      <c r="K31" s="69">
        <f t="shared" si="32"/>
        <v>11603.85</v>
      </c>
      <c r="L31" s="11">
        <f>956.66+3492.51+6438.37</f>
        <v>10887.54</v>
      </c>
      <c r="M31" s="11">
        <v>104.52</v>
      </c>
      <c r="N31" s="11">
        <v>0</v>
      </c>
      <c r="O31" s="11">
        <v>102.53</v>
      </c>
      <c r="P31" s="11">
        <v>101.89</v>
      </c>
      <c r="Q31" s="11">
        <v>258.06</v>
      </c>
      <c r="R31" s="11">
        <v>35.130000000000003</v>
      </c>
      <c r="S31" s="11">
        <v>114.18</v>
      </c>
      <c r="T31" s="11">
        <v>75</v>
      </c>
      <c r="U31" s="33">
        <v>0</v>
      </c>
      <c r="V31" s="33">
        <v>10</v>
      </c>
      <c r="W31" s="11">
        <v>2505</v>
      </c>
      <c r="X31" s="11">
        <v>450</v>
      </c>
      <c r="Y31" s="31">
        <f t="shared" si="27"/>
        <v>1.1100000000001273</v>
      </c>
      <c r="Z31" s="32">
        <f t="shared" si="28"/>
        <v>0</v>
      </c>
      <c r="AA31" s="32">
        <f t="shared" si="29"/>
        <v>55</v>
      </c>
      <c r="AB31" s="32">
        <v>5</v>
      </c>
      <c r="AC31" s="33">
        <f t="shared" si="30"/>
        <v>20</v>
      </c>
      <c r="AD31" s="33">
        <v>10</v>
      </c>
      <c r="AE31" s="33"/>
      <c r="AF31" s="33">
        <f t="shared" si="31"/>
        <v>-30</v>
      </c>
    </row>
    <row r="32" spans="1:32" ht="20.25" customHeight="1">
      <c r="A32" s="9">
        <v>45221</v>
      </c>
      <c r="B32" s="10" t="s">
        <v>22</v>
      </c>
      <c r="C32" s="11">
        <v>8513.59</v>
      </c>
      <c r="D32" s="11">
        <v>3732.9</v>
      </c>
      <c r="E32" s="11">
        <v>0</v>
      </c>
      <c r="F32" s="11">
        <v>42</v>
      </c>
      <c r="G32" s="11">
        <v>5</v>
      </c>
      <c r="H32" s="11">
        <v>30</v>
      </c>
      <c r="I32" s="11">
        <f t="shared" si="26"/>
        <v>12323.49</v>
      </c>
      <c r="J32" s="11">
        <v>2274.9499999999998</v>
      </c>
      <c r="K32" s="69">
        <f t="shared" si="32"/>
        <v>10038.540000000001</v>
      </c>
      <c r="L32" s="11">
        <f>1585.43+3202.76+4933.48</f>
        <v>9721.67</v>
      </c>
      <c r="M32" s="11">
        <v>0</v>
      </c>
      <c r="N32" s="11">
        <v>0</v>
      </c>
      <c r="O32" s="11">
        <v>0</v>
      </c>
      <c r="P32" s="11">
        <v>0</v>
      </c>
      <c r="Q32" s="11">
        <v>181.23</v>
      </c>
      <c r="R32" s="11">
        <v>50.03</v>
      </c>
      <c r="S32" s="11">
        <v>85.61</v>
      </c>
      <c r="T32" s="11">
        <v>113</v>
      </c>
      <c r="U32" s="33">
        <v>0</v>
      </c>
      <c r="V32" s="33">
        <v>45</v>
      </c>
      <c r="W32" s="11">
        <v>2112</v>
      </c>
      <c r="X32" s="11">
        <v>450</v>
      </c>
      <c r="Y32" s="31">
        <f t="shared" si="27"/>
        <v>-4.9499999999998181</v>
      </c>
      <c r="Z32" s="32">
        <f t="shared" si="28"/>
        <v>0</v>
      </c>
      <c r="AA32" s="32">
        <f t="shared" si="29"/>
        <v>5</v>
      </c>
      <c r="AB32" s="32">
        <v>0</v>
      </c>
      <c r="AC32" s="33">
        <f t="shared" si="30"/>
        <v>20</v>
      </c>
      <c r="AD32" s="33">
        <v>10</v>
      </c>
      <c r="AE32" s="33">
        <v>3420</v>
      </c>
      <c r="AF32" s="33">
        <f t="shared" si="31"/>
        <v>3390</v>
      </c>
    </row>
    <row r="33" spans="1:32" ht="37.5" customHeight="1">
      <c r="A33" s="65" t="s">
        <v>27</v>
      </c>
      <c r="B33" s="66"/>
      <c r="C33" s="27">
        <f t="shared" ref="C33:AF33" si="33">SUM(C26:C32)</f>
        <v>71540.22</v>
      </c>
      <c r="D33" s="27">
        <f t="shared" si="33"/>
        <v>26010.55</v>
      </c>
      <c r="E33" s="27">
        <f t="shared" si="33"/>
        <v>103.5</v>
      </c>
      <c r="F33" s="27">
        <f t="shared" si="33"/>
        <v>379</v>
      </c>
      <c r="G33" s="27">
        <f t="shared" si="33"/>
        <v>279.5</v>
      </c>
      <c r="H33" s="27">
        <f t="shared" si="33"/>
        <v>291.07</v>
      </c>
      <c r="I33" s="27">
        <f t="shared" si="33"/>
        <v>98770.840000000011</v>
      </c>
      <c r="J33" s="27">
        <f t="shared" si="33"/>
        <v>17806.57</v>
      </c>
      <c r="K33" s="27">
        <f t="shared" si="33"/>
        <v>80544.91</v>
      </c>
      <c r="L33" s="27">
        <f t="shared" si="33"/>
        <v>72862.140000000014</v>
      </c>
      <c r="M33" s="27">
        <f t="shared" si="33"/>
        <v>450.32999999999993</v>
      </c>
      <c r="N33" s="27">
        <f t="shared" si="33"/>
        <v>0</v>
      </c>
      <c r="O33" s="27">
        <f t="shared" si="33"/>
        <v>363.04999999999995</v>
      </c>
      <c r="P33" s="27">
        <f t="shared" si="33"/>
        <v>640.13</v>
      </c>
      <c r="Q33" s="27">
        <f t="shared" si="33"/>
        <v>3317.0699999999997</v>
      </c>
      <c r="R33" s="27">
        <f t="shared" si="33"/>
        <v>2046.73</v>
      </c>
      <c r="S33" s="27">
        <f t="shared" si="33"/>
        <v>865.46000000000015</v>
      </c>
      <c r="T33" s="27">
        <f t="shared" si="33"/>
        <v>2139.09</v>
      </c>
      <c r="U33" s="27">
        <f t="shared" si="33"/>
        <v>167</v>
      </c>
      <c r="V33" s="27">
        <f t="shared" si="33"/>
        <v>267</v>
      </c>
      <c r="W33" s="27">
        <f t="shared" si="33"/>
        <v>15242.96</v>
      </c>
      <c r="X33" s="27">
        <f t="shared" si="33"/>
        <v>3150</v>
      </c>
      <c r="Y33" s="27">
        <f t="shared" si="33"/>
        <v>9.4800000000004729</v>
      </c>
      <c r="Z33" s="27">
        <f t="shared" si="33"/>
        <v>-234.3600000000024</v>
      </c>
      <c r="AA33" s="27">
        <f t="shared" si="33"/>
        <v>204.5</v>
      </c>
      <c r="AB33" s="27">
        <f t="shared" si="33"/>
        <v>75</v>
      </c>
      <c r="AC33" s="27">
        <f t="shared" si="33"/>
        <v>181.07</v>
      </c>
      <c r="AD33" s="27">
        <f t="shared" si="33"/>
        <v>110</v>
      </c>
      <c r="AE33" s="27">
        <f t="shared" si="33"/>
        <v>3420</v>
      </c>
      <c r="AF33" s="27">
        <f t="shared" si="33"/>
        <v>3128.93</v>
      </c>
    </row>
    <row r="34" spans="1:32" ht="20.25" customHeight="1">
      <c r="A34" s="9">
        <v>45222</v>
      </c>
      <c r="B34" s="10" t="s">
        <v>23</v>
      </c>
      <c r="C34" s="11">
        <v>12023.96</v>
      </c>
      <c r="D34" s="11">
        <v>3415.41</v>
      </c>
      <c r="E34" s="11">
        <v>2.5</v>
      </c>
      <c r="F34" s="11">
        <v>58</v>
      </c>
      <c r="G34" s="11">
        <v>135</v>
      </c>
      <c r="H34" s="11">
        <v>214.82</v>
      </c>
      <c r="I34" s="11">
        <f t="shared" ref="I34:I40" si="34">SUM(C34:H34,U34)</f>
        <v>15871.689999999999</v>
      </c>
      <c r="J34" s="11">
        <v>3159.3</v>
      </c>
      <c r="K34" s="69">
        <f>SUM(L34:S34)</f>
        <v>12519.57</v>
      </c>
      <c r="L34" s="11">
        <f>1132.26+3614.14+5651.7</f>
        <v>10398.099999999999</v>
      </c>
      <c r="M34" s="11">
        <v>2.4900000000000002</v>
      </c>
      <c r="N34" s="11">
        <v>0</v>
      </c>
      <c r="O34" s="11">
        <v>0</v>
      </c>
      <c r="P34" s="11">
        <v>153.13999999999999</v>
      </c>
      <c r="Q34" s="11">
        <v>838.36</v>
      </c>
      <c r="R34" s="11">
        <f>140.73+161.82+302.34+488.3</f>
        <v>1093.1899999999998</v>
      </c>
      <c r="S34" s="11">
        <v>34.29</v>
      </c>
      <c r="T34" s="11">
        <f>242.84+360</f>
        <v>602.84</v>
      </c>
      <c r="U34" s="33">
        <v>22</v>
      </c>
      <c r="V34" s="33">
        <v>0</v>
      </c>
      <c r="W34" s="11">
        <v>2537</v>
      </c>
      <c r="X34" s="11">
        <v>450</v>
      </c>
      <c r="Y34" s="31">
        <f>SUM(T34,U34,V34,W34)-J34</f>
        <v>2.5399999999999636</v>
      </c>
      <c r="Z34" s="32">
        <f t="shared" si="28"/>
        <v>0</v>
      </c>
      <c r="AA34" s="32">
        <f>SUM(G34-AB34)</f>
        <v>40</v>
      </c>
      <c r="AB34" s="33">
        <v>95</v>
      </c>
      <c r="AC34" s="33">
        <f>SUM(H34-AD34)</f>
        <v>117</v>
      </c>
      <c r="AD34" s="33">
        <v>97.82</v>
      </c>
      <c r="AE34" s="33"/>
      <c r="AF34" s="33">
        <f>SUM(AE34-H34)</f>
        <v>-214.82</v>
      </c>
    </row>
    <row r="35" spans="1:32" ht="20.25" customHeight="1">
      <c r="A35" s="9">
        <v>45223</v>
      </c>
      <c r="B35" s="10" t="s">
        <v>24</v>
      </c>
      <c r="C35" s="11">
        <v>10195.719999999999</v>
      </c>
      <c r="D35" s="11">
        <v>3352.29</v>
      </c>
      <c r="E35" s="11">
        <v>18.5</v>
      </c>
      <c r="F35" s="11">
        <v>43</v>
      </c>
      <c r="G35" s="11">
        <v>25</v>
      </c>
      <c r="H35" s="11">
        <v>131</v>
      </c>
      <c r="I35" s="11">
        <f t="shared" si="34"/>
        <v>13765.509999999998</v>
      </c>
      <c r="J35" s="11">
        <v>2491.44</v>
      </c>
      <c r="K35" s="69">
        <f t="shared" ref="K35:K40" si="35">SUM(L35:S35)</f>
        <v>11141.98</v>
      </c>
      <c r="L35" s="11">
        <f>737.54+3632.36+5694.25</f>
        <v>10064.15</v>
      </c>
      <c r="M35" s="11">
        <v>0</v>
      </c>
      <c r="N35" s="11">
        <v>0</v>
      </c>
      <c r="O35" s="11">
        <v>104.12</v>
      </c>
      <c r="P35" s="11">
        <v>127.31</v>
      </c>
      <c r="Q35" s="11">
        <v>608.41</v>
      </c>
      <c r="R35" s="11">
        <v>211.5</v>
      </c>
      <c r="S35" s="11">
        <v>26.49</v>
      </c>
      <c r="T35" s="11">
        <v>16.45</v>
      </c>
      <c r="U35" s="33">
        <v>0</v>
      </c>
      <c r="V35" s="33">
        <v>0</v>
      </c>
      <c r="W35" s="11">
        <v>2473</v>
      </c>
      <c r="X35" s="11">
        <v>450</v>
      </c>
      <c r="Y35" s="31">
        <f>SUM(T35,U35,V35,W35)-J35</f>
        <v>-1.9900000000002365</v>
      </c>
      <c r="Z35" s="32">
        <f t="shared" si="28"/>
        <v>-1.0899999999983265</v>
      </c>
      <c r="AA35" s="32">
        <f>SUM(G35-AB35)</f>
        <v>25</v>
      </c>
      <c r="AB35" s="33">
        <v>0</v>
      </c>
      <c r="AC35" s="33">
        <f>SUM(H35-AD35)</f>
        <v>0</v>
      </c>
      <c r="AD35" s="33">
        <v>131</v>
      </c>
      <c r="AE35" s="33"/>
      <c r="AF35" s="33">
        <f>SUM(AE35-H35)</f>
        <v>-131</v>
      </c>
    </row>
    <row r="36" spans="1:32" ht="20.25" customHeight="1">
      <c r="A36" s="9">
        <v>45224</v>
      </c>
      <c r="B36" s="10" t="s">
        <v>25</v>
      </c>
      <c r="C36" s="11">
        <v>10937.26</v>
      </c>
      <c r="D36" s="11">
        <v>3542.79</v>
      </c>
      <c r="E36" s="11">
        <v>6</v>
      </c>
      <c r="F36" s="11">
        <v>57</v>
      </c>
      <c r="G36" s="11">
        <v>55</v>
      </c>
      <c r="H36" s="11">
        <v>49.82</v>
      </c>
      <c r="I36" s="11">
        <f t="shared" si="34"/>
        <v>14647.869999999999</v>
      </c>
      <c r="J36" s="11">
        <v>2136.7399999999998</v>
      </c>
      <c r="K36" s="69">
        <f t="shared" si="35"/>
        <v>12456.310000000001</v>
      </c>
      <c r="L36" s="11">
        <f>1022.35+3774.78+6301.03</f>
        <v>11098.16</v>
      </c>
      <c r="M36" s="11">
        <v>2.4900000000000002</v>
      </c>
      <c r="N36" s="11">
        <v>0</v>
      </c>
      <c r="O36" s="11">
        <v>58</v>
      </c>
      <c r="P36" s="11">
        <v>0</v>
      </c>
      <c r="Q36" s="11">
        <v>695.86</v>
      </c>
      <c r="R36" s="11">
        <v>409.36</v>
      </c>
      <c r="S36" s="11">
        <v>192.44</v>
      </c>
      <c r="T36" s="11">
        <v>668.98</v>
      </c>
      <c r="U36" s="33">
        <v>0</v>
      </c>
      <c r="V36" s="33">
        <v>5</v>
      </c>
      <c r="W36" s="11">
        <v>1461</v>
      </c>
      <c r="X36" s="11">
        <v>450</v>
      </c>
      <c r="Y36" s="31">
        <f>SUM(T36,U36,V36,W36)-J36</f>
        <v>-1.7599999999997635</v>
      </c>
      <c r="Z36" s="32">
        <f t="shared" si="28"/>
        <v>0</v>
      </c>
      <c r="AA36" s="32">
        <f>SUM(G36-AB36)</f>
        <v>40</v>
      </c>
      <c r="AB36" s="33">
        <v>15</v>
      </c>
      <c r="AC36" s="33">
        <f>SUM(H36-AD36)</f>
        <v>10</v>
      </c>
      <c r="AD36" s="33">
        <v>39.82</v>
      </c>
      <c r="AE36" s="33"/>
      <c r="AF36" s="33">
        <f>SUM(AE36-H36)</f>
        <v>-49.82</v>
      </c>
    </row>
    <row r="37" spans="1:32" ht="20.25" customHeight="1">
      <c r="A37" s="9">
        <v>45225</v>
      </c>
      <c r="B37" s="10" t="s">
        <v>26</v>
      </c>
      <c r="C37" s="11">
        <v>10880.74</v>
      </c>
      <c r="D37" s="11">
        <v>3577.97</v>
      </c>
      <c r="E37" s="11">
        <v>2</v>
      </c>
      <c r="F37" s="11">
        <v>57</v>
      </c>
      <c r="G37" s="11">
        <v>64</v>
      </c>
      <c r="H37" s="11">
        <v>231</v>
      </c>
      <c r="I37" s="11">
        <f t="shared" si="34"/>
        <v>14812.71</v>
      </c>
      <c r="J37" s="11">
        <v>2643.27</v>
      </c>
      <c r="K37" s="69">
        <f t="shared" si="35"/>
        <v>11998.439999999999</v>
      </c>
      <c r="L37" s="11">
        <f>1290.44+3562.35+6294.29</f>
        <v>11147.08</v>
      </c>
      <c r="M37" s="11">
        <v>91.85</v>
      </c>
      <c r="N37" s="11">
        <v>0</v>
      </c>
      <c r="O37" s="11">
        <v>0</v>
      </c>
      <c r="P37" s="11">
        <v>256.24</v>
      </c>
      <c r="Q37" s="11">
        <v>239.01</v>
      </c>
      <c r="R37" s="11">
        <v>190.38</v>
      </c>
      <c r="S37" s="11">
        <v>73.88</v>
      </c>
      <c r="T37" s="11">
        <v>173.83</v>
      </c>
      <c r="U37" s="33">
        <v>0</v>
      </c>
      <c r="V37" s="33">
        <v>13</v>
      </c>
      <c r="W37" s="11">
        <v>2465</v>
      </c>
      <c r="X37" s="11">
        <v>450</v>
      </c>
      <c r="Y37" s="31">
        <f>SUM(T37,U37,V37,W37)-J37</f>
        <v>8.5599999999999454</v>
      </c>
      <c r="Z37" s="32">
        <f t="shared" si="28"/>
        <v>0</v>
      </c>
      <c r="AA37" s="32">
        <f>SUM(G37-AB37)</f>
        <v>44</v>
      </c>
      <c r="AB37" s="33">
        <v>20</v>
      </c>
      <c r="AC37" s="33">
        <f>SUM(H37-AD37)</f>
        <v>80</v>
      </c>
      <c r="AD37" s="33">
        <v>151</v>
      </c>
      <c r="AE37" s="33"/>
      <c r="AF37" s="33">
        <f>SUM(AE37-H37)</f>
        <v>-231</v>
      </c>
    </row>
    <row r="38" spans="1:32" ht="20.25" customHeight="1">
      <c r="A38" s="9">
        <v>45226</v>
      </c>
      <c r="B38" s="10" t="s">
        <v>20</v>
      </c>
      <c r="C38" s="11">
        <v>12834.1</v>
      </c>
      <c r="D38" s="11">
        <v>5327.1</v>
      </c>
      <c r="E38" s="11">
        <v>30</v>
      </c>
      <c r="F38" s="11">
        <v>115</v>
      </c>
      <c r="G38" s="11">
        <v>280.25</v>
      </c>
      <c r="H38" s="11">
        <v>97.25</v>
      </c>
      <c r="I38" s="11">
        <f t="shared" si="34"/>
        <v>18746.13</v>
      </c>
      <c r="J38" s="11">
        <v>2960.79</v>
      </c>
      <c r="K38" s="69">
        <f t="shared" si="35"/>
        <v>15612.8</v>
      </c>
      <c r="L38" s="11">
        <f>1153.69+4916.47+7721.79</f>
        <v>13791.95</v>
      </c>
      <c r="M38" s="11">
        <v>83.17</v>
      </c>
      <c r="N38" s="11">
        <v>0</v>
      </c>
      <c r="O38" s="11">
        <v>51.98</v>
      </c>
      <c r="P38" s="11">
        <v>270.49</v>
      </c>
      <c r="Q38" s="11">
        <v>724.06</v>
      </c>
      <c r="R38" s="11">
        <v>211.9</v>
      </c>
      <c r="S38" s="11">
        <v>479.25</v>
      </c>
      <c r="T38" s="11">
        <v>0</v>
      </c>
      <c r="U38" s="33">
        <v>62.43</v>
      </c>
      <c r="V38" s="33">
        <v>100.6</v>
      </c>
      <c r="W38" s="11">
        <v>2798</v>
      </c>
      <c r="X38" s="11">
        <v>450</v>
      </c>
      <c r="Y38" s="31">
        <f>SUM(T38,U38,V38,W38)-J38</f>
        <v>0.24000000000023647</v>
      </c>
      <c r="Z38" s="32">
        <f t="shared" si="28"/>
        <v>-20.040000000000873</v>
      </c>
      <c r="AA38" s="32">
        <f>SUM(G38-AB38)</f>
        <v>175</v>
      </c>
      <c r="AB38" s="33">
        <v>105.25</v>
      </c>
      <c r="AC38" s="33">
        <f>SUM(H38-AD38)</f>
        <v>50</v>
      </c>
      <c r="AD38" s="33">
        <v>47.25</v>
      </c>
      <c r="AE38" s="33"/>
      <c r="AF38" s="33">
        <f>SUM(AE38-H38)</f>
        <v>-97.25</v>
      </c>
    </row>
    <row r="39" spans="1:32" ht="20.25" customHeight="1">
      <c r="A39" s="9">
        <v>45227</v>
      </c>
      <c r="B39" s="10" t="s">
        <v>21</v>
      </c>
      <c r="C39" s="11">
        <v>9082.7900000000009</v>
      </c>
      <c r="D39" s="11">
        <v>5483.88</v>
      </c>
      <c r="E39" s="11">
        <v>31</v>
      </c>
      <c r="F39" s="11">
        <v>75</v>
      </c>
      <c r="G39" s="11">
        <v>175</v>
      </c>
      <c r="H39" s="11">
        <v>70</v>
      </c>
      <c r="I39" s="11">
        <f t="shared" si="34"/>
        <v>14969.670000000002</v>
      </c>
      <c r="J39" s="11">
        <v>2571.2399999999998</v>
      </c>
      <c r="K39" s="69">
        <f t="shared" si="35"/>
        <v>12189.800000000001</v>
      </c>
      <c r="L39" s="11">
        <f>1090.42+4086.67+6309.68</f>
        <v>11486.77</v>
      </c>
      <c r="M39" s="11">
        <v>25.03</v>
      </c>
      <c r="N39" s="11">
        <v>0</v>
      </c>
      <c r="O39" s="11">
        <v>0</v>
      </c>
      <c r="P39" s="11">
        <v>0</v>
      </c>
      <c r="Q39" s="11">
        <v>287.39999999999998</v>
      </c>
      <c r="R39" s="11">
        <v>88.6</v>
      </c>
      <c r="S39" s="11">
        <v>302</v>
      </c>
      <c r="T39" s="11">
        <v>0</v>
      </c>
      <c r="U39" s="33">
        <v>52</v>
      </c>
      <c r="V39" s="33">
        <v>65.2</v>
      </c>
      <c r="W39" s="11">
        <v>2456</v>
      </c>
      <c r="X39" s="11">
        <v>450</v>
      </c>
      <c r="Y39" s="31">
        <f t="shared" ref="Y39:Y40" si="36">SUM(T39,U39,V39,W39)-J39</f>
        <v>1.9600000000000364</v>
      </c>
      <c r="Z39" s="32">
        <f t="shared" si="28"/>
        <v>-98.630000000001019</v>
      </c>
      <c r="AA39" s="32">
        <f t="shared" ref="AA39:AA40" si="37">SUM(G39-AB39)</f>
        <v>65</v>
      </c>
      <c r="AB39" s="33">
        <v>110</v>
      </c>
      <c r="AC39" s="33">
        <f t="shared" ref="AC39:AC40" si="38">SUM(H39-AD39)</f>
        <v>70</v>
      </c>
      <c r="AD39" s="33">
        <v>0</v>
      </c>
      <c r="AE39" s="33"/>
      <c r="AF39" s="33">
        <f t="shared" ref="AF39:AF40" si="39">SUM(AE39-H39)</f>
        <v>-70</v>
      </c>
    </row>
    <row r="40" spans="1:32" ht="20.25" customHeight="1">
      <c r="A40" s="9">
        <v>45228</v>
      </c>
      <c r="B40" s="10" t="s">
        <v>22</v>
      </c>
      <c r="C40" s="11">
        <v>8405.77</v>
      </c>
      <c r="D40" s="11">
        <v>4065.61</v>
      </c>
      <c r="E40" s="11">
        <v>0</v>
      </c>
      <c r="F40" s="11">
        <v>58</v>
      </c>
      <c r="G40" s="11">
        <v>135</v>
      </c>
      <c r="H40" s="11">
        <v>254</v>
      </c>
      <c r="I40" s="11">
        <f t="shared" si="34"/>
        <v>12930.380000000001</v>
      </c>
      <c r="J40" s="11">
        <v>2525.12</v>
      </c>
      <c r="K40" s="69">
        <f t="shared" si="35"/>
        <v>10121.26</v>
      </c>
      <c r="L40" s="11">
        <f>1147.35+3544.5+4919.42</f>
        <v>9611.27</v>
      </c>
      <c r="M40" s="11">
        <v>0</v>
      </c>
      <c r="N40" s="11">
        <v>0</v>
      </c>
      <c r="O40" s="11">
        <v>0</v>
      </c>
      <c r="P40" s="11">
        <v>0</v>
      </c>
      <c r="Q40" s="11">
        <v>282.5</v>
      </c>
      <c r="R40" s="11">
        <v>183.48</v>
      </c>
      <c r="S40" s="11">
        <v>44.01</v>
      </c>
      <c r="T40" s="11">
        <v>153.30000000000001</v>
      </c>
      <c r="U40" s="33">
        <v>12</v>
      </c>
      <c r="V40" s="33">
        <v>37.4</v>
      </c>
      <c r="W40" s="11">
        <v>2326</v>
      </c>
      <c r="X40" s="11">
        <v>450</v>
      </c>
      <c r="Y40" s="31">
        <f t="shared" si="36"/>
        <v>3.5799999999999272</v>
      </c>
      <c r="Z40" s="32">
        <f t="shared" si="28"/>
        <v>0</v>
      </c>
      <c r="AA40" s="32">
        <f t="shared" si="37"/>
        <v>95</v>
      </c>
      <c r="AB40" s="33">
        <v>40</v>
      </c>
      <c r="AC40" s="33">
        <f t="shared" si="38"/>
        <v>10</v>
      </c>
      <c r="AD40" s="33">
        <v>244</v>
      </c>
      <c r="AE40" s="33">
        <v>4210</v>
      </c>
      <c r="AF40" s="33">
        <f t="shared" si="39"/>
        <v>3956</v>
      </c>
    </row>
    <row r="41" spans="1:32" ht="37.5" customHeight="1">
      <c r="A41" s="65" t="s">
        <v>27</v>
      </c>
      <c r="B41" s="66"/>
      <c r="C41" s="27">
        <f t="shared" ref="C41:AF41" si="40">SUM(C34:C40)</f>
        <v>74360.340000000011</v>
      </c>
      <c r="D41" s="27">
        <f t="shared" si="40"/>
        <v>28765.05</v>
      </c>
      <c r="E41" s="27">
        <f t="shared" si="40"/>
        <v>90</v>
      </c>
      <c r="F41" s="27">
        <f t="shared" si="40"/>
        <v>463</v>
      </c>
      <c r="G41" s="27">
        <f t="shared" si="40"/>
        <v>869.25</v>
      </c>
      <c r="H41" s="27">
        <f t="shared" si="40"/>
        <v>1047.8899999999999</v>
      </c>
      <c r="I41" s="27">
        <f t="shared" si="40"/>
        <v>105743.95999999999</v>
      </c>
      <c r="J41" s="27">
        <f t="shared" si="40"/>
        <v>18487.900000000001</v>
      </c>
      <c r="K41" s="27">
        <f t="shared" si="40"/>
        <v>86040.16</v>
      </c>
      <c r="L41" s="27">
        <f t="shared" si="40"/>
        <v>77597.48000000001</v>
      </c>
      <c r="M41" s="27">
        <f t="shared" si="40"/>
        <v>205.03</v>
      </c>
      <c r="N41" s="27">
        <f t="shared" si="40"/>
        <v>0</v>
      </c>
      <c r="O41" s="27">
        <f t="shared" si="40"/>
        <v>214.1</v>
      </c>
      <c r="P41" s="27">
        <f t="shared" si="40"/>
        <v>807.18000000000006</v>
      </c>
      <c r="Q41" s="27">
        <f t="shared" si="40"/>
        <v>3675.6000000000004</v>
      </c>
      <c r="R41" s="27">
        <f t="shared" si="40"/>
        <v>2388.41</v>
      </c>
      <c r="S41" s="27">
        <f t="shared" si="40"/>
        <v>1152.3599999999999</v>
      </c>
      <c r="T41" s="27">
        <f t="shared" si="40"/>
        <v>1615.3999999999999</v>
      </c>
      <c r="U41" s="27">
        <f t="shared" si="40"/>
        <v>148.43</v>
      </c>
      <c r="V41" s="27">
        <f t="shared" si="40"/>
        <v>221.20000000000002</v>
      </c>
      <c r="W41" s="27">
        <f t="shared" si="40"/>
        <v>16516</v>
      </c>
      <c r="X41" s="27">
        <f t="shared" si="40"/>
        <v>3150</v>
      </c>
      <c r="Y41" s="27">
        <f t="shared" si="40"/>
        <v>13.130000000000109</v>
      </c>
      <c r="Z41" s="27">
        <f t="shared" si="40"/>
        <v>-119.76000000000022</v>
      </c>
      <c r="AA41" s="27">
        <f t="shared" si="40"/>
        <v>484</v>
      </c>
      <c r="AB41" s="27">
        <f t="shared" si="40"/>
        <v>385.25</v>
      </c>
      <c r="AC41" s="27">
        <f t="shared" si="40"/>
        <v>337</v>
      </c>
      <c r="AD41" s="27">
        <f t="shared" si="40"/>
        <v>710.89</v>
      </c>
      <c r="AE41" s="27" t="s">
        <v>36</v>
      </c>
      <c r="AF41" s="27">
        <f t="shared" si="40"/>
        <v>3162.11</v>
      </c>
    </row>
    <row r="42" spans="1:32" ht="20.25" customHeight="1">
      <c r="A42" s="9">
        <v>45229</v>
      </c>
      <c r="B42" s="10" t="s">
        <v>23</v>
      </c>
      <c r="C42" s="11">
        <v>10372.98</v>
      </c>
      <c r="D42" s="11">
        <v>3072.74</v>
      </c>
      <c r="E42" s="11">
        <v>6</v>
      </c>
      <c r="F42" s="11">
        <v>113</v>
      </c>
      <c r="G42" s="11">
        <v>237.5</v>
      </c>
      <c r="H42" s="11">
        <v>85</v>
      </c>
      <c r="I42" s="11">
        <f>SUM(C42:H42,U42)</f>
        <v>13907.22</v>
      </c>
      <c r="J42" s="11">
        <v>2596.5</v>
      </c>
      <c r="K42" s="69">
        <f>SUM(L42:S42)</f>
        <v>11183.219999999998</v>
      </c>
      <c r="L42" s="11">
        <f>1546.15+2840.06+5284.57</f>
        <v>9670.7799999999988</v>
      </c>
      <c r="M42" s="11">
        <v>229.9</v>
      </c>
      <c r="N42" s="11">
        <v>0</v>
      </c>
      <c r="O42" s="11">
        <v>0</v>
      </c>
      <c r="P42" s="11">
        <v>289.08999999999997</v>
      </c>
      <c r="Q42" s="11">
        <v>497.34</v>
      </c>
      <c r="R42" s="11">
        <v>467.63</v>
      </c>
      <c r="S42" s="11">
        <v>28.48</v>
      </c>
      <c r="T42" s="11">
        <v>25</v>
      </c>
      <c r="U42" s="33">
        <v>20</v>
      </c>
      <c r="V42" s="33">
        <v>54</v>
      </c>
      <c r="W42" s="11">
        <v>2494</v>
      </c>
      <c r="X42" s="11">
        <v>450</v>
      </c>
      <c r="Y42" s="31">
        <f>SUM(T42,U42,V42,W42)-J42</f>
        <v>-3.5</v>
      </c>
      <c r="Z42" s="32">
        <f t="shared" ref="Z42" si="41">SUM(J42+K42+AD42+AB42)-(I42)</f>
        <v>-2.500000000001819</v>
      </c>
      <c r="AA42" s="32">
        <f>SUM(G42-AB42)</f>
        <v>117.5</v>
      </c>
      <c r="AB42" s="32">
        <v>120</v>
      </c>
      <c r="AC42" s="33">
        <f>SUM(H42-AD42)</f>
        <v>80</v>
      </c>
      <c r="AD42" s="33">
        <v>5</v>
      </c>
      <c r="AE42" s="33"/>
      <c r="AF42" s="33">
        <f>SUM(AE42-H42)</f>
        <v>-85</v>
      </c>
    </row>
    <row r="43" spans="1:32" ht="20.25" customHeight="1">
      <c r="A43" s="9">
        <v>45230</v>
      </c>
      <c r="B43" s="10" t="s">
        <v>24</v>
      </c>
      <c r="C43" s="11">
        <v>9254.9599999999991</v>
      </c>
      <c r="D43" s="11">
        <v>3797.89</v>
      </c>
      <c r="E43" s="11">
        <v>20</v>
      </c>
      <c r="F43" s="11">
        <v>46</v>
      </c>
      <c r="G43" s="11">
        <v>25</v>
      </c>
      <c r="H43" s="11">
        <v>127.5</v>
      </c>
      <c r="I43" s="11">
        <f>SUM(C43:H43,U43)</f>
        <v>13356.349999999999</v>
      </c>
      <c r="J43" s="11">
        <v>2433</v>
      </c>
      <c r="K43" s="11">
        <f>SUM(L43:S43)</f>
        <v>10868.35</v>
      </c>
      <c r="L43" s="11">
        <f>1167+3117.2+5546.77</f>
        <v>9830.9700000000012</v>
      </c>
      <c r="M43" s="11">
        <v>130</v>
      </c>
      <c r="N43" s="11">
        <v>0</v>
      </c>
      <c r="O43" s="11">
        <v>0</v>
      </c>
      <c r="P43" s="11">
        <v>51.18</v>
      </c>
      <c r="Q43" s="11">
        <v>518.72</v>
      </c>
      <c r="R43" s="11">
        <f>132.54+20+35.63</f>
        <v>188.17</v>
      </c>
      <c r="S43" s="11">
        <v>149.31</v>
      </c>
      <c r="T43" s="11">
        <v>0</v>
      </c>
      <c r="U43" s="33">
        <v>85</v>
      </c>
      <c r="V43" s="33">
        <v>9</v>
      </c>
      <c r="W43" s="11">
        <v>2347</v>
      </c>
      <c r="X43" s="11">
        <v>450</v>
      </c>
      <c r="Y43" s="31">
        <f>SUM(T43,U43,V43,W43)-J43</f>
        <v>8</v>
      </c>
      <c r="Z43" s="32">
        <f t="shared" ref="Z43" si="42">SUM(J43+K43+AD43+AB43)-(I43)</f>
        <v>0</v>
      </c>
      <c r="AA43" s="32">
        <f>SUM(G43-AB43)</f>
        <v>0</v>
      </c>
      <c r="AB43" s="32">
        <v>25</v>
      </c>
      <c r="AC43" s="33">
        <f>SUM(H43-AD43)</f>
        <v>97.5</v>
      </c>
      <c r="AD43" s="33">
        <v>30</v>
      </c>
      <c r="AE43" s="33"/>
      <c r="AF43" s="33">
        <f>SUM(AE43-H43)</f>
        <v>-127.5</v>
      </c>
    </row>
    <row r="44" spans="1:32" ht="37.5" customHeight="1">
      <c r="A44" s="65" t="s">
        <v>27</v>
      </c>
      <c r="B44" s="66"/>
      <c r="C44" s="27">
        <f>SUM(C42:C43)</f>
        <v>19627.939999999999</v>
      </c>
      <c r="D44" s="27">
        <f t="shared" ref="D44:AF44" si="43">SUM(D42:D43)</f>
        <v>6870.6299999999992</v>
      </c>
      <c r="E44" s="27">
        <f t="shared" si="43"/>
        <v>26</v>
      </c>
      <c r="F44" s="27">
        <f t="shared" si="43"/>
        <v>159</v>
      </c>
      <c r="G44" s="27">
        <f t="shared" si="43"/>
        <v>262.5</v>
      </c>
      <c r="H44" s="27">
        <f t="shared" si="43"/>
        <v>212.5</v>
      </c>
      <c r="I44" s="27">
        <f t="shared" si="43"/>
        <v>27263.57</v>
      </c>
      <c r="J44" s="27">
        <f t="shared" si="43"/>
        <v>5029.5</v>
      </c>
      <c r="K44" s="27">
        <f t="shared" si="43"/>
        <v>22051.57</v>
      </c>
      <c r="L44" s="27">
        <f t="shared" si="43"/>
        <v>19501.75</v>
      </c>
      <c r="M44" s="27">
        <f t="shared" si="43"/>
        <v>359.9</v>
      </c>
      <c r="N44" s="27">
        <f t="shared" si="43"/>
        <v>0</v>
      </c>
      <c r="O44" s="27">
        <f t="shared" si="43"/>
        <v>0</v>
      </c>
      <c r="P44" s="27">
        <f t="shared" si="43"/>
        <v>340.27</v>
      </c>
      <c r="Q44" s="27">
        <f t="shared" si="43"/>
        <v>1016.06</v>
      </c>
      <c r="R44" s="27">
        <f t="shared" si="43"/>
        <v>655.8</v>
      </c>
      <c r="S44" s="27">
        <f t="shared" si="43"/>
        <v>177.79</v>
      </c>
      <c r="T44" s="27">
        <f t="shared" si="43"/>
        <v>25</v>
      </c>
      <c r="U44" s="27">
        <f t="shared" si="43"/>
        <v>105</v>
      </c>
      <c r="V44" s="27">
        <f t="shared" si="43"/>
        <v>63</v>
      </c>
      <c r="W44" s="27">
        <f t="shared" si="43"/>
        <v>4841</v>
      </c>
      <c r="X44" s="27">
        <f t="shared" si="43"/>
        <v>900</v>
      </c>
      <c r="Y44" s="27">
        <f t="shared" si="43"/>
        <v>4.5</v>
      </c>
      <c r="Z44" s="27">
        <f t="shared" si="43"/>
        <v>-2.500000000001819</v>
      </c>
      <c r="AA44" s="27">
        <f t="shared" si="43"/>
        <v>117.5</v>
      </c>
      <c r="AB44" s="27">
        <f t="shared" si="43"/>
        <v>145</v>
      </c>
      <c r="AC44" s="27">
        <f t="shared" si="43"/>
        <v>177.5</v>
      </c>
      <c r="AD44" s="27">
        <f t="shared" si="43"/>
        <v>35</v>
      </c>
      <c r="AE44" s="27">
        <f t="shared" si="43"/>
        <v>0</v>
      </c>
      <c r="AF44" s="27">
        <f t="shared" si="43"/>
        <v>-212.5</v>
      </c>
    </row>
    <row r="45" spans="1:32" ht="51.75" customHeight="1">
      <c r="A45" s="67" t="s">
        <v>17</v>
      </c>
      <c r="B45" s="68"/>
      <c r="C45" s="30">
        <f t="shared" ref="C45:AF45" si="44">SUM(C9,C17,C25,C33,C41)</f>
        <v>348585.94</v>
      </c>
      <c r="D45" s="30">
        <f t="shared" si="44"/>
        <v>136627.26999999999</v>
      </c>
      <c r="E45" s="30">
        <f t="shared" si="44"/>
        <v>509</v>
      </c>
      <c r="F45" s="30">
        <f t="shared" si="44"/>
        <v>2367</v>
      </c>
      <c r="G45" s="30">
        <f t="shared" si="44"/>
        <v>2592.75</v>
      </c>
      <c r="H45" s="30">
        <f t="shared" si="44"/>
        <v>4794.58</v>
      </c>
      <c r="I45" s="30">
        <f t="shared" si="44"/>
        <v>496620.11</v>
      </c>
      <c r="J45" s="30">
        <f t="shared" si="44"/>
        <v>90995.239999999991</v>
      </c>
      <c r="K45" s="30">
        <f t="shared" si="44"/>
        <v>400442.75</v>
      </c>
      <c r="L45" s="30">
        <f t="shared" si="44"/>
        <v>364832.21000000008</v>
      </c>
      <c r="M45" s="30">
        <f t="shared" si="44"/>
        <v>1592.2099999999998</v>
      </c>
      <c r="N45" s="30">
        <f t="shared" si="44"/>
        <v>79.23</v>
      </c>
      <c r="O45" s="30">
        <f t="shared" si="44"/>
        <v>1153.4199999999998</v>
      </c>
      <c r="P45" s="30">
        <f t="shared" si="44"/>
        <v>4056.1100000000006</v>
      </c>
      <c r="Q45" s="30">
        <f t="shared" si="44"/>
        <v>14669.519999999999</v>
      </c>
      <c r="R45" s="30">
        <f t="shared" si="44"/>
        <v>9319.6200000000008</v>
      </c>
      <c r="S45" s="30">
        <f t="shared" si="44"/>
        <v>4740.43</v>
      </c>
      <c r="T45" s="30">
        <f t="shared" si="44"/>
        <v>8099.66</v>
      </c>
      <c r="U45" s="30">
        <f t="shared" si="44"/>
        <v>1143.57</v>
      </c>
      <c r="V45" s="30">
        <f t="shared" si="44"/>
        <v>1011.5</v>
      </c>
      <c r="W45" s="30">
        <f t="shared" si="44"/>
        <v>79863.959999999992</v>
      </c>
      <c r="X45" s="30">
        <f t="shared" si="44"/>
        <v>15750</v>
      </c>
      <c r="Y45" s="30">
        <f t="shared" si="44"/>
        <v>-476.60999999999893</v>
      </c>
      <c r="Z45" s="30">
        <f t="shared" si="44"/>
        <v>-1800.6299999999901</v>
      </c>
      <c r="AA45" s="30">
        <f t="shared" si="44"/>
        <v>1702.5</v>
      </c>
      <c r="AB45" s="30">
        <f t="shared" si="44"/>
        <v>890.25</v>
      </c>
      <c r="AC45" s="30">
        <f t="shared" si="44"/>
        <v>2303.34</v>
      </c>
      <c r="AD45" s="30">
        <f t="shared" si="44"/>
        <v>2491.2399999999998</v>
      </c>
      <c r="AE45" s="30">
        <f t="shared" si="44"/>
        <v>15380</v>
      </c>
      <c r="AF45" s="30">
        <f t="shared" si="44"/>
        <v>14795.42</v>
      </c>
    </row>
    <row r="47" spans="1:32">
      <c r="C47" s="41"/>
      <c r="D47" s="41"/>
      <c r="E47" s="41"/>
      <c r="F47" s="41"/>
      <c r="G47" s="41"/>
      <c r="H47" s="41"/>
      <c r="I47" s="41"/>
      <c r="J47" s="41"/>
      <c r="K47" s="41"/>
      <c r="L47" s="41"/>
      <c r="M47" s="41"/>
      <c r="N47" s="41"/>
      <c r="O47" s="41"/>
      <c r="P47" s="41"/>
      <c r="Q47" s="41"/>
      <c r="R47" s="41"/>
      <c r="S47" s="41"/>
      <c r="T47" s="41"/>
      <c r="U47" s="41"/>
      <c r="V47" s="41"/>
      <c r="W47" s="41"/>
      <c r="X47" s="41"/>
      <c r="Y47" s="41"/>
      <c r="Z47" s="41"/>
      <c r="AA47" s="41"/>
      <c r="AB47" s="41"/>
      <c r="AC47" s="41"/>
      <c r="AD47" s="41"/>
      <c r="AE47" s="41"/>
      <c r="AF47" s="41"/>
    </row>
    <row r="48" spans="1:32"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</row>
    <row r="49" spans="1:32">
      <c r="C49" s="42"/>
      <c r="D49" s="42"/>
      <c r="E49" s="42"/>
      <c r="F49" s="42"/>
      <c r="G49" s="42"/>
      <c r="H49" s="42"/>
      <c r="I49" s="42"/>
      <c r="J49" s="42"/>
      <c r="K49" s="42"/>
      <c r="L49" s="42"/>
      <c r="M49" s="42"/>
      <c r="N49" s="42"/>
      <c r="O49" s="42"/>
      <c r="P49" s="42"/>
      <c r="Q49" s="42"/>
      <c r="R49" s="42"/>
      <c r="S49" s="42"/>
      <c r="T49" s="42"/>
      <c r="U49" s="42"/>
      <c r="V49" s="42"/>
      <c r="W49" s="42"/>
      <c r="X49" s="42"/>
      <c r="Y49" s="42"/>
      <c r="Z49" s="42"/>
      <c r="AA49" s="42"/>
      <c r="AB49" s="42"/>
      <c r="AC49" s="42"/>
      <c r="AD49" s="42"/>
      <c r="AE49" s="42"/>
      <c r="AF49" s="42"/>
    </row>
    <row r="50" spans="1:32"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42"/>
      <c r="T50" s="42"/>
      <c r="U50" s="42"/>
      <c r="V50" s="42"/>
      <c r="W50" s="42"/>
      <c r="X50" s="42"/>
      <c r="Y50" s="42"/>
      <c r="Z50" s="42"/>
      <c r="AA50" s="42"/>
      <c r="AB50" s="42"/>
      <c r="AC50" s="42"/>
      <c r="AD50" s="42"/>
      <c r="AE50" s="42"/>
      <c r="AF50" s="42"/>
    </row>
    <row r="51" spans="1:32">
      <c r="C51" s="41"/>
      <c r="D51" s="41"/>
      <c r="E51" s="41"/>
      <c r="F51" s="41"/>
      <c r="G51" s="41"/>
      <c r="H51" s="41"/>
      <c r="I51" s="41"/>
      <c r="J51" s="41"/>
      <c r="K51" s="41"/>
      <c r="L51" s="41"/>
      <c r="M51" s="41"/>
      <c r="N51" s="41"/>
      <c r="O51" s="41"/>
      <c r="P51" s="41"/>
      <c r="Q51" s="41"/>
      <c r="R51" s="41"/>
      <c r="S51" s="41"/>
      <c r="T51" s="41"/>
      <c r="U51" s="41"/>
      <c r="V51" s="41"/>
      <c r="W51" s="41"/>
      <c r="X51" s="41"/>
      <c r="Y51" s="41"/>
      <c r="Z51" s="41"/>
      <c r="AA51" s="41"/>
      <c r="AB51" s="41"/>
      <c r="AC51" s="41"/>
      <c r="AD51" s="41"/>
      <c r="AE51" s="41"/>
      <c r="AF51" s="41"/>
    </row>
    <row r="53" spans="1:32" hidden="1"/>
    <row r="54" spans="1:32" ht="18.75" hidden="1"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33"/>
      <c r="V54" s="33"/>
      <c r="W54" s="11"/>
      <c r="X54" s="11"/>
      <c r="Y54" s="31"/>
      <c r="Z54" s="32"/>
      <c r="AA54" s="32"/>
      <c r="AB54" s="32"/>
      <c r="AC54" s="33"/>
      <c r="AD54" s="33"/>
      <c r="AE54" s="33"/>
      <c r="AF54" s="33"/>
    </row>
    <row r="55" spans="1:32" ht="18.75" hidden="1">
      <c r="C55" s="11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33"/>
      <c r="V55" s="33"/>
      <c r="W55" s="11"/>
      <c r="X55" s="11"/>
      <c r="Y55" s="31"/>
      <c r="Z55" s="32"/>
      <c r="AA55" s="32"/>
      <c r="AB55" s="32"/>
      <c r="AC55" s="33"/>
      <c r="AD55" s="33"/>
      <c r="AE55" s="33"/>
      <c r="AF55" s="33"/>
    </row>
    <row r="56" spans="1:32" s="28" customFormat="1" ht="18.75" hidden="1">
      <c r="A56"/>
      <c r="B56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  <c r="O56" s="11"/>
      <c r="P56" s="11"/>
      <c r="Q56" s="11"/>
      <c r="R56" s="11"/>
      <c r="S56" s="11"/>
      <c r="T56" s="11"/>
      <c r="U56" s="33"/>
      <c r="V56" s="33"/>
      <c r="W56" s="11"/>
      <c r="X56" s="11"/>
      <c r="Y56" s="31"/>
      <c r="Z56" s="32"/>
      <c r="AA56" s="32"/>
      <c r="AB56" s="32"/>
      <c r="AC56" s="33"/>
      <c r="AD56" s="33"/>
      <c r="AE56" s="33"/>
      <c r="AF56" s="33"/>
    </row>
    <row r="57" spans="1:32" s="28" customFormat="1" hidden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</row>
    <row r="58" spans="1:32" s="28" customFormat="1" hidden="1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</row>
    <row r="59" spans="1:32" s="28" customFormat="1" hidden="1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</row>
  </sheetData>
  <mergeCells count="7">
    <mergeCell ref="A45:B45"/>
    <mergeCell ref="A44:B44"/>
    <mergeCell ref="A9:B9"/>
    <mergeCell ref="A17:B17"/>
    <mergeCell ref="A25:B25"/>
    <mergeCell ref="A33:B33"/>
    <mergeCell ref="A41:B41"/>
  </mergeCells>
  <conditionalFormatting sqref="Y54:AB56 Y10:AA16 Y2:AB8 Y18:AB24 Y26:AB32 Y34:AA40">
    <cfRule type="cellIs" dxfId="79" priority="31" operator="lessThan">
      <formula>0</formula>
    </cfRule>
    <cfRule type="cellIs" dxfId="78" priority="32" operator="greaterThan">
      <formula>0</formula>
    </cfRule>
  </conditionalFormatting>
  <conditionalFormatting sqref="Y54:AC56 AC10:AC16 Y10:AA16 Y2:AC8 Y18:AC24 Y26:AC32 Y34:AA40 AC34:AC40">
    <cfRule type="cellIs" dxfId="77" priority="28" operator="equal">
      <formula>0</formula>
    </cfRule>
    <cfRule type="cellIs" dxfId="76" priority="29" operator="lessThan">
      <formula>0</formula>
    </cfRule>
    <cfRule type="cellIs" dxfId="75" priority="30" operator="greaterThan">
      <formula>0</formula>
    </cfRule>
  </conditionalFormatting>
  <conditionalFormatting sqref="AF18:AF24 AF26:AF32 AF10:AF16 AF2:AF8 AF34:AF40">
    <cfRule type="cellIs" dxfId="74" priority="25" operator="equal">
      <formula>0</formula>
    </cfRule>
    <cfRule type="cellIs" dxfId="73" priority="26" operator="lessThan">
      <formula>0</formula>
    </cfRule>
    <cfRule type="cellIs" dxfId="72" priority="27" operator="greaterThan">
      <formula>0</formula>
    </cfRule>
  </conditionalFormatting>
  <conditionalFormatting sqref="Y42:AB43">
    <cfRule type="cellIs" dxfId="71" priority="23" operator="lessThan">
      <formula>0</formula>
    </cfRule>
    <cfRule type="cellIs" dxfId="70" priority="24" operator="greaterThan">
      <formula>0</formula>
    </cfRule>
  </conditionalFormatting>
  <conditionalFormatting sqref="Y42:AC43">
    <cfRule type="cellIs" dxfId="69" priority="20" operator="equal">
      <formula>0</formula>
    </cfRule>
    <cfRule type="cellIs" dxfId="68" priority="21" operator="lessThan">
      <formula>0</formula>
    </cfRule>
    <cfRule type="cellIs" dxfId="67" priority="22" operator="greaterThan">
      <formula>0</formula>
    </cfRule>
  </conditionalFormatting>
  <conditionalFormatting sqref="AF42:AF43">
    <cfRule type="cellIs" dxfId="66" priority="17" operator="equal">
      <formula>0</formula>
    </cfRule>
    <cfRule type="cellIs" dxfId="65" priority="18" operator="lessThan">
      <formula>0</formula>
    </cfRule>
    <cfRule type="cellIs" dxfId="64" priority="19" operator="greaterThan">
      <formula>0</formula>
    </cfRule>
  </conditionalFormatting>
  <conditionalFormatting sqref="Z7:AC7">
    <cfRule type="cellIs" dxfId="63" priority="15" operator="lessThan">
      <formula>0</formula>
    </cfRule>
    <cfRule type="cellIs" dxfId="62" priority="16" operator="greaterThan">
      <formula>0</formula>
    </cfRule>
  </conditionalFormatting>
  <conditionalFormatting sqref="Z7:AD7">
    <cfRule type="cellIs" dxfId="61" priority="12" operator="equal">
      <formula>0</formula>
    </cfRule>
    <cfRule type="cellIs" dxfId="60" priority="13" operator="lessThan">
      <formula>0</formula>
    </cfRule>
    <cfRule type="cellIs" dxfId="59" priority="14" operator="greaterThan">
      <formula>0</formula>
    </cfRule>
  </conditionalFormatting>
  <conditionalFormatting sqref="AG7">
    <cfRule type="cellIs" dxfId="58" priority="9" operator="equal">
      <formula>0</formula>
    </cfRule>
    <cfRule type="cellIs" dxfId="57" priority="10" operator="lessThan">
      <formula>0</formula>
    </cfRule>
    <cfRule type="cellIs" dxfId="56" priority="11" operator="greaterThan">
      <formula>0</formula>
    </cfRule>
  </conditionalFormatting>
  <conditionalFormatting sqref="Y7:AB7">
    <cfRule type="cellIs" dxfId="55" priority="7" operator="lessThan">
      <formula>0</formula>
    </cfRule>
    <cfRule type="cellIs" dxfId="54" priority="8" operator="greaterThan">
      <formula>0</formula>
    </cfRule>
  </conditionalFormatting>
  <conditionalFormatting sqref="Y7:AC7">
    <cfRule type="cellIs" dxfId="53" priority="4" operator="equal">
      <formula>0</formula>
    </cfRule>
    <cfRule type="cellIs" dxfId="52" priority="5" operator="lessThan">
      <formula>0</formula>
    </cfRule>
    <cfRule type="cellIs" dxfId="51" priority="6" operator="greaterThan">
      <formula>0</formula>
    </cfRule>
  </conditionalFormatting>
  <conditionalFormatting sqref="AF7">
    <cfRule type="cellIs" dxfId="50" priority="1" operator="equal">
      <formula>0</formula>
    </cfRule>
    <cfRule type="cellIs" dxfId="49" priority="2" operator="lessThan">
      <formula>0</formula>
    </cfRule>
    <cfRule type="cellIs" dxfId="48" priority="3" operator="greaterThan">
      <formula>0</formula>
    </cfRule>
  </conditionalFormatting>
  <pageMargins left="0.7" right="0.7" top="0.75" bottom="0.75" header="0.3" footer="0.3"/>
  <pageSetup paperSize="9" orientation="portrait" r:id="rId1"/>
  <ignoredErrors>
    <ignoredError sqref="I33 K33 I25 K25 Y41:AC41 Y33:AC33 Y25:AC25 Z17:AC17 Y9:AC9 I41 K41 I17 K17 I9 K9 AF9 AF17 AF25 AF33" formula="1"/>
    <ignoredError sqref="V25" formulaRange="1"/>
  </ignoredErrors>
</worksheet>
</file>

<file path=xl/worksheets/sheet31.xml><?xml version="1.0" encoding="utf-8"?>
<worksheet xmlns="http://schemas.openxmlformats.org/spreadsheetml/2006/main" xmlns:r="http://schemas.openxmlformats.org/officeDocument/2006/relationships">
  <dimension ref="A1:AF53"/>
  <sheetViews>
    <sheetView zoomScale="60" zoomScaleNormal="60" workbookViewId="0">
      <pane ySplit="1" topLeftCell="A14" activePane="bottomLeft" state="frozen"/>
      <selection pane="bottomLeft" activeCell="K37" sqref="K37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0" width="13.42578125" customWidth="1"/>
    <col min="11" max="12" width="14.7109375" customWidth="1"/>
    <col min="13" max="14" width="14" customWidth="1"/>
    <col min="15" max="15" width="15.7109375" customWidth="1"/>
    <col min="16" max="16" width="16.42578125" customWidth="1"/>
    <col min="17" max="19" width="15.5703125" customWidth="1"/>
    <col min="20" max="20" width="13.85546875" customWidth="1"/>
    <col min="21" max="21" width="13.5703125" customWidth="1"/>
    <col min="22" max="22" width="14.28515625" customWidth="1"/>
    <col min="23" max="23" width="13" customWidth="1"/>
    <col min="24" max="24" width="14.85546875" customWidth="1"/>
    <col min="25" max="25" width="15.85546875" customWidth="1"/>
    <col min="26" max="28" width="16.5703125" customWidth="1"/>
    <col min="29" max="29" width="14" customWidth="1"/>
    <col min="30" max="30" width="13" customWidth="1"/>
    <col min="31" max="31" width="14.85546875" customWidth="1"/>
    <col min="32" max="32" width="15.5703125" customWidth="1"/>
  </cols>
  <sheetData>
    <row r="1" spans="1:32" ht="64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43</v>
      </c>
      <c r="L1" s="8" t="s">
        <v>44</v>
      </c>
      <c r="M1" s="8" t="s">
        <v>42</v>
      </c>
      <c r="N1" s="8" t="s">
        <v>108</v>
      </c>
      <c r="O1" s="8" t="s">
        <v>96</v>
      </c>
      <c r="P1" s="8" t="s">
        <v>109</v>
      </c>
      <c r="Q1" s="8" t="s">
        <v>110</v>
      </c>
      <c r="R1" s="8" t="s">
        <v>111</v>
      </c>
      <c r="S1" s="8" t="s">
        <v>107</v>
      </c>
      <c r="T1" s="8" t="s">
        <v>9</v>
      </c>
      <c r="U1" s="8" t="s">
        <v>10</v>
      </c>
      <c r="V1" s="8" t="s">
        <v>11</v>
      </c>
      <c r="W1" s="8" t="s">
        <v>12</v>
      </c>
      <c r="X1" s="8" t="s">
        <v>13</v>
      </c>
      <c r="Y1" s="8" t="s">
        <v>14</v>
      </c>
      <c r="Z1" s="8" t="s">
        <v>34</v>
      </c>
      <c r="AA1" s="23" t="s">
        <v>94</v>
      </c>
      <c r="AB1" s="23" t="s">
        <v>95</v>
      </c>
      <c r="AC1" s="23" t="s">
        <v>39</v>
      </c>
      <c r="AD1" s="23" t="s">
        <v>40</v>
      </c>
      <c r="AE1" s="23" t="s">
        <v>78</v>
      </c>
      <c r="AF1" s="23" t="s">
        <v>79</v>
      </c>
    </row>
    <row r="2" spans="1:32" ht="20.25" customHeight="1">
      <c r="A2" s="9">
        <v>45229</v>
      </c>
      <c r="B2" s="10" t="s">
        <v>23</v>
      </c>
      <c r="C2" s="11">
        <v>10372.98</v>
      </c>
      <c r="D2" s="11">
        <v>3072.74</v>
      </c>
      <c r="E2" s="11">
        <v>6</v>
      </c>
      <c r="F2" s="11">
        <v>113</v>
      </c>
      <c r="G2" s="11">
        <v>237.5</v>
      </c>
      <c r="H2" s="11">
        <v>85</v>
      </c>
      <c r="I2" s="11">
        <f>SUM(C2:H2,U2)</f>
        <v>13907.22</v>
      </c>
      <c r="J2" s="11">
        <v>2596.5</v>
      </c>
      <c r="K2" s="11">
        <f>SUM(L2:S2)</f>
        <v>11183.219999999998</v>
      </c>
      <c r="L2" s="11">
        <f>1546.15+2840.06+5284.57</f>
        <v>9670.7799999999988</v>
      </c>
      <c r="M2" s="11">
        <v>229.9</v>
      </c>
      <c r="N2" s="11">
        <v>0</v>
      </c>
      <c r="O2" s="11">
        <v>0</v>
      </c>
      <c r="P2" s="11">
        <v>289.08999999999997</v>
      </c>
      <c r="Q2" s="11">
        <v>497.34</v>
      </c>
      <c r="R2" s="11">
        <v>467.63</v>
      </c>
      <c r="S2" s="11">
        <v>28.48</v>
      </c>
      <c r="T2" s="11">
        <v>25</v>
      </c>
      <c r="U2" s="33">
        <v>20</v>
      </c>
      <c r="V2" s="33">
        <v>54</v>
      </c>
      <c r="W2" s="11">
        <v>2494</v>
      </c>
      <c r="X2" s="11">
        <v>450</v>
      </c>
      <c r="Y2" s="31">
        <f>SUM(T2,U2,V2,W2)-J2</f>
        <v>-3.5</v>
      </c>
      <c r="Z2" s="32">
        <f t="shared" ref="Z2:Z3" si="0">SUM(J2+K2+AD2+AB2)-(I2)</f>
        <v>-2.500000000001819</v>
      </c>
      <c r="AA2" s="32">
        <f>SUM(G2-AB2)</f>
        <v>117.5</v>
      </c>
      <c r="AB2" s="32">
        <v>120</v>
      </c>
      <c r="AC2" s="33">
        <f>SUM(H2-AD2)</f>
        <v>80</v>
      </c>
      <c r="AD2" s="33">
        <v>5</v>
      </c>
      <c r="AE2" s="33"/>
      <c r="AF2" s="33">
        <f>SUM(AE2-H2)</f>
        <v>-85</v>
      </c>
    </row>
    <row r="3" spans="1:32" ht="20.25" customHeight="1">
      <c r="A3" s="9">
        <v>45230</v>
      </c>
      <c r="B3" s="10" t="s">
        <v>24</v>
      </c>
      <c r="C3" s="11">
        <v>9254.9599999999991</v>
      </c>
      <c r="D3" s="11">
        <v>3797.89</v>
      </c>
      <c r="E3" s="11">
        <v>20</v>
      </c>
      <c r="F3" s="11">
        <v>46</v>
      </c>
      <c r="G3" s="11">
        <v>25</v>
      </c>
      <c r="H3" s="11">
        <v>127.5</v>
      </c>
      <c r="I3" s="11">
        <f>SUM(C3:H3,U3)</f>
        <v>13356.349999999999</v>
      </c>
      <c r="J3" s="11">
        <v>2433</v>
      </c>
      <c r="K3" s="11">
        <f>SUM(L3:S3)</f>
        <v>10868.35</v>
      </c>
      <c r="L3" s="11">
        <f>1167+3117.2+5546.77</f>
        <v>9830.9700000000012</v>
      </c>
      <c r="M3" s="11">
        <v>130</v>
      </c>
      <c r="N3" s="11">
        <v>0</v>
      </c>
      <c r="O3" s="11">
        <v>0</v>
      </c>
      <c r="P3" s="11">
        <v>51.18</v>
      </c>
      <c r="Q3" s="11">
        <v>518.72</v>
      </c>
      <c r="R3" s="11">
        <f>132.54+20+35.63</f>
        <v>188.17</v>
      </c>
      <c r="S3" s="11">
        <v>149.31</v>
      </c>
      <c r="T3" s="11">
        <v>0</v>
      </c>
      <c r="U3" s="33">
        <v>85</v>
      </c>
      <c r="V3" s="33">
        <v>9</v>
      </c>
      <c r="W3" s="11">
        <v>2347</v>
      </c>
      <c r="X3" s="11">
        <v>450</v>
      </c>
      <c r="Y3" s="31">
        <f>SUM(T3,U3,V3,W3)-J3</f>
        <v>8</v>
      </c>
      <c r="Z3" s="32">
        <f t="shared" si="0"/>
        <v>0</v>
      </c>
      <c r="AA3" s="32">
        <f>SUM(G3-AB3)</f>
        <v>0</v>
      </c>
      <c r="AB3" s="32">
        <v>25</v>
      </c>
      <c r="AC3" s="33">
        <f>SUM(H3-AD3)</f>
        <v>97.5</v>
      </c>
      <c r="AD3" s="33">
        <v>30</v>
      </c>
      <c r="AE3" s="33"/>
      <c r="AF3" s="33">
        <f>SUM(AE3-H3)</f>
        <v>-127.5</v>
      </c>
    </row>
    <row r="4" spans="1:32" ht="20.25" customHeight="1">
      <c r="A4" s="9">
        <v>45231</v>
      </c>
      <c r="B4" s="10" t="s">
        <v>25</v>
      </c>
      <c r="C4" s="11">
        <v>9883.07</v>
      </c>
      <c r="D4" s="11">
        <v>3268.57</v>
      </c>
      <c r="E4" s="11">
        <v>33</v>
      </c>
      <c r="F4" s="11">
        <v>109</v>
      </c>
      <c r="G4" s="11">
        <v>36</v>
      </c>
      <c r="H4" s="11">
        <v>590</v>
      </c>
      <c r="I4" s="11">
        <f t="shared" ref="I4:I8" si="1">SUM(C4:H4,U4)</f>
        <v>13924.64</v>
      </c>
      <c r="J4" s="11">
        <f>2656.95-49.5</f>
        <v>2607.4499999999998</v>
      </c>
      <c r="K4" s="11">
        <f t="shared" ref="K4:K7" si="2">SUM(L4:S4)</f>
        <v>10921.19</v>
      </c>
      <c r="L4" s="11">
        <f>724.94+3098.28+5729.8</f>
        <v>9553.02</v>
      </c>
      <c r="M4" s="11">
        <v>50.53</v>
      </c>
      <c r="N4" s="11">
        <v>0</v>
      </c>
      <c r="O4" s="11">
        <v>0</v>
      </c>
      <c r="P4" s="11">
        <v>125.92</v>
      </c>
      <c r="Q4" s="11">
        <f>794.42</f>
        <v>794.42</v>
      </c>
      <c r="R4" s="11">
        <f>41.53+114.62+185.49</f>
        <v>341.64</v>
      </c>
      <c r="S4" s="11">
        <v>55.66</v>
      </c>
      <c r="T4" s="11">
        <v>253.77</v>
      </c>
      <c r="U4" s="33">
        <v>5</v>
      </c>
      <c r="V4" s="33">
        <v>32</v>
      </c>
      <c r="W4" s="11">
        <v>2305</v>
      </c>
      <c r="X4" s="11">
        <v>450</v>
      </c>
      <c r="Y4" s="31">
        <f t="shared" ref="Y4:Y8" si="3">SUM(T4,U4,V4,W4)-J4</f>
        <v>-11.679999999999836</v>
      </c>
      <c r="Z4" s="32">
        <f t="shared" ref="Z4:Z7" si="4">SUM(J4+K4+AD4+AB4)-(I4)</f>
        <v>0</v>
      </c>
      <c r="AA4" s="32">
        <f t="shared" ref="AA4:AA8" si="5">SUM(G4-AB4)</f>
        <v>0</v>
      </c>
      <c r="AB4" s="32">
        <v>36</v>
      </c>
      <c r="AC4" s="33">
        <f t="shared" ref="AC4:AC8" si="6">SUM(H4-AD4)</f>
        <v>230</v>
      </c>
      <c r="AD4" s="33">
        <v>360</v>
      </c>
      <c r="AE4" s="33"/>
      <c r="AF4" s="33">
        <f t="shared" ref="AF4:AF8" si="7">SUM(AE4-H4)</f>
        <v>-590</v>
      </c>
    </row>
    <row r="5" spans="1:32" ht="20.25" customHeight="1">
      <c r="A5" s="9">
        <v>45232</v>
      </c>
      <c r="B5" s="10" t="s">
        <v>26</v>
      </c>
      <c r="C5" s="11">
        <v>10227.700000000001</v>
      </c>
      <c r="D5" s="11">
        <v>3571.98</v>
      </c>
      <c r="E5" s="11">
        <v>0</v>
      </c>
      <c r="F5" s="11">
        <v>97</v>
      </c>
      <c r="G5" s="11">
        <v>100</v>
      </c>
      <c r="H5" s="11">
        <v>23</v>
      </c>
      <c r="I5" s="11">
        <f t="shared" si="1"/>
        <v>14149.68</v>
      </c>
      <c r="J5" s="11">
        <v>2162.61</v>
      </c>
      <c r="K5" s="69">
        <f t="shared" si="2"/>
        <v>11739.750000000002</v>
      </c>
      <c r="L5" s="11">
        <f>1206.83+3988.72+5575.38</f>
        <v>10770.93</v>
      </c>
      <c r="M5" s="11">
        <v>29.44</v>
      </c>
      <c r="N5" s="11">
        <v>0</v>
      </c>
      <c r="O5" s="11">
        <v>60.97</v>
      </c>
      <c r="P5" s="11">
        <v>67.150000000000006</v>
      </c>
      <c r="Q5" s="11">
        <v>268.61</v>
      </c>
      <c r="R5" s="11">
        <v>315.62</v>
      </c>
      <c r="S5" s="11">
        <v>227.03</v>
      </c>
      <c r="T5" s="11">
        <v>1280.6600000000001</v>
      </c>
      <c r="U5" s="33">
        <v>130</v>
      </c>
      <c r="V5" s="33">
        <v>59</v>
      </c>
      <c r="W5" s="11">
        <v>674</v>
      </c>
      <c r="X5" s="11">
        <v>450</v>
      </c>
      <c r="Y5" s="31">
        <f t="shared" si="3"/>
        <v>-18.950000000000273</v>
      </c>
      <c r="Z5" s="32">
        <f t="shared" si="4"/>
        <v>-219.31999999999789</v>
      </c>
      <c r="AA5" s="32">
        <f t="shared" si="5"/>
        <v>80</v>
      </c>
      <c r="AB5" s="32">
        <v>20</v>
      </c>
      <c r="AC5" s="33">
        <f t="shared" si="6"/>
        <v>15</v>
      </c>
      <c r="AD5" s="33">
        <v>8</v>
      </c>
      <c r="AE5" s="33"/>
      <c r="AF5" s="33">
        <f t="shared" si="7"/>
        <v>-23</v>
      </c>
    </row>
    <row r="6" spans="1:32" ht="20.25" customHeight="1">
      <c r="A6" s="9">
        <v>45233</v>
      </c>
      <c r="B6" s="10" t="s">
        <v>20</v>
      </c>
      <c r="C6" s="11">
        <v>9885.4500000000007</v>
      </c>
      <c r="D6" s="11">
        <v>5052.8</v>
      </c>
      <c r="E6" s="11">
        <v>48</v>
      </c>
      <c r="F6" s="11">
        <v>71</v>
      </c>
      <c r="G6" s="11">
        <v>180</v>
      </c>
      <c r="H6" s="11">
        <v>125</v>
      </c>
      <c r="I6" s="11">
        <f t="shared" si="1"/>
        <v>15362.25</v>
      </c>
      <c r="J6" s="11">
        <v>2684.97</v>
      </c>
      <c r="K6" s="69">
        <f t="shared" si="2"/>
        <v>12467.279999999999</v>
      </c>
      <c r="L6" s="11">
        <f>787.22+4019.92+6491.77</f>
        <v>11298.91</v>
      </c>
      <c r="M6" s="11">
        <v>37.89</v>
      </c>
      <c r="N6" s="11">
        <v>0</v>
      </c>
      <c r="O6" s="11">
        <v>0</v>
      </c>
      <c r="P6" s="11">
        <v>49</v>
      </c>
      <c r="Q6" s="11">
        <v>554.66999999999996</v>
      </c>
      <c r="R6" s="11">
        <v>378.16</v>
      </c>
      <c r="S6" s="11">
        <v>148.65</v>
      </c>
      <c r="T6" s="11">
        <v>636.02</v>
      </c>
      <c r="U6" s="33">
        <v>0</v>
      </c>
      <c r="V6" s="33">
        <v>80</v>
      </c>
      <c r="W6" s="11">
        <v>1973</v>
      </c>
      <c r="X6" s="11">
        <v>450</v>
      </c>
      <c r="Y6" s="31">
        <f t="shared" si="3"/>
        <v>4.0500000000001819</v>
      </c>
      <c r="Z6" s="32">
        <f t="shared" si="4"/>
        <v>0</v>
      </c>
      <c r="AA6" s="32">
        <f t="shared" si="5"/>
        <v>70</v>
      </c>
      <c r="AB6" s="32">
        <v>110</v>
      </c>
      <c r="AC6" s="33">
        <f t="shared" si="6"/>
        <v>25</v>
      </c>
      <c r="AD6" s="33">
        <v>100</v>
      </c>
      <c r="AE6" s="33"/>
      <c r="AF6" s="33">
        <f t="shared" si="7"/>
        <v>-125</v>
      </c>
    </row>
    <row r="7" spans="1:32" ht="20.25" customHeight="1">
      <c r="A7" s="9">
        <v>45234</v>
      </c>
      <c r="B7" s="10" t="s">
        <v>21</v>
      </c>
      <c r="C7" s="11">
        <v>7582.37</v>
      </c>
      <c r="D7" s="11">
        <v>4428.67</v>
      </c>
      <c r="E7" s="11">
        <v>18</v>
      </c>
      <c r="F7" s="11">
        <v>112</v>
      </c>
      <c r="G7" s="11">
        <v>25</v>
      </c>
      <c r="H7" s="11">
        <v>130</v>
      </c>
      <c r="I7" s="11">
        <f>SUM(C7:H7,U7)</f>
        <v>12312.04</v>
      </c>
      <c r="J7" s="11">
        <f>2429.44-20.46</f>
        <v>2408.98</v>
      </c>
      <c r="K7" s="69">
        <f t="shared" si="2"/>
        <v>9833.06</v>
      </c>
      <c r="L7" s="11">
        <f>813.94+3276.23+4697.75</f>
        <v>8787.92</v>
      </c>
      <c r="M7" s="11">
        <v>140.18</v>
      </c>
      <c r="N7" s="11">
        <v>0</v>
      </c>
      <c r="O7" s="11">
        <v>80.05</v>
      </c>
      <c r="P7" s="11">
        <v>159.69999999999999</v>
      </c>
      <c r="Q7" s="11">
        <v>369.21</v>
      </c>
      <c r="R7" s="11">
        <v>146.72999999999999</v>
      </c>
      <c r="S7" s="11">
        <v>149.27000000000001</v>
      </c>
      <c r="T7" s="11">
        <v>0</v>
      </c>
      <c r="U7" s="33">
        <v>16</v>
      </c>
      <c r="V7" s="33">
        <v>95</v>
      </c>
      <c r="W7" s="11">
        <v>2300</v>
      </c>
      <c r="X7" s="11">
        <v>450</v>
      </c>
      <c r="Y7" s="31">
        <f>SUM(T7,U7,V7,W7)-J7</f>
        <v>2.0199999999999818</v>
      </c>
      <c r="Z7" s="32">
        <f t="shared" si="4"/>
        <v>0</v>
      </c>
      <c r="AA7" s="32">
        <f>SUM(G7-AB7)</f>
        <v>25</v>
      </c>
      <c r="AB7" s="32">
        <v>0</v>
      </c>
      <c r="AC7" s="33">
        <f>SUM(H7-AD7)</f>
        <v>60</v>
      </c>
      <c r="AD7" s="33">
        <v>70</v>
      </c>
      <c r="AE7" s="33"/>
      <c r="AF7" s="33">
        <f>SUM(AE7-H7)</f>
        <v>-130</v>
      </c>
    </row>
    <row r="8" spans="1:32" ht="18.75">
      <c r="A8" s="9">
        <v>45235</v>
      </c>
      <c r="B8" s="10" t="s">
        <v>22</v>
      </c>
      <c r="C8" s="11">
        <v>7787.12</v>
      </c>
      <c r="D8" s="11">
        <v>4960.04</v>
      </c>
      <c r="E8" s="11">
        <v>0</v>
      </c>
      <c r="F8" s="11">
        <v>66</v>
      </c>
      <c r="G8" s="11">
        <v>120</v>
      </c>
      <c r="H8" s="11">
        <v>115</v>
      </c>
      <c r="I8" s="11">
        <f t="shared" si="1"/>
        <v>13103.16</v>
      </c>
      <c r="J8" s="11">
        <v>2949.5</v>
      </c>
      <c r="K8" s="69">
        <f t="shared" ref="K8" si="8">SUM(L8:S8)</f>
        <v>10143.66</v>
      </c>
      <c r="L8" s="11">
        <f>935.9+3507.76+4909.86</f>
        <v>9353.52</v>
      </c>
      <c r="M8" s="11">
        <v>87.32</v>
      </c>
      <c r="N8" s="11">
        <v>0</v>
      </c>
      <c r="O8" s="11">
        <v>0</v>
      </c>
      <c r="P8" s="11">
        <v>0</v>
      </c>
      <c r="Q8" s="11">
        <v>84.81</v>
      </c>
      <c r="R8" s="11">
        <v>208.17</v>
      </c>
      <c r="S8" s="11">
        <v>409.84</v>
      </c>
      <c r="T8" s="11">
        <v>107.6</v>
      </c>
      <c r="U8" s="33">
        <v>55</v>
      </c>
      <c r="V8" s="33">
        <v>76.900000000000006</v>
      </c>
      <c r="W8" s="11">
        <v>2725</v>
      </c>
      <c r="X8" s="11">
        <v>450</v>
      </c>
      <c r="Y8" s="31">
        <f t="shared" si="3"/>
        <v>15</v>
      </c>
      <c r="Z8" s="32">
        <f>SUM(J8+K8+AD8+AB8)-(I8)</f>
        <v>0</v>
      </c>
      <c r="AA8" s="32">
        <f t="shared" si="5"/>
        <v>120</v>
      </c>
      <c r="AB8" s="32">
        <v>0</v>
      </c>
      <c r="AC8" s="33">
        <f t="shared" si="6"/>
        <v>105</v>
      </c>
      <c r="AD8" s="33">
        <v>10</v>
      </c>
      <c r="AE8" s="33">
        <v>5340</v>
      </c>
      <c r="AF8" s="33">
        <f t="shared" si="7"/>
        <v>5225</v>
      </c>
    </row>
    <row r="9" spans="1:32" ht="37.5" customHeight="1">
      <c r="A9" s="65" t="s">
        <v>27</v>
      </c>
      <c r="B9" s="66"/>
      <c r="C9" s="27">
        <f t="shared" ref="C9:AF9" si="9">SUM(C2:C8)</f>
        <v>64993.650000000009</v>
      </c>
      <c r="D9" s="27">
        <f t="shared" si="9"/>
        <v>28152.690000000002</v>
      </c>
      <c r="E9" s="27">
        <f t="shared" si="9"/>
        <v>125</v>
      </c>
      <c r="F9" s="27">
        <f t="shared" si="9"/>
        <v>614</v>
      </c>
      <c r="G9" s="27">
        <f t="shared" si="9"/>
        <v>723.5</v>
      </c>
      <c r="H9" s="27">
        <f t="shared" si="9"/>
        <v>1195.5</v>
      </c>
      <c r="I9" s="27">
        <f t="shared" si="9"/>
        <v>96115.34</v>
      </c>
      <c r="J9" s="27">
        <f t="shared" si="9"/>
        <v>17843.009999999998</v>
      </c>
      <c r="K9" s="27">
        <f t="shared" si="9"/>
        <v>77156.510000000009</v>
      </c>
      <c r="L9" s="27">
        <f t="shared" si="9"/>
        <v>69266.05</v>
      </c>
      <c r="M9" s="27">
        <f t="shared" si="9"/>
        <v>705.26</v>
      </c>
      <c r="N9" s="27">
        <f t="shared" si="9"/>
        <v>0</v>
      </c>
      <c r="O9" s="27">
        <f t="shared" si="9"/>
        <v>141.01999999999998</v>
      </c>
      <c r="P9" s="27">
        <f t="shared" si="9"/>
        <v>742.04</v>
      </c>
      <c r="Q9" s="27">
        <f t="shared" si="9"/>
        <v>3087.78</v>
      </c>
      <c r="R9" s="27">
        <f t="shared" si="9"/>
        <v>2046.1200000000001</v>
      </c>
      <c r="S9" s="27">
        <f t="shared" si="9"/>
        <v>1168.24</v>
      </c>
      <c r="T9" s="27">
        <f t="shared" si="9"/>
        <v>2303.0499999999997</v>
      </c>
      <c r="U9" s="27">
        <f t="shared" si="9"/>
        <v>311</v>
      </c>
      <c r="V9" s="27">
        <f t="shared" si="9"/>
        <v>405.9</v>
      </c>
      <c r="W9" s="27">
        <f t="shared" si="9"/>
        <v>14818</v>
      </c>
      <c r="X9" s="27">
        <f t="shared" si="9"/>
        <v>3150</v>
      </c>
      <c r="Y9" s="27">
        <f t="shared" si="9"/>
        <v>-5.0599999999999454</v>
      </c>
      <c r="Z9" s="27">
        <f t="shared" si="9"/>
        <v>-221.81999999999971</v>
      </c>
      <c r="AA9" s="27">
        <f t="shared" si="9"/>
        <v>412.5</v>
      </c>
      <c r="AB9" s="27">
        <f t="shared" si="9"/>
        <v>311</v>
      </c>
      <c r="AC9" s="27">
        <f t="shared" si="9"/>
        <v>612.5</v>
      </c>
      <c r="AD9" s="27">
        <f t="shared" si="9"/>
        <v>583</v>
      </c>
      <c r="AE9" s="27">
        <f t="shared" si="9"/>
        <v>5340</v>
      </c>
      <c r="AF9" s="27">
        <f t="shared" si="9"/>
        <v>4144.5</v>
      </c>
    </row>
    <row r="10" spans="1:32" s="35" customFormat="1" ht="18.75">
      <c r="A10" s="9">
        <v>45236</v>
      </c>
      <c r="B10" s="10" t="s">
        <v>23</v>
      </c>
      <c r="C10" s="11">
        <v>9378.2900000000009</v>
      </c>
      <c r="D10" s="11">
        <v>3183.94</v>
      </c>
      <c r="E10" s="11">
        <v>6</v>
      </c>
      <c r="F10" s="11">
        <v>82</v>
      </c>
      <c r="G10" s="11">
        <v>45</v>
      </c>
      <c r="H10" s="11">
        <v>157</v>
      </c>
      <c r="I10" s="11">
        <f t="shared" ref="I10:I16" si="10">SUM(C10:H10,U10)</f>
        <v>12852.230000000001</v>
      </c>
      <c r="J10" s="11">
        <v>2548.37</v>
      </c>
      <c r="K10" s="69">
        <f>SUM(L10:S10)</f>
        <v>10226.960000000001</v>
      </c>
      <c r="L10" s="11">
        <f>869.13+2930.35+5311.04</f>
        <v>9110.52</v>
      </c>
      <c r="M10" s="11">
        <v>49.39</v>
      </c>
      <c r="N10" s="11">
        <v>0</v>
      </c>
      <c r="O10" s="11">
        <v>0</v>
      </c>
      <c r="P10" s="11">
        <v>106.32</v>
      </c>
      <c r="Q10" s="11">
        <v>301.27999999999997</v>
      </c>
      <c r="R10" s="11">
        <v>650.45000000000005</v>
      </c>
      <c r="S10" s="11">
        <v>9</v>
      </c>
      <c r="T10" s="11">
        <v>414.95</v>
      </c>
      <c r="U10" s="33">
        <v>0</v>
      </c>
      <c r="V10" s="33">
        <v>14</v>
      </c>
      <c r="W10" s="11">
        <v>2135</v>
      </c>
      <c r="X10" s="11">
        <v>450</v>
      </c>
      <c r="Y10" s="31">
        <f t="shared" ref="Y10:Y15" si="11">SUM(T10,U10,V10,W10)-J10</f>
        <v>15.579999999999927</v>
      </c>
      <c r="Z10" s="32">
        <f t="shared" ref="Z10:Z16" si="12">SUM(J10+K10+AD10+AB10)-(I10)</f>
        <v>0.1000000000003638</v>
      </c>
      <c r="AA10" s="32">
        <f t="shared" ref="AA10:AA16" si="13">SUM(G10-AB10)</f>
        <v>45</v>
      </c>
      <c r="AB10" s="33">
        <v>0</v>
      </c>
      <c r="AC10" s="33">
        <f t="shared" ref="AC10:AC16" si="14">SUM(H10-AD10)</f>
        <v>80</v>
      </c>
      <c r="AD10" s="33">
        <f>52+25</f>
        <v>77</v>
      </c>
      <c r="AE10" s="33"/>
      <c r="AF10" s="33">
        <f t="shared" ref="AF10:AF16" si="15">SUM(AE10-H10)</f>
        <v>-157</v>
      </c>
    </row>
    <row r="11" spans="1:32" s="35" customFormat="1" ht="18.75">
      <c r="A11" s="9">
        <v>45237</v>
      </c>
      <c r="B11" s="10" t="s">
        <v>24</v>
      </c>
      <c r="C11" s="11">
        <v>9965.8700000000008</v>
      </c>
      <c r="D11" s="11">
        <v>3436.92</v>
      </c>
      <c r="E11" s="11">
        <v>18</v>
      </c>
      <c r="F11" s="11">
        <v>52</v>
      </c>
      <c r="G11" s="11">
        <v>95</v>
      </c>
      <c r="H11" s="11">
        <v>285</v>
      </c>
      <c r="I11" s="11">
        <f t="shared" si="10"/>
        <v>13982.79</v>
      </c>
      <c r="J11" s="11">
        <v>2209.0100000000002</v>
      </c>
      <c r="K11" s="69">
        <f>SUM(L11:S11)</f>
        <v>11398.779999999999</v>
      </c>
      <c r="L11" s="11">
        <f>950.47+3483.66+5633.79</f>
        <v>10067.92</v>
      </c>
      <c r="M11" s="11">
        <v>126.27</v>
      </c>
      <c r="N11" s="11">
        <v>0</v>
      </c>
      <c r="O11" s="11">
        <v>0</v>
      </c>
      <c r="P11" s="11">
        <v>30.38</v>
      </c>
      <c r="Q11" s="11">
        <v>771.84</v>
      </c>
      <c r="R11" s="11">
        <v>368.41</v>
      </c>
      <c r="S11" s="11">
        <v>33.96</v>
      </c>
      <c r="T11" s="11">
        <v>0</v>
      </c>
      <c r="U11" s="33">
        <v>130</v>
      </c>
      <c r="V11" s="33">
        <v>72</v>
      </c>
      <c r="W11" s="11">
        <f>1550+458</f>
        <v>2008</v>
      </c>
      <c r="X11" s="11">
        <v>450</v>
      </c>
      <c r="Y11" s="31">
        <f t="shared" si="11"/>
        <v>0.98999999999978172</v>
      </c>
      <c r="Z11" s="32">
        <f t="shared" si="12"/>
        <v>0</v>
      </c>
      <c r="AA11" s="32">
        <f t="shared" si="13"/>
        <v>0</v>
      </c>
      <c r="AB11" s="33">
        <v>95</v>
      </c>
      <c r="AC11" s="33">
        <f t="shared" si="14"/>
        <v>5</v>
      </c>
      <c r="AD11" s="33">
        <v>280</v>
      </c>
      <c r="AE11" s="33"/>
      <c r="AF11" s="33">
        <f t="shared" si="15"/>
        <v>-285</v>
      </c>
    </row>
    <row r="12" spans="1:32" s="35" customFormat="1" ht="18.75">
      <c r="A12" s="9">
        <v>45238</v>
      </c>
      <c r="B12" s="10" t="s">
        <v>25</v>
      </c>
      <c r="C12" s="11">
        <v>10556.6</v>
      </c>
      <c r="D12" s="11">
        <v>3559.33</v>
      </c>
      <c r="E12" s="11">
        <v>13.5</v>
      </c>
      <c r="F12" s="11">
        <v>69</v>
      </c>
      <c r="G12" s="11">
        <v>35</v>
      </c>
      <c r="H12" s="11">
        <v>254</v>
      </c>
      <c r="I12" s="11">
        <f t="shared" si="10"/>
        <v>14549.43</v>
      </c>
      <c r="J12" s="11">
        <v>2516.9699999999998</v>
      </c>
      <c r="K12" s="69">
        <f t="shared" ref="K12:K16" si="16">SUM(L12:S12)</f>
        <v>11798.46</v>
      </c>
      <c r="L12" s="11">
        <f>892.21+3913.93+5846.76</f>
        <v>10652.9</v>
      </c>
      <c r="M12" s="11">
        <v>0</v>
      </c>
      <c r="N12" s="11">
        <v>100.16</v>
      </c>
      <c r="O12" s="11">
        <v>0</v>
      </c>
      <c r="P12" s="11">
        <v>130.35</v>
      </c>
      <c r="Q12" s="11">
        <v>529.73</v>
      </c>
      <c r="R12" s="11">
        <f>251.86+80.06</f>
        <v>331.92</v>
      </c>
      <c r="S12" s="11">
        <v>53.4</v>
      </c>
      <c r="T12" s="11">
        <v>605.62</v>
      </c>
      <c r="U12" s="33">
        <v>62</v>
      </c>
      <c r="V12" s="33">
        <v>67</v>
      </c>
      <c r="W12" s="11">
        <v>1785</v>
      </c>
      <c r="X12" s="11">
        <v>450</v>
      </c>
      <c r="Y12" s="31">
        <f t="shared" si="11"/>
        <v>2.6500000000000909</v>
      </c>
      <c r="Z12" s="32">
        <f t="shared" si="12"/>
        <v>0</v>
      </c>
      <c r="AA12" s="32">
        <f t="shared" si="13"/>
        <v>35</v>
      </c>
      <c r="AB12" s="33">
        <v>0</v>
      </c>
      <c r="AC12" s="33">
        <f t="shared" si="14"/>
        <v>20</v>
      </c>
      <c r="AD12" s="33">
        <v>234</v>
      </c>
      <c r="AE12" s="33"/>
      <c r="AF12" s="33">
        <f t="shared" si="15"/>
        <v>-254</v>
      </c>
    </row>
    <row r="13" spans="1:32" s="35" customFormat="1" ht="18.75">
      <c r="A13" s="9">
        <v>45239</v>
      </c>
      <c r="B13" s="10" t="s">
        <v>26</v>
      </c>
      <c r="C13" s="11">
        <v>10805.36</v>
      </c>
      <c r="D13" s="11">
        <v>3662.62</v>
      </c>
      <c r="E13" s="11">
        <v>10</v>
      </c>
      <c r="F13" s="11">
        <v>36</v>
      </c>
      <c r="G13" s="11">
        <v>0</v>
      </c>
      <c r="H13" s="11">
        <v>135</v>
      </c>
      <c r="I13" s="11">
        <f t="shared" si="10"/>
        <v>14664.02</v>
      </c>
      <c r="J13" s="11">
        <v>2898.89</v>
      </c>
      <c r="K13" s="11">
        <f t="shared" si="16"/>
        <v>11590.330000000002</v>
      </c>
      <c r="L13" s="11">
        <f>1070.83+2864.73+6509.96</f>
        <v>10445.52</v>
      </c>
      <c r="M13" s="11">
        <v>2.4900000000000002</v>
      </c>
      <c r="N13" s="11">
        <v>0</v>
      </c>
      <c r="O13" s="11">
        <f>42.02+62.35</f>
        <v>104.37</v>
      </c>
      <c r="P13" s="11">
        <v>159.25</v>
      </c>
      <c r="Q13" s="11">
        <v>312.56</v>
      </c>
      <c r="R13" s="11">
        <f>114.59+370.28</f>
        <v>484.87</v>
      </c>
      <c r="S13" s="11">
        <v>81.27</v>
      </c>
      <c r="T13" s="11">
        <v>200</v>
      </c>
      <c r="U13" s="33">
        <v>15.04</v>
      </c>
      <c r="V13" s="33">
        <v>49</v>
      </c>
      <c r="W13" s="11">
        <v>2636</v>
      </c>
      <c r="X13" s="11">
        <v>450</v>
      </c>
      <c r="Y13" s="31">
        <f t="shared" si="11"/>
        <v>1.1500000000000909</v>
      </c>
      <c r="Z13" s="32">
        <f t="shared" si="12"/>
        <v>-94.799999999999272</v>
      </c>
      <c r="AA13" s="32">
        <f t="shared" si="13"/>
        <v>0</v>
      </c>
      <c r="AB13" s="33">
        <v>0</v>
      </c>
      <c r="AC13" s="33">
        <f t="shared" si="14"/>
        <v>55</v>
      </c>
      <c r="AD13" s="33">
        <v>80</v>
      </c>
      <c r="AE13" s="33"/>
      <c r="AF13" s="33">
        <f t="shared" si="15"/>
        <v>-135</v>
      </c>
    </row>
    <row r="14" spans="1:32" s="35" customFormat="1" ht="18.75">
      <c r="A14" s="9">
        <v>45240</v>
      </c>
      <c r="B14" s="10" t="s">
        <v>20</v>
      </c>
      <c r="C14" s="11">
        <v>12866.02</v>
      </c>
      <c r="D14" s="11">
        <f>5104.04+0.79</f>
        <v>5104.83</v>
      </c>
      <c r="E14" s="11">
        <v>54</v>
      </c>
      <c r="F14" s="11">
        <v>111</v>
      </c>
      <c r="G14" s="11">
        <v>50</v>
      </c>
      <c r="H14" s="11">
        <v>205</v>
      </c>
      <c r="I14" s="11">
        <f t="shared" si="10"/>
        <v>18410.849999999999</v>
      </c>
      <c r="J14" s="43">
        <v>2781.35</v>
      </c>
      <c r="K14" s="11">
        <f t="shared" si="16"/>
        <v>15277.83</v>
      </c>
      <c r="L14" s="11">
        <f>1287.55+4358.04+7323.52</f>
        <v>12969.11</v>
      </c>
      <c r="M14" s="11">
        <v>20.12</v>
      </c>
      <c r="N14" s="11">
        <v>0</v>
      </c>
      <c r="O14" s="11">
        <v>309.07</v>
      </c>
      <c r="P14" s="11">
        <v>54.34</v>
      </c>
      <c r="Q14" s="11">
        <v>760.48</v>
      </c>
      <c r="R14" s="11">
        <v>409.83</v>
      </c>
      <c r="S14" s="11">
        <v>754.88</v>
      </c>
      <c r="T14" s="11">
        <v>127.31</v>
      </c>
      <c r="U14" s="33">
        <v>20</v>
      </c>
      <c r="V14" s="33">
        <v>67</v>
      </c>
      <c r="W14" s="11">
        <v>2578</v>
      </c>
      <c r="X14" s="11">
        <v>450</v>
      </c>
      <c r="Y14" s="31">
        <f t="shared" si="11"/>
        <v>10.960000000000036</v>
      </c>
      <c r="Z14" s="32">
        <f t="shared" si="12"/>
        <v>-250.66999999999825</v>
      </c>
      <c r="AA14" s="32">
        <f t="shared" si="13"/>
        <v>20</v>
      </c>
      <c r="AB14" s="33">
        <v>30</v>
      </c>
      <c r="AC14" s="33">
        <f t="shared" si="14"/>
        <v>134</v>
      </c>
      <c r="AD14" s="33">
        <v>71</v>
      </c>
      <c r="AE14" s="33"/>
      <c r="AF14" s="33">
        <f t="shared" si="15"/>
        <v>-205</v>
      </c>
    </row>
    <row r="15" spans="1:32" s="35" customFormat="1" ht="18.75">
      <c r="A15" s="9">
        <v>45241</v>
      </c>
      <c r="B15" s="10" t="s">
        <v>21</v>
      </c>
      <c r="C15" s="11">
        <v>8925.61</v>
      </c>
      <c r="D15" s="11">
        <v>4363.97</v>
      </c>
      <c r="E15" s="11">
        <v>12</v>
      </c>
      <c r="F15" s="11">
        <v>149</v>
      </c>
      <c r="G15" s="11">
        <v>40</v>
      </c>
      <c r="H15" s="11">
        <v>507.21</v>
      </c>
      <c r="I15" s="11">
        <f t="shared" si="10"/>
        <v>13997.79</v>
      </c>
      <c r="J15" s="11">
        <v>2785.62</v>
      </c>
      <c r="K15" s="69">
        <f t="shared" si="16"/>
        <v>10924.96</v>
      </c>
      <c r="L15" s="11">
        <f>1092.41+3487.53+5825.13</f>
        <v>10405.07</v>
      </c>
      <c r="M15" s="11">
        <v>127.13</v>
      </c>
      <c r="N15" s="11">
        <v>0</v>
      </c>
      <c r="O15" s="11">
        <v>30</v>
      </c>
      <c r="P15" s="11">
        <v>0</v>
      </c>
      <c r="Q15" s="11">
        <v>102.74</v>
      </c>
      <c r="R15" s="11">
        <v>110.76</v>
      </c>
      <c r="S15" s="11">
        <v>149.26</v>
      </c>
      <c r="T15" s="11">
        <v>0</v>
      </c>
      <c r="U15" s="33">
        <v>0</v>
      </c>
      <c r="V15" s="33">
        <v>33</v>
      </c>
      <c r="W15" s="11">
        <v>2754</v>
      </c>
      <c r="X15" s="11">
        <v>450</v>
      </c>
      <c r="Y15" s="31">
        <f t="shared" si="11"/>
        <v>1.3800000000001091</v>
      </c>
      <c r="Z15" s="32">
        <f t="shared" si="12"/>
        <v>0</v>
      </c>
      <c r="AA15" s="32">
        <f t="shared" si="13"/>
        <v>20</v>
      </c>
      <c r="AB15" s="33">
        <v>20</v>
      </c>
      <c r="AC15" s="33">
        <f t="shared" si="14"/>
        <v>240</v>
      </c>
      <c r="AD15" s="33">
        <v>267.20999999999998</v>
      </c>
      <c r="AE15" s="33"/>
      <c r="AF15" s="33">
        <f t="shared" si="15"/>
        <v>-507.21</v>
      </c>
    </row>
    <row r="16" spans="1:32" s="35" customFormat="1" ht="18.75">
      <c r="A16" s="9">
        <v>45242</v>
      </c>
      <c r="B16" s="10" t="s">
        <v>22</v>
      </c>
      <c r="C16" s="11">
        <v>7165.93</v>
      </c>
      <c r="D16" s="11">
        <v>3376.9</v>
      </c>
      <c r="E16" s="11">
        <v>6</v>
      </c>
      <c r="F16" s="11">
        <v>151</v>
      </c>
      <c r="G16" s="11">
        <v>290</v>
      </c>
      <c r="H16" s="11">
        <v>85</v>
      </c>
      <c r="I16" s="11">
        <f t="shared" si="10"/>
        <v>11084.83</v>
      </c>
      <c r="J16" s="11">
        <v>2032.89</v>
      </c>
      <c r="K16" s="69">
        <f t="shared" si="16"/>
        <v>8966.94</v>
      </c>
      <c r="L16" s="11">
        <f>866.5+3235.63+4437.45</f>
        <v>8539.58</v>
      </c>
      <c r="M16" s="11">
        <v>18.64</v>
      </c>
      <c r="N16" s="11">
        <v>0</v>
      </c>
      <c r="O16" s="11">
        <v>55.01</v>
      </c>
      <c r="P16" s="11">
        <v>0</v>
      </c>
      <c r="Q16" s="11">
        <v>141.02000000000001</v>
      </c>
      <c r="R16" s="11">
        <v>134.27000000000001</v>
      </c>
      <c r="S16" s="11">
        <v>78.42</v>
      </c>
      <c r="T16" s="11">
        <v>107</v>
      </c>
      <c r="U16" s="33">
        <v>10</v>
      </c>
      <c r="V16" s="33">
        <v>123</v>
      </c>
      <c r="W16" s="11">
        <v>1795</v>
      </c>
      <c r="X16" s="11">
        <v>450</v>
      </c>
      <c r="Y16" s="31">
        <v>2.58</v>
      </c>
      <c r="Z16" s="32">
        <f t="shared" si="12"/>
        <v>0</v>
      </c>
      <c r="AA16" s="32">
        <f t="shared" si="13"/>
        <v>270</v>
      </c>
      <c r="AB16" s="33">
        <v>20</v>
      </c>
      <c r="AC16" s="33">
        <f t="shared" si="14"/>
        <v>20</v>
      </c>
      <c r="AD16" s="33">
        <v>65</v>
      </c>
      <c r="AE16" s="33">
        <v>4170</v>
      </c>
      <c r="AF16" s="33">
        <f t="shared" si="15"/>
        <v>4085</v>
      </c>
    </row>
    <row r="17" spans="1:32" ht="37.5" customHeight="1">
      <c r="A17" s="65" t="s">
        <v>27</v>
      </c>
      <c r="B17" s="66"/>
      <c r="C17" s="27">
        <f>SUM(C10:C16)</f>
        <v>69663.679999999993</v>
      </c>
      <c r="D17" s="27">
        <f t="shared" ref="D17:AF17" si="17">SUM(D10:D16)</f>
        <v>26688.510000000002</v>
      </c>
      <c r="E17" s="27">
        <f t="shared" si="17"/>
        <v>119.5</v>
      </c>
      <c r="F17" s="27">
        <f t="shared" si="17"/>
        <v>650</v>
      </c>
      <c r="G17" s="27">
        <f t="shared" si="17"/>
        <v>555</v>
      </c>
      <c r="H17" s="27">
        <f t="shared" si="17"/>
        <v>1628.21</v>
      </c>
      <c r="I17" s="27">
        <f t="shared" si="17"/>
        <v>99541.940000000017</v>
      </c>
      <c r="J17" s="27">
        <f t="shared" si="17"/>
        <v>17773.099999999999</v>
      </c>
      <c r="K17" s="27">
        <f t="shared" si="17"/>
        <v>80184.260000000009</v>
      </c>
      <c r="L17" s="27">
        <f t="shared" si="17"/>
        <v>72190.62</v>
      </c>
      <c r="M17" s="27">
        <f t="shared" si="17"/>
        <v>344.03999999999996</v>
      </c>
      <c r="N17" s="27">
        <f t="shared" si="17"/>
        <v>100.16</v>
      </c>
      <c r="O17" s="27">
        <f t="shared" si="17"/>
        <v>498.45</v>
      </c>
      <c r="P17" s="27">
        <f t="shared" si="17"/>
        <v>480.64</v>
      </c>
      <c r="Q17" s="27">
        <f t="shared" si="17"/>
        <v>2919.6499999999996</v>
      </c>
      <c r="R17" s="27">
        <f t="shared" si="17"/>
        <v>2490.5100000000002</v>
      </c>
      <c r="S17" s="27">
        <f t="shared" si="17"/>
        <v>1160.19</v>
      </c>
      <c r="T17" s="27">
        <f t="shared" si="17"/>
        <v>1454.8799999999999</v>
      </c>
      <c r="U17" s="27">
        <f t="shared" si="17"/>
        <v>237.04</v>
      </c>
      <c r="V17" s="27">
        <v>22</v>
      </c>
      <c r="W17" s="27">
        <f t="shared" si="17"/>
        <v>15691</v>
      </c>
      <c r="X17" s="27">
        <f t="shared" si="17"/>
        <v>3150</v>
      </c>
      <c r="Y17" s="27">
        <f t="shared" si="17"/>
        <v>35.290000000000035</v>
      </c>
      <c r="Z17" s="27">
        <f t="shared" si="17"/>
        <v>-345.36999999999716</v>
      </c>
      <c r="AA17" s="27">
        <f t="shared" si="17"/>
        <v>390</v>
      </c>
      <c r="AB17" s="27">
        <f t="shared" si="17"/>
        <v>165</v>
      </c>
      <c r="AC17" s="27">
        <f t="shared" si="17"/>
        <v>554</v>
      </c>
      <c r="AD17" s="27">
        <f t="shared" si="17"/>
        <v>1074.21</v>
      </c>
      <c r="AE17" s="27">
        <f>SUM(AE10:AE16)</f>
        <v>4170</v>
      </c>
      <c r="AF17" s="27">
        <f t="shared" si="17"/>
        <v>2541.79</v>
      </c>
    </row>
    <row r="18" spans="1:32" s="35" customFormat="1" ht="18.75">
      <c r="A18" s="9">
        <v>45243</v>
      </c>
      <c r="B18" s="10" t="s">
        <v>23</v>
      </c>
      <c r="C18" s="11">
        <v>6288.59</v>
      </c>
      <c r="D18" s="11">
        <v>3135.27</v>
      </c>
      <c r="E18" s="11">
        <v>1.5</v>
      </c>
      <c r="F18" s="11">
        <v>56</v>
      </c>
      <c r="G18" s="11">
        <v>120</v>
      </c>
      <c r="H18" s="11">
        <v>414.91</v>
      </c>
      <c r="I18" s="11">
        <f t="shared" ref="I18:I24" si="18">SUM(C18:H18,U18)</f>
        <v>10016.27</v>
      </c>
      <c r="J18" s="11">
        <v>1988.02</v>
      </c>
      <c r="K18" s="69">
        <f>SUM(L18:S18)</f>
        <v>7511.8400000000011</v>
      </c>
      <c r="L18" s="11">
        <f>650.65+2528.28+3693.66</f>
        <v>6872.59</v>
      </c>
      <c r="M18" s="11">
        <v>0</v>
      </c>
      <c r="N18" s="11">
        <v>0</v>
      </c>
      <c r="O18" s="11">
        <v>30.06</v>
      </c>
      <c r="P18" s="11">
        <v>46.93</v>
      </c>
      <c r="Q18" s="11">
        <v>407.43</v>
      </c>
      <c r="R18" s="11">
        <v>109.85</v>
      </c>
      <c r="S18" s="11">
        <v>44.98</v>
      </c>
      <c r="T18" s="11">
        <v>0</v>
      </c>
      <c r="U18" s="33">
        <v>0</v>
      </c>
      <c r="V18" s="33">
        <v>21.5</v>
      </c>
      <c r="W18" s="11">
        <v>1962.5</v>
      </c>
      <c r="X18" s="11">
        <v>450</v>
      </c>
      <c r="Y18" s="31">
        <f t="shared" ref="Y18:Y24" si="19">SUM(T18,U18,V18,W18)-J18</f>
        <v>-4.0199999999999818</v>
      </c>
      <c r="Z18" s="32">
        <f>SUM(J18+K18+AD18+AB18)-(I18)</f>
        <v>-1.5</v>
      </c>
      <c r="AA18" s="32">
        <f t="shared" ref="AA18:AA24" si="20">SUM(G18-AB18)</f>
        <v>20</v>
      </c>
      <c r="AB18" s="32">
        <v>100</v>
      </c>
      <c r="AC18" s="33">
        <f t="shared" ref="AC18:AC24" si="21">SUM(H18-AD18)</f>
        <v>0</v>
      </c>
      <c r="AD18" s="33">
        <v>414.91</v>
      </c>
      <c r="AE18" s="33"/>
      <c r="AF18" s="33">
        <f t="shared" ref="AF18:AF24" si="22">SUM(AE18-H18)</f>
        <v>-414.91</v>
      </c>
    </row>
    <row r="19" spans="1:32" s="35" customFormat="1" ht="18.75">
      <c r="A19" s="9">
        <v>45244</v>
      </c>
      <c r="B19" s="10" t="s">
        <v>24</v>
      </c>
      <c r="C19" s="11">
        <v>11125.47</v>
      </c>
      <c r="D19" s="11">
        <v>3541.26</v>
      </c>
      <c r="E19" s="11">
        <v>4</v>
      </c>
      <c r="F19" s="11">
        <v>64</v>
      </c>
      <c r="G19" s="11">
        <v>62</v>
      </c>
      <c r="H19" s="11">
        <v>170.57</v>
      </c>
      <c r="I19" s="11">
        <f t="shared" si="18"/>
        <v>14972.3</v>
      </c>
      <c r="J19" s="11">
        <v>2683.92</v>
      </c>
      <c r="K19" s="69">
        <f>SUM(L19:S19)</f>
        <v>12192.380000000001</v>
      </c>
      <c r="L19" s="11">
        <f>1322.15+3743.03+5851.48</f>
        <v>10916.66</v>
      </c>
      <c r="M19" s="11">
        <v>100.42</v>
      </c>
      <c r="N19" s="11">
        <v>0</v>
      </c>
      <c r="O19" s="11">
        <v>0</v>
      </c>
      <c r="P19" s="11">
        <v>381.15</v>
      </c>
      <c r="Q19" s="11">
        <v>462.62</v>
      </c>
      <c r="R19" s="11">
        <f>42.01+172.44</f>
        <v>214.45</v>
      </c>
      <c r="S19" s="11">
        <v>117.08</v>
      </c>
      <c r="T19" s="11">
        <v>288.48</v>
      </c>
      <c r="U19" s="33">
        <v>5</v>
      </c>
      <c r="V19" s="33">
        <v>1</v>
      </c>
      <c r="W19" s="11">
        <v>2397</v>
      </c>
      <c r="X19" s="11">
        <v>450</v>
      </c>
      <c r="Y19" s="31">
        <f t="shared" si="19"/>
        <v>7.5599999999999454</v>
      </c>
      <c r="Z19" s="32">
        <f t="shared" ref="Z19:Z24" si="23">SUM(J19+K19+AD19+AB19)-(I19)</f>
        <v>0</v>
      </c>
      <c r="AA19" s="32">
        <f t="shared" si="20"/>
        <v>14</v>
      </c>
      <c r="AB19" s="32">
        <v>48</v>
      </c>
      <c r="AC19" s="33">
        <f t="shared" si="21"/>
        <v>122.57</v>
      </c>
      <c r="AD19" s="33">
        <v>48</v>
      </c>
      <c r="AE19" s="33"/>
      <c r="AF19" s="33">
        <f t="shared" si="22"/>
        <v>-170.57</v>
      </c>
    </row>
    <row r="20" spans="1:32" s="35" customFormat="1" ht="18.75">
      <c r="A20" s="9">
        <v>45245</v>
      </c>
      <c r="B20" s="10" t="s">
        <v>25</v>
      </c>
      <c r="C20" s="11">
        <v>10913.35</v>
      </c>
      <c r="D20" s="11">
        <v>3377.71</v>
      </c>
      <c r="E20" s="11">
        <v>30</v>
      </c>
      <c r="F20" s="11">
        <v>53</v>
      </c>
      <c r="G20" s="11">
        <v>20</v>
      </c>
      <c r="H20" s="11">
        <v>96</v>
      </c>
      <c r="I20" s="11">
        <f t="shared" si="18"/>
        <v>14500.060000000001</v>
      </c>
      <c r="J20" s="11">
        <v>2717.55</v>
      </c>
      <c r="K20" s="69">
        <f t="shared" ref="K20:K24" si="24">SUM(L20:S20)</f>
        <v>11762.509999999998</v>
      </c>
      <c r="L20" s="11">
        <f>1163.11+3510.72+5743.66</f>
        <v>10417.49</v>
      </c>
      <c r="M20" s="11">
        <v>10</v>
      </c>
      <c r="N20" s="11">
        <v>0</v>
      </c>
      <c r="O20" s="11">
        <v>0</v>
      </c>
      <c r="P20" s="11">
        <v>67.23</v>
      </c>
      <c r="Q20" s="11">
        <v>475.48</v>
      </c>
      <c r="R20" s="11">
        <v>403.09</v>
      </c>
      <c r="S20" s="11">
        <v>389.22</v>
      </c>
      <c r="T20" s="11">
        <v>0</v>
      </c>
      <c r="U20" s="33">
        <v>10</v>
      </c>
      <c r="V20" s="33">
        <v>26</v>
      </c>
      <c r="W20" s="11">
        <v>2678.2</v>
      </c>
      <c r="X20" s="11">
        <v>450</v>
      </c>
      <c r="Y20" s="31">
        <f t="shared" si="19"/>
        <v>-3.3500000000003638</v>
      </c>
      <c r="Z20" s="32">
        <f t="shared" si="23"/>
        <v>0</v>
      </c>
      <c r="AA20" s="32">
        <f t="shared" si="20"/>
        <v>20</v>
      </c>
      <c r="AB20" s="32">
        <v>0</v>
      </c>
      <c r="AC20" s="33">
        <f t="shared" si="21"/>
        <v>76</v>
      </c>
      <c r="AD20" s="33">
        <v>20</v>
      </c>
      <c r="AE20" s="33"/>
      <c r="AF20" s="33">
        <f t="shared" si="22"/>
        <v>-96</v>
      </c>
    </row>
    <row r="21" spans="1:32" s="35" customFormat="1" ht="18.75">
      <c r="A21" s="9">
        <v>45246</v>
      </c>
      <c r="B21" s="10" t="s">
        <v>26</v>
      </c>
      <c r="C21" s="11">
        <v>10293.77</v>
      </c>
      <c r="D21" s="11">
        <v>3813.18</v>
      </c>
      <c r="E21" s="11">
        <v>6.5</v>
      </c>
      <c r="F21" s="11">
        <v>98</v>
      </c>
      <c r="G21" s="11">
        <v>73</v>
      </c>
      <c r="H21" s="11">
        <v>75</v>
      </c>
      <c r="I21" s="11">
        <f t="shared" si="18"/>
        <v>14429.45</v>
      </c>
      <c r="J21" s="11">
        <v>2828.75</v>
      </c>
      <c r="K21" s="69">
        <f t="shared" si="24"/>
        <v>11480.699999999999</v>
      </c>
      <c r="L21" s="11">
        <f>1311.28+2940.15+6015.23</f>
        <v>10266.66</v>
      </c>
      <c r="M21" s="11">
        <v>28.15</v>
      </c>
      <c r="N21" s="11">
        <v>0</v>
      </c>
      <c r="O21" s="11">
        <v>0</v>
      </c>
      <c r="P21" s="11">
        <v>68.06</v>
      </c>
      <c r="Q21" s="11">
        <v>321.51</v>
      </c>
      <c r="R21" s="11">
        <v>419.58</v>
      </c>
      <c r="S21" s="11">
        <v>376.74</v>
      </c>
      <c r="T21" s="11">
        <v>1078.94</v>
      </c>
      <c r="U21" s="33">
        <v>70</v>
      </c>
      <c r="V21" s="33">
        <v>32</v>
      </c>
      <c r="W21" s="11">
        <v>1653.35</v>
      </c>
      <c r="X21" s="11">
        <v>450</v>
      </c>
      <c r="Y21" s="31">
        <f t="shared" si="19"/>
        <v>5.5399999999999636</v>
      </c>
      <c r="Z21" s="32">
        <f t="shared" si="23"/>
        <v>0</v>
      </c>
      <c r="AA21" s="32">
        <f t="shared" si="20"/>
        <v>23</v>
      </c>
      <c r="AB21" s="32">
        <v>50</v>
      </c>
      <c r="AC21" s="33">
        <f t="shared" si="21"/>
        <v>5</v>
      </c>
      <c r="AD21" s="33">
        <v>70</v>
      </c>
      <c r="AE21" s="33"/>
      <c r="AF21" s="33">
        <f t="shared" si="22"/>
        <v>-75</v>
      </c>
    </row>
    <row r="22" spans="1:32" s="35" customFormat="1" ht="18.75">
      <c r="A22" s="9">
        <v>45247</v>
      </c>
      <c r="B22" s="10" t="s">
        <v>20</v>
      </c>
      <c r="C22" s="11">
        <v>11060.41</v>
      </c>
      <c r="D22" s="11">
        <v>4707.6499999999996</v>
      </c>
      <c r="E22" s="11">
        <v>54.5</v>
      </c>
      <c r="F22" s="11">
        <v>125</v>
      </c>
      <c r="G22" s="11">
        <v>113</v>
      </c>
      <c r="H22" s="11">
        <v>215</v>
      </c>
      <c r="I22" s="11">
        <f t="shared" si="18"/>
        <v>16315.56</v>
      </c>
      <c r="J22" s="11">
        <f>2727.43</f>
        <v>2727.43</v>
      </c>
      <c r="K22" s="11">
        <f t="shared" si="24"/>
        <v>13429.420000000002</v>
      </c>
      <c r="L22" s="11">
        <f>1108.19+3956.44+6982.79</f>
        <v>12047.42</v>
      </c>
      <c r="M22" s="11">
        <v>0</v>
      </c>
      <c r="N22" s="11">
        <v>98.87</v>
      </c>
      <c r="O22" s="11">
        <v>0</v>
      </c>
      <c r="P22" s="11">
        <v>50.04</v>
      </c>
      <c r="Q22" s="11">
        <v>607.91</v>
      </c>
      <c r="R22" s="11">
        <v>397.91</v>
      </c>
      <c r="S22" s="11">
        <v>227.27</v>
      </c>
      <c r="T22" s="11">
        <v>423.31</v>
      </c>
      <c r="U22" s="33">
        <v>40</v>
      </c>
      <c r="V22" s="33">
        <v>124</v>
      </c>
      <c r="W22" s="11">
        <v>2130</v>
      </c>
      <c r="X22" s="11">
        <v>450</v>
      </c>
      <c r="Y22" s="31">
        <f t="shared" si="19"/>
        <v>-10.119999999999891</v>
      </c>
      <c r="Z22" s="32">
        <f t="shared" si="23"/>
        <v>-80.709999999997308</v>
      </c>
      <c r="AA22" s="32">
        <f t="shared" si="20"/>
        <v>93</v>
      </c>
      <c r="AB22" s="32">
        <v>20</v>
      </c>
      <c r="AC22" s="33">
        <f t="shared" si="21"/>
        <v>157</v>
      </c>
      <c r="AD22" s="33">
        <v>58</v>
      </c>
      <c r="AE22" s="33"/>
      <c r="AF22" s="33">
        <f t="shared" si="22"/>
        <v>-215</v>
      </c>
    </row>
    <row r="23" spans="1:32" s="35" customFormat="1" ht="18.75">
      <c r="A23" s="9">
        <v>45248</v>
      </c>
      <c r="B23" s="10" t="s">
        <v>21</v>
      </c>
      <c r="C23" s="11">
        <v>8658.49</v>
      </c>
      <c r="D23" s="11">
        <v>4165.5</v>
      </c>
      <c r="E23" s="11">
        <v>45.5</v>
      </c>
      <c r="F23" s="11">
        <v>83</v>
      </c>
      <c r="G23" s="11">
        <v>40</v>
      </c>
      <c r="H23" s="11">
        <v>172.73</v>
      </c>
      <c r="I23" s="11">
        <f t="shared" si="18"/>
        <v>13185.22</v>
      </c>
      <c r="J23" s="11">
        <v>2393.19</v>
      </c>
      <c r="K23" s="69">
        <f t="shared" si="24"/>
        <v>10614.52</v>
      </c>
      <c r="L23" s="11">
        <f>1309.29+3361.19+5103.85</f>
        <v>9774.33</v>
      </c>
      <c r="M23" s="11">
        <v>221.35</v>
      </c>
      <c r="N23" s="11">
        <v>0</v>
      </c>
      <c r="O23" s="11">
        <v>115.67</v>
      </c>
      <c r="P23" s="11">
        <v>180.11</v>
      </c>
      <c r="Q23" s="11">
        <v>101.09</v>
      </c>
      <c r="R23" s="11">
        <v>160.99</v>
      </c>
      <c r="S23" s="11">
        <v>60.98</v>
      </c>
      <c r="T23" s="11">
        <v>0</v>
      </c>
      <c r="U23" s="33">
        <v>20</v>
      </c>
      <c r="V23" s="33">
        <v>44</v>
      </c>
      <c r="W23" s="11">
        <v>2228</v>
      </c>
      <c r="X23" s="11">
        <v>450</v>
      </c>
      <c r="Y23" s="31">
        <f t="shared" si="19"/>
        <v>-101.19000000000005</v>
      </c>
      <c r="Z23" s="32">
        <f t="shared" si="23"/>
        <v>-117.5099999999984</v>
      </c>
      <c r="AA23" s="32">
        <f t="shared" si="20"/>
        <v>40</v>
      </c>
      <c r="AB23" s="32">
        <v>0</v>
      </c>
      <c r="AC23" s="33">
        <f t="shared" si="21"/>
        <v>112.72999999999999</v>
      </c>
      <c r="AD23" s="33">
        <v>60</v>
      </c>
      <c r="AE23" s="33"/>
      <c r="AF23" s="33">
        <f t="shared" si="22"/>
        <v>-172.73</v>
      </c>
    </row>
    <row r="24" spans="1:32" s="35" customFormat="1" ht="18.75">
      <c r="A24" s="9">
        <v>45249</v>
      </c>
      <c r="B24" s="10" t="s">
        <v>22</v>
      </c>
      <c r="C24" s="11">
        <v>9010.3799999999992</v>
      </c>
      <c r="D24" s="11">
        <v>3526.85</v>
      </c>
      <c r="E24" s="11">
        <v>3</v>
      </c>
      <c r="F24" s="11">
        <v>91</v>
      </c>
      <c r="G24" s="11">
        <v>20</v>
      </c>
      <c r="H24" s="11">
        <v>50</v>
      </c>
      <c r="I24" s="11">
        <f t="shared" si="18"/>
        <v>12701.23</v>
      </c>
      <c r="J24" s="11">
        <v>2728.44</v>
      </c>
      <c r="K24" s="69">
        <f t="shared" si="24"/>
        <v>9967.7899999999991</v>
      </c>
      <c r="L24" s="11">
        <f>833.56+3022.2+5678.2</f>
        <v>9533.9599999999991</v>
      </c>
      <c r="M24" s="11">
        <v>82.8</v>
      </c>
      <c r="N24" s="11">
        <v>0</v>
      </c>
      <c r="O24" s="11">
        <v>0</v>
      </c>
      <c r="P24" s="11">
        <v>98.29</v>
      </c>
      <c r="Q24" s="11">
        <v>217.25</v>
      </c>
      <c r="R24" s="11">
        <v>17.510000000000002</v>
      </c>
      <c r="S24" s="11">
        <v>17.98</v>
      </c>
      <c r="T24" s="11">
        <v>111.7</v>
      </c>
      <c r="U24" s="33">
        <v>0</v>
      </c>
      <c r="V24" s="33">
        <v>137</v>
      </c>
      <c r="W24" s="11">
        <v>2460</v>
      </c>
      <c r="X24" s="11">
        <v>450</v>
      </c>
      <c r="Y24" s="31">
        <f t="shared" si="19"/>
        <v>-19.740000000000236</v>
      </c>
      <c r="Z24" s="32">
        <f t="shared" si="23"/>
        <v>0</v>
      </c>
      <c r="AA24" s="32">
        <f t="shared" si="20"/>
        <v>20</v>
      </c>
      <c r="AB24" s="32">
        <v>0</v>
      </c>
      <c r="AC24" s="33">
        <f t="shared" si="21"/>
        <v>45</v>
      </c>
      <c r="AD24" s="33">
        <v>5</v>
      </c>
      <c r="AE24" s="33">
        <v>5410</v>
      </c>
      <c r="AF24" s="33">
        <f t="shared" si="22"/>
        <v>5360</v>
      </c>
    </row>
    <row r="25" spans="1:32" ht="37.5" customHeight="1">
      <c r="A25" s="65" t="s">
        <v>27</v>
      </c>
      <c r="B25" s="66"/>
      <c r="C25" s="27">
        <f>SUM(C18:C24)</f>
        <v>67350.459999999992</v>
      </c>
      <c r="D25" s="27">
        <f t="shared" ref="D25:AF25" si="25">SUM(D18:D24)</f>
        <v>26267.42</v>
      </c>
      <c r="E25" s="27">
        <f t="shared" si="25"/>
        <v>145</v>
      </c>
      <c r="F25" s="27">
        <f t="shared" si="25"/>
        <v>570</v>
      </c>
      <c r="G25" s="27">
        <f t="shared" si="25"/>
        <v>448</v>
      </c>
      <c r="H25" s="27">
        <f t="shared" si="25"/>
        <v>1194.21</v>
      </c>
      <c r="I25" s="27">
        <f t="shared" si="25"/>
        <v>96120.09</v>
      </c>
      <c r="J25" s="27">
        <f t="shared" si="25"/>
        <v>18067.300000000003</v>
      </c>
      <c r="K25" s="27">
        <f t="shared" si="25"/>
        <v>76959.16</v>
      </c>
      <c r="L25" s="27">
        <f t="shared" si="25"/>
        <v>69829.109999999986</v>
      </c>
      <c r="M25" s="27">
        <f t="shared" si="25"/>
        <v>442.71999999999997</v>
      </c>
      <c r="N25" s="27">
        <f t="shared" si="25"/>
        <v>98.87</v>
      </c>
      <c r="O25" s="27">
        <f t="shared" si="25"/>
        <v>145.72999999999999</v>
      </c>
      <c r="P25" s="27">
        <f t="shared" si="25"/>
        <v>891.81</v>
      </c>
      <c r="Q25" s="27">
        <f t="shared" si="25"/>
        <v>2593.29</v>
      </c>
      <c r="R25" s="27">
        <f t="shared" si="25"/>
        <v>1723.3799999999999</v>
      </c>
      <c r="S25" s="27">
        <f t="shared" si="25"/>
        <v>1234.25</v>
      </c>
      <c r="T25" s="27">
        <f t="shared" si="25"/>
        <v>1902.43</v>
      </c>
      <c r="U25" s="27">
        <f t="shared" si="25"/>
        <v>145</v>
      </c>
      <c r="V25" s="27">
        <f t="shared" si="25"/>
        <v>385.5</v>
      </c>
      <c r="W25" s="27">
        <f t="shared" si="25"/>
        <v>15509.05</v>
      </c>
      <c r="X25" s="27">
        <f t="shared" si="25"/>
        <v>3150</v>
      </c>
      <c r="Y25" s="27">
        <f t="shared" si="25"/>
        <v>-125.32000000000062</v>
      </c>
      <c r="Z25" s="27">
        <f t="shared" si="25"/>
        <v>-199.71999999999571</v>
      </c>
      <c r="AA25" s="27">
        <f t="shared" si="25"/>
        <v>230</v>
      </c>
      <c r="AB25" s="27">
        <f t="shared" si="25"/>
        <v>218</v>
      </c>
      <c r="AC25" s="27">
        <f t="shared" si="25"/>
        <v>518.29999999999995</v>
      </c>
      <c r="AD25" s="27">
        <f t="shared" si="25"/>
        <v>675.91000000000008</v>
      </c>
      <c r="AE25" s="27">
        <f t="shared" si="25"/>
        <v>5410</v>
      </c>
      <c r="AF25" s="27">
        <f t="shared" si="25"/>
        <v>4215.79</v>
      </c>
    </row>
    <row r="26" spans="1:32" ht="20.25" customHeight="1">
      <c r="A26" s="9">
        <v>45250</v>
      </c>
      <c r="B26" s="10" t="s">
        <v>23</v>
      </c>
      <c r="C26" s="11">
        <v>9751.41</v>
      </c>
      <c r="D26" s="11">
        <v>3447.39</v>
      </c>
      <c r="E26" s="11">
        <v>8.5</v>
      </c>
      <c r="F26" s="11">
        <v>29</v>
      </c>
      <c r="G26" s="11">
        <v>303.05</v>
      </c>
      <c r="H26" s="11">
        <v>143.51</v>
      </c>
      <c r="I26" s="11">
        <f t="shared" ref="I26:I32" si="26">SUM(C26:H26,U26)</f>
        <v>13712.859999999999</v>
      </c>
      <c r="J26" s="11">
        <v>2346.37</v>
      </c>
      <c r="K26" s="69">
        <f>SUM(L26:S26)</f>
        <v>10864.920000000002</v>
      </c>
      <c r="L26" s="11">
        <f>695.35+3138.33+5520.25</f>
        <v>9353.93</v>
      </c>
      <c r="M26" s="11">
        <v>79.77</v>
      </c>
      <c r="N26" s="11">
        <v>0</v>
      </c>
      <c r="O26" s="11">
        <v>0</v>
      </c>
      <c r="P26" s="11">
        <v>126.12</v>
      </c>
      <c r="Q26" s="11">
        <v>900.37</v>
      </c>
      <c r="R26" s="11">
        <v>393.85</v>
      </c>
      <c r="S26" s="11">
        <v>10.88</v>
      </c>
      <c r="T26" s="11">
        <v>216.43</v>
      </c>
      <c r="U26" s="33">
        <v>30</v>
      </c>
      <c r="V26" s="33">
        <v>10</v>
      </c>
      <c r="W26" s="11">
        <v>2093</v>
      </c>
      <c r="X26" s="11">
        <v>450</v>
      </c>
      <c r="Y26" s="31">
        <f t="shared" ref="Y26:Y32" si="27">SUM(T26,U26,V26,W26)-J26</f>
        <v>3.0599999999999454</v>
      </c>
      <c r="Z26" s="32">
        <f t="shared" ref="Z26:Z37" si="28">SUM(J26+K26+AD26+AB26)-(I26)</f>
        <v>-125.0099999999984</v>
      </c>
      <c r="AA26" s="32">
        <f t="shared" ref="AA26:AA32" si="29">SUM(G26-AB26)</f>
        <v>40</v>
      </c>
      <c r="AB26" s="32">
        <v>263.05</v>
      </c>
      <c r="AC26" s="33">
        <f t="shared" ref="AC26:AC32" si="30">SUM(H26-AD26)</f>
        <v>29.999999999999986</v>
      </c>
      <c r="AD26" s="33">
        <v>113.51</v>
      </c>
      <c r="AE26" s="33"/>
      <c r="AF26" s="33">
        <f t="shared" ref="AF26:AF32" si="31">SUM(AE26-H26)</f>
        <v>-143.51</v>
      </c>
    </row>
    <row r="27" spans="1:32" ht="20.25" customHeight="1">
      <c r="A27" s="9">
        <v>45251</v>
      </c>
      <c r="B27" s="10" t="s">
        <v>24</v>
      </c>
      <c r="C27" s="11">
        <v>9617.65</v>
      </c>
      <c r="D27" s="11">
        <v>3115.76</v>
      </c>
      <c r="E27" s="11">
        <v>39.5</v>
      </c>
      <c r="F27" s="11">
        <v>59</v>
      </c>
      <c r="G27" s="11">
        <v>40</v>
      </c>
      <c r="H27" s="11">
        <v>145</v>
      </c>
      <c r="I27" s="11">
        <f t="shared" si="26"/>
        <v>13016.91</v>
      </c>
      <c r="J27" s="11">
        <v>2482.89</v>
      </c>
      <c r="K27" s="69">
        <f>SUM(L27:S27)</f>
        <v>10474.019999999999</v>
      </c>
      <c r="L27" s="11">
        <f>1291.93+2844.6+4838.43</f>
        <v>8974.9599999999991</v>
      </c>
      <c r="M27" s="11">
        <v>0</v>
      </c>
      <c r="N27" s="11">
        <v>0</v>
      </c>
      <c r="O27" s="11">
        <v>203.99</v>
      </c>
      <c r="P27" s="11">
        <v>152.16999999999999</v>
      </c>
      <c r="Q27" s="11">
        <v>562.23</v>
      </c>
      <c r="R27" s="11">
        <v>391.36</v>
      </c>
      <c r="S27" s="11">
        <v>189.31</v>
      </c>
      <c r="T27" s="11">
        <v>303.39</v>
      </c>
      <c r="U27" s="33">
        <v>0</v>
      </c>
      <c r="V27" s="33">
        <v>33.1</v>
      </c>
      <c r="W27" s="11">
        <v>2145</v>
      </c>
      <c r="X27" s="11">
        <v>450</v>
      </c>
      <c r="Y27" s="31">
        <f t="shared" si="27"/>
        <v>-1.4000000000000909</v>
      </c>
      <c r="Z27" s="32">
        <f t="shared" si="28"/>
        <v>0</v>
      </c>
      <c r="AA27" s="32">
        <f t="shared" si="29"/>
        <v>0</v>
      </c>
      <c r="AB27" s="32">
        <v>40</v>
      </c>
      <c r="AC27" s="33">
        <f t="shared" si="30"/>
        <v>125</v>
      </c>
      <c r="AD27" s="33">
        <v>20</v>
      </c>
      <c r="AE27" s="33"/>
      <c r="AF27" s="33">
        <f t="shared" si="31"/>
        <v>-145</v>
      </c>
    </row>
    <row r="28" spans="1:32" ht="20.25" customHeight="1">
      <c r="A28" s="9">
        <v>45252</v>
      </c>
      <c r="B28" s="10" t="s">
        <v>25</v>
      </c>
      <c r="C28" s="11">
        <v>9207.5300000000007</v>
      </c>
      <c r="D28" s="11">
        <v>3367.71</v>
      </c>
      <c r="E28" s="11">
        <v>6</v>
      </c>
      <c r="F28" s="11">
        <v>39</v>
      </c>
      <c r="G28" s="11">
        <v>0</v>
      </c>
      <c r="H28" s="11">
        <v>83.6</v>
      </c>
      <c r="I28" s="11">
        <f t="shared" si="26"/>
        <v>12773.840000000002</v>
      </c>
      <c r="J28" s="11">
        <v>2510.0100000000002</v>
      </c>
      <c r="K28" s="69">
        <f t="shared" ref="K28:K32" si="32">SUM(L28:S28)</f>
        <v>10115.179999999998</v>
      </c>
      <c r="L28" s="11">
        <f>989.27+2676.74+5466.62</f>
        <v>9132.6299999999992</v>
      </c>
      <c r="M28" s="11">
        <v>0</v>
      </c>
      <c r="N28" s="11">
        <v>0</v>
      </c>
      <c r="O28" s="11">
        <v>0</v>
      </c>
      <c r="P28" s="11">
        <v>70</v>
      </c>
      <c r="Q28" s="11">
        <v>312.98</v>
      </c>
      <c r="R28" s="11">
        <v>536.04</v>
      </c>
      <c r="S28" s="11">
        <v>63.53</v>
      </c>
      <c r="T28" s="11">
        <v>180.32</v>
      </c>
      <c r="U28" s="33">
        <v>70</v>
      </c>
      <c r="V28" s="33">
        <v>43</v>
      </c>
      <c r="W28" s="11">
        <v>2200</v>
      </c>
      <c r="X28" s="11">
        <v>450</v>
      </c>
      <c r="Y28" s="31">
        <f t="shared" si="27"/>
        <v>-16.690000000000055</v>
      </c>
      <c r="Z28" s="32">
        <f t="shared" si="28"/>
        <v>-93.910000000003492</v>
      </c>
      <c r="AA28" s="32">
        <f t="shared" si="29"/>
        <v>0</v>
      </c>
      <c r="AB28" s="32">
        <v>0</v>
      </c>
      <c r="AC28" s="33">
        <f t="shared" si="30"/>
        <v>28.859999999999992</v>
      </c>
      <c r="AD28" s="33">
        <v>54.74</v>
      </c>
      <c r="AE28" s="33"/>
      <c r="AF28" s="33">
        <f t="shared" si="31"/>
        <v>-83.6</v>
      </c>
    </row>
    <row r="29" spans="1:32" ht="20.25" customHeight="1">
      <c r="A29" s="9">
        <v>45253</v>
      </c>
      <c r="B29" s="10" t="s">
        <v>26</v>
      </c>
      <c r="C29" s="11">
        <v>8804.56</v>
      </c>
      <c r="D29" s="11">
        <v>4318.3599999999997</v>
      </c>
      <c r="E29" s="11">
        <v>33.5</v>
      </c>
      <c r="F29" s="11">
        <v>43</v>
      </c>
      <c r="G29" s="11">
        <v>0</v>
      </c>
      <c r="H29" s="11">
        <v>1203.3499999999999</v>
      </c>
      <c r="I29" s="11">
        <f t="shared" si="26"/>
        <v>14412.769999999999</v>
      </c>
      <c r="J29" s="11">
        <v>3121.56</v>
      </c>
      <c r="K29" s="69">
        <f t="shared" si="32"/>
        <v>10129.060000000001</v>
      </c>
      <c r="L29" s="11">
        <f>658.08+3101.03+4961.09</f>
        <v>8720.2000000000007</v>
      </c>
      <c r="M29" s="11">
        <v>43.51</v>
      </c>
      <c r="N29" s="11">
        <v>0</v>
      </c>
      <c r="O29" s="11">
        <v>69.97</v>
      </c>
      <c r="P29" s="11">
        <v>107.25</v>
      </c>
      <c r="Q29" s="11">
        <v>597.37</v>
      </c>
      <c r="R29" s="11">
        <v>362.73</v>
      </c>
      <c r="S29" s="11">
        <v>228.03</v>
      </c>
      <c r="T29" s="11">
        <v>0</v>
      </c>
      <c r="U29" s="33">
        <v>10</v>
      </c>
      <c r="V29" s="33">
        <v>22</v>
      </c>
      <c r="W29" s="11">
        <v>3090</v>
      </c>
      <c r="X29" s="11">
        <v>450</v>
      </c>
      <c r="Y29" s="31">
        <f t="shared" si="27"/>
        <v>0.44000000000005457</v>
      </c>
      <c r="Z29" s="32">
        <f t="shared" si="28"/>
        <v>0</v>
      </c>
      <c r="AA29" s="32">
        <f t="shared" si="29"/>
        <v>0</v>
      </c>
      <c r="AB29" s="32">
        <v>0</v>
      </c>
      <c r="AC29" s="33">
        <f t="shared" si="30"/>
        <v>41.199999999999818</v>
      </c>
      <c r="AD29" s="33">
        <f>1000+162.15</f>
        <v>1162.1500000000001</v>
      </c>
      <c r="AE29" s="33"/>
      <c r="AF29" s="33">
        <f t="shared" si="31"/>
        <v>-1203.3499999999999</v>
      </c>
    </row>
    <row r="30" spans="1:32" ht="20.25" customHeight="1">
      <c r="A30" s="9">
        <v>45254</v>
      </c>
      <c r="B30" s="10" t="s">
        <v>20</v>
      </c>
      <c r="C30" s="11">
        <v>11040</v>
      </c>
      <c r="D30" s="11">
        <v>4856.68</v>
      </c>
      <c r="E30" s="11">
        <v>10</v>
      </c>
      <c r="F30" s="11">
        <v>64</v>
      </c>
      <c r="G30" s="11">
        <v>20</v>
      </c>
      <c r="H30" s="11">
        <v>90.2</v>
      </c>
      <c r="I30" s="11">
        <f t="shared" si="26"/>
        <v>16085.880000000001</v>
      </c>
      <c r="J30" s="11">
        <v>2789.62</v>
      </c>
      <c r="K30" s="69">
        <f t="shared" si="32"/>
        <v>13198.050000000001</v>
      </c>
      <c r="L30" s="11">
        <f>1339.6+3790.23+6501.27</f>
        <v>11631.1</v>
      </c>
      <c r="M30" s="11">
        <v>0</v>
      </c>
      <c r="N30" s="11">
        <v>0</v>
      </c>
      <c r="O30" s="11">
        <v>76.69</v>
      </c>
      <c r="P30" s="11">
        <v>179.22</v>
      </c>
      <c r="Q30" s="11">
        <v>501.85</v>
      </c>
      <c r="R30" s="11">
        <v>397.69</v>
      </c>
      <c r="S30" s="11">
        <v>411.5</v>
      </c>
      <c r="T30" s="11">
        <v>0</v>
      </c>
      <c r="U30" s="33">
        <v>5</v>
      </c>
      <c r="V30" s="33">
        <v>30</v>
      </c>
      <c r="W30" s="11">
        <v>2724</v>
      </c>
      <c r="X30" s="11">
        <v>450</v>
      </c>
      <c r="Y30" s="31">
        <f t="shared" si="27"/>
        <v>-30.619999999999891</v>
      </c>
      <c r="Z30" s="32">
        <f t="shared" si="28"/>
        <v>-40.009999999998399</v>
      </c>
      <c r="AA30" s="32">
        <f t="shared" si="29"/>
        <v>0</v>
      </c>
      <c r="AB30" s="32">
        <v>20</v>
      </c>
      <c r="AC30" s="33">
        <f t="shared" si="30"/>
        <v>52</v>
      </c>
      <c r="AD30" s="33">
        <v>38.200000000000003</v>
      </c>
      <c r="AE30" s="33"/>
      <c r="AF30" s="33">
        <f t="shared" si="31"/>
        <v>-90.2</v>
      </c>
    </row>
    <row r="31" spans="1:32" ht="20.25" customHeight="1">
      <c r="A31" s="9">
        <v>45255</v>
      </c>
      <c r="B31" s="10" t="s">
        <v>21</v>
      </c>
      <c r="C31" s="11">
        <v>9546.61</v>
      </c>
      <c r="D31" s="11">
        <v>4687.91</v>
      </c>
      <c r="E31" s="11">
        <v>23.5</v>
      </c>
      <c r="F31" s="11">
        <v>172</v>
      </c>
      <c r="G31" s="11">
        <v>280</v>
      </c>
      <c r="H31" s="11">
        <v>113.78</v>
      </c>
      <c r="I31" s="11">
        <f t="shared" si="26"/>
        <v>14823.800000000001</v>
      </c>
      <c r="J31" s="11">
        <v>2934.22</v>
      </c>
      <c r="K31" s="69">
        <f t="shared" si="32"/>
        <v>11854.579999999998</v>
      </c>
      <c r="L31" s="11">
        <f>811.9+4110.57+5835.85</f>
        <v>10758.32</v>
      </c>
      <c r="M31" s="11">
        <v>94.99</v>
      </c>
      <c r="N31" s="11">
        <v>0</v>
      </c>
      <c r="O31" s="11">
        <v>0</v>
      </c>
      <c r="P31" s="11">
        <v>225.97</v>
      </c>
      <c r="Q31" s="11">
        <v>397.31</v>
      </c>
      <c r="R31" s="11">
        <v>326.18</v>
      </c>
      <c r="S31" s="11">
        <v>51.81</v>
      </c>
      <c r="T31" s="11">
        <v>30</v>
      </c>
      <c r="U31" s="33">
        <v>0</v>
      </c>
      <c r="V31" s="33">
        <v>140</v>
      </c>
      <c r="W31" s="11">
        <v>2757</v>
      </c>
      <c r="X31" s="11">
        <v>450</v>
      </c>
      <c r="Y31" s="31">
        <f t="shared" si="27"/>
        <v>-7.2199999999997999</v>
      </c>
      <c r="Z31" s="32">
        <f t="shared" si="28"/>
        <v>0</v>
      </c>
      <c r="AA31" s="32">
        <f t="shared" si="29"/>
        <v>260</v>
      </c>
      <c r="AB31" s="32">
        <v>20</v>
      </c>
      <c r="AC31" s="33">
        <f t="shared" si="30"/>
        <v>98.78</v>
      </c>
      <c r="AD31" s="33">
        <v>15</v>
      </c>
      <c r="AE31" s="33"/>
      <c r="AF31" s="33">
        <f t="shared" si="31"/>
        <v>-113.78</v>
      </c>
    </row>
    <row r="32" spans="1:32" ht="20.25" customHeight="1">
      <c r="A32" s="9">
        <v>45256</v>
      </c>
      <c r="B32" s="10" t="s">
        <v>22</v>
      </c>
      <c r="C32" s="11">
        <v>7780</v>
      </c>
      <c r="D32" s="11">
        <v>3552.16</v>
      </c>
      <c r="E32" s="11">
        <v>0</v>
      </c>
      <c r="F32" s="11">
        <v>132</v>
      </c>
      <c r="G32" s="11">
        <v>90</v>
      </c>
      <c r="H32" s="11">
        <v>67.400000000000006</v>
      </c>
      <c r="I32" s="11">
        <f t="shared" si="26"/>
        <v>11687.869999999999</v>
      </c>
      <c r="J32" s="11">
        <v>2438.25</v>
      </c>
      <c r="K32" s="11">
        <f t="shared" si="32"/>
        <v>9232.2200000000012</v>
      </c>
      <c r="L32" s="11">
        <f>1004.67+2704.58+4713.46</f>
        <v>8422.7099999999991</v>
      </c>
      <c r="M32" s="11">
        <v>0</v>
      </c>
      <c r="N32" s="11">
        <v>0</v>
      </c>
      <c r="O32" s="11">
        <v>103.04</v>
      </c>
      <c r="P32" s="11">
        <v>50.82</v>
      </c>
      <c r="Q32" s="11">
        <v>269.33</v>
      </c>
      <c r="R32" s="11">
        <v>154.12</v>
      </c>
      <c r="S32" s="11">
        <v>232.2</v>
      </c>
      <c r="T32" s="11">
        <v>90.6</v>
      </c>
      <c r="U32" s="33">
        <v>66.31</v>
      </c>
      <c r="V32" s="33">
        <v>108</v>
      </c>
      <c r="W32" s="11">
        <v>2176</v>
      </c>
      <c r="X32" s="11">
        <v>450</v>
      </c>
      <c r="Y32" s="31">
        <f t="shared" si="27"/>
        <v>2.6599999999998545</v>
      </c>
      <c r="Z32" s="32">
        <f t="shared" si="28"/>
        <v>0</v>
      </c>
      <c r="AA32" s="32">
        <f t="shared" si="29"/>
        <v>90</v>
      </c>
      <c r="AB32" s="32">
        <v>0</v>
      </c>
      <c r="AC32" s="33">
        <f t="shared" si="30"/>
        <v>50.000000000000007</v>
      </c>
      <c r="AD32" s="33">
        <v>17.399999999999999</v>
      </c>
      <c r="AE32" s="33">
        <v>4760</v>
      </c>
      <c r="AF32" s="33">
        <f t="shared" si="31"/>
        <v>4692.6000000000004</v>
      </c>
    </row>
    <row r="33" spans="1:32" ht="37.5" customHeight="1">
      <c r="A33" s="65" t="s">
        <v>27</v>
      </c>
      <c r="B33" s="66"/>
      <c r="C33" s="27">
        <f t="shared" ref="C33:AF33" si="33">SUM(C26:C32)</f>
        <v>65747.759999999995</v>
      </c>
      <c r="D33" s="27">
        <f t="shared" si="33"/>
        <v>27345.97</v>
      </c>
      <c r="E33" s="27">
        <f t="shared" si="33"/>
        <v>121</v>
      </c>
      <c r="F33" s="27">
        <f t="shared" si="33"/>
        <v>538</v>
      </c>
      <c r="G33" s="27">
        <f t="shared" si="33"/>
        <v>733.05</v>
      </c>
      <c r="H33" s="27">
        <f t="shared" si="33"/>
        <v>1846.8400000000001</v>
      </c>
      <c r="I33" s="27">
        <f t="shared" si="33"/>
        <v>96513.93</v>
      </c>
      <c r="J33" s="27">
        <f t="shared" si="33"/>
        <v>18622.919999999998</v>
      </c>
      <c r="K33" s="27">
        <f t="shared" si="33"/>
        <v>75868.030000000013</v>
      </c>
      <c r="L33" s="27">
        <f t="shared" si="33"/>
        <v>66993.850000000006</v>
      </c>
      <c r="M33" s="27">
        <f t="shared" si="33"/>
        <v>218.26999999999998</v>
      </c>
      <c r="N33" s="27">
        <f t="shared" si="33"/>
        <v>0</v>
      </c>
      <c r="O33" s="27">
        <f t="shared" si="33"/>
        <v>453.69000000000005</v>
      </c>
      <c r="P33" s="27">
        <f t="shared" si="33"/>
        <v>911.55000000000007</v>
      </c>
      <c r="Q33" s="27">
        <f t="shared" si="33"/>
        <v>3541.4399999999996</v>
      </c>
      <c r="R33" s="27">
        <f t="shared" si="33"/>
        <v>2561.9699999999998</v>
      </c>
      <c r="S33" s="27">
        <f t="shared" si="33"/>
        <v>1187.26</v>
      </c>
      <c r="T33" s="27">
        <f t="shared" si="33"/>
        <v>820.7399999999999</v>
      </c>
      <c r="U33" s="27">
        <f t="shared" si="33"/>
        <v>181.31</v>
      </c>
      <c r="V33" s="27">
        <f t="shared" si="33"/>
        <v>386.1</v>
      </c>
      <c r="W33" s="27">
        <f t="shared" si="33"/>
        <v>17185</v>
      </c>
      <c r="X33" s="27">
        <f t="shared" si="33"/>
        <v>3150</v>
      </c>
      <c r="Y33" s="27">
        <f t="shared" si="33"/>
        <v>-49.769999999999982</v>
      </c>
      <c r="Z33" s="27">
        <f t="shared" si="33"/>
        <v>-258.93000000000029</v>
      </c>
      <c r="AA33" s="27">
        <f t="shared" si="33"/>
        <v>390</v>
      </c>
      <c r="AB33" s="27">
        <f t="shared" si="33"/>
        <v>343.05</v>
      </c>
      <c r="AC33" s="27">
        <f t="shared" si="33"/>
        <v>425.8399999999998</v>
      </c>
      <c r="AD33" s="27">
        <f t="shared" si="33"/>
        <v>1421.0000000000002</v>
      </c>
      <c r="AE33" s="27">
        <f t="shared" si="33"/>
        <v>4760</v>
      </c>
      <c r="AF33" s="27">
        <f t="shared" si="33"/>
        <v>2913.1600000000003</v>
      </c>
    </row>
    <row r="34" spans="1:32" ht="20.25" customHeight="1">
      <c r="A34" s="9">
        <v>45257</v>
      </c>
      <c r="B34" s="10" t="s">
        <v>23</v>
      </c>
      <c r="C34" s="11">
        <v>10351.85</v>
      </c>
      <c r="D34" s="11">
        <v>3109.15</v>
      </c>
      <c r="E34" s="11">
        <v>0</v>
      </c>
      <c r="F34" s="11">
        <v>82</v>
      </c>
      <c r="G34" s="11">
        <v>110</v>
      </c>
      <c r="H34" s="11">
        <v>117</v>
      </c>
      <c r="I34" s="11">
        <f t="shared" ref="I34:I37" si="34">SUM(C34:H34,U34)</f>
        <v>13830</v>
      </c>
      <c r="J34" s="11">
        <v>2619.0500000000002</v>
      </c>
      <c r="K34" s="69">
        <f>SUM(L34:S34)</f>
        <v>11180.949999999999</v>
      </c>
      <c r="L34" s="11">
        <f>521.3+3095.3+6415.58</f>
        <v>10032.18</v>
      </c>
      <c r="M34" s="11">
        <v>27.71</v>
      </c>
      <c r="N34" s="11">
        <v>0</v>
      </c>
      <c r="O34" s="11">
        <v>70.959999999999994</v>
      </c>
      <c r="P34" s="11">
        <v>262.75</v>
      </c>
      <c r="Q34" s="11">
        <v>439.39</v>
      </c>
      <c r="R34" s="11">
        <v>269.94</v>
      </c>
      <c r="S34" s="11">
        <v>78.02</v>
      </c>
      <c r="T34" s="11">
        <v>0</v>
      </c>
      <c r="U34" s="33">
        <v>60</v>
      </c>
      <c r="V34" s="33">
        <v>40</v>
      </c>
      <c r="W34" s="11">
        <v>2505</v>
      </c>
      <c r="X34" s="11">
        <v>450</v>
      </c>
      <c r="Y34" s="31">
        <f>SUM(T34,U34,V34,W34)-J34</f>
        <v>-14.050000000000182</v>
      </c>
      <c r="Z34" s="32">
        <f t="shared" si="28"/>
        <v>0</v>
      </c>
      <c r="AA34" s="32">
        <f>SUM(G34-AB34)</f>
        <v>90</v>
      </c>
      <c r="AB34" s="33">
        <v>20</v>
      </c>
      <c r="AC34" s="33">
        <f>SUM(H34-AD34)</f>
        <v>107</v>
      </c>
      <c r="AD34" s="33">
        <v>10</v>
      </c>
      <c r="AE34" s="33"/>
      <c r="AF34" s="33">
        <f>SUM(AE34-H34)</f>
        <v>-117</v>
      </c>
    </row>
    <row r="35" spans="1:32" ht="20.25" customHeight="1">
      <c r="A35" s="9">
        <v>45258</v>
      </c>
      <c r="B35" s="10" t="s">
        <v>24</v>
      </c>
      <c r="C35" s="11">
        <v>10796.45</v>
      </c>
      <c r="D35" s="11">
        <v>3750.44</v>
      </c>
      <c r="E35" s="11">
        <v>17</v>
      </c>
      <c r="F35" s="11">
        <v>86</v>
      </c>
      <c r="G35" s="11">
        <v>100</v>
      </c>
      <c r="H35" s="11">
        <v>471.18</v>
      </c>
      <c r="I35" s="11">
        <f t="shared" si="34"/>
        <v>15251.070000000002</v>
      </c>
      <c r="J35" s="11">
        <v>2366.9</v>
      </c>
      <c r="K35" s="69">
        <f t="shared" ref="K35:K37" si="35">SUM(L35:S35)</f>
        <v>12587.990000000002</v>
      </c>
      <c r="L35" s="11">
        <f>697.34+4169.33+6388.55</f>
        <v>11255.220000000001</v>
      </c>
      <c r="M35" s="11">
        <v>40.01</v>
      </c>
      <c r="N35" s="11">
        <v>0</v>
      </c>
      <c r="O35" s="11">
        <v>0</v>
      </c>
      <c r="P35" s="11">
        <v>199.03</v>
      </c>
      <c r="Q35" s="11">
        <v>606.13</v>
      </c>
      <c r="R35" s="11">
        <v>324.35000000000002</v>
      </c>
      <c r="S35" s="11">
        <v>163.25</v>
      </c>
      <c r="T35" s="11">
        <v>400</v>
      </c>
      <c r="U35" s="33">
        <v>30</v>
      </c>
      <c r="V35" s="33">
        <v>84</v>
      </c>
      <c r="W35" s="11">
        <v>1732</v>
      </c>
      <c r="X35" s="11">
        <v>450</v>
      </c>
      <c r="Y35" s="31">
        <f>SUM(T35,U35,V35,W35)-J35</f>
        <v>-120.90000000000009</v>
      </c>
      <c r="Z35" s="32">
        <f t="shared" si="28"/>
        <v>23.819999999999709</v>
      </c>
      <c r="AA35" s="32">
        <f>SUM(G35-AB35)</f>
        <v>100</v>
      </c>
      <c r="AB35" s="33">
        <v>0</v>
      </c>
      <c r="AC35" s="33">
        <f>SUM(H35-AD35)</f>
        <v>151.18</v>
      </c>
      <c r="AD35" s="33">
        <v>320</v>
      </c>
      <c r="AE35" s="33"/>
      <c r="AF35" s="33">
        <f>SUM(AE35-H35)</f>
        <v>-471.18</v>
      </c>
    </row>
    <row r="36" spans="1:32" ht="20.25" customHeight="1">
      <c r="A36" s="9">
        <v>45259</v>
      </c>
      <c r="B36" s="10" t="s">
        <v>25</v>
      </c>
      <c r="C36" s="11">
        <v>11699.32</v>
      </c>
      <c r="D36" s="11">
        <v>4419.57</v>
      </c>
      <c r="E36" s="11">
        <v>33</v>
      </c>
      <c r="F36" s="11">
        <v>69</v>
      </c>
      <c r="G36" s="11">
        <v>165</v>
      </c>
      <c r="H36" s="11">
        <v>30</v>
      </c>
      <c r="I36" s="11">
        <f t="shared" si="34"/>
        <v>16496.059999999998</v>
      </c>
      <c r="J36" s="11">
        <f>2753.97-30</f>
        <v>2723.97</v>
      </c>
      <c r="K36" s="69">
        <f t="shared" si="35"/>
        <v>13619.080000000002</v>
      </c>
      <c r="L36" s="11">
        <f>1117.94+4225.74+6980.16</f>
        <v>12323.84</v>
      </c>
      <c r="M36" s="11">
        <v>28.58</v>
      </c>
      <c r="N36" s="11">
        <v>0</v>
      </c>
      <c r="O36" s="11">
        <v>185.12</v>
      </c>
      <c r="P36" s="11">
        <v>0</v>
      </c>
      <c r="Q36" s="11">
        <v>467.18</v>
      </c>
      <c r="R36" s="11">
        <v>434.2</v>
      </c>
      <c r="S36" s="11">
        <v>180.16</v>
      </c>
      <c r="T36" s="11">
        <f>253.5+310.4</f>
        <v>563.9</v>
      </c>
      <c r="U36" s="33">
        <v>80.17</v>
      </c>
      <c r="V36" s="33">
        <v>29</v>
      </c>
      <c r="W36" s="11">
        <v>2070</v>
      </c>
      <c r="X36" s="11">
        <v>450</v>
      </c>
      <c r="Y36" s="31">
        <f>SUM(T36,U36,V36,W36)-J36</f>
        <v>19.099999999999909</v>
      </c>
      <c r="Z36" s="32">
        <f t="shared" si="28"/>
        <v>-88.009999999994761</v>
      </c>
      <c r="AA36" s="32">
        <f>SUM(G36-AB36)</f>
        <v>100</v>
      </c>
      <c r="AB36" s="33">
        <v>65</v>
      </c>
      <c r="AC36" s="33">
        <f>SUM(H36-AD36)</f>
        <v>30</v>
      </c>
      <c r="AD36" s="33">
        <v>0</v>
      </c>
      <c r="AE36" s="33"/>
      <c r="AF36" s="33">
        <f>SUM(AE36-H36)</f>
        <v>-30</v>
      </c>
    </row>
    <row r="37" spans="1:32" ht="20.25" customHeight="1">
      <c r="A37" s="9">
        <v>45260</v>
      </c>
      <c r="B37" s="10" t="s">
        <v>26</v>
      </c>
      <c r="C37" s="11">
        <v>11707.13</v>
      </c>
      <c r="D37" s="11">
        <v>3847.59</v>
      </c>
      <c r="E37" s="11">
        <v>73</v>
      </c>
      <c r="F37" s="11">
        <v>196</v>
      </c>
      <c r="G37" s="11">
        <v>0</v>
      </c>
      <c r="H37" s="11">
        <v>11</v>
      </c>
      <c r="I37" s="11">
        <f t="shared" si="34"/>
        <v>15835.72</v>
      </c>
      <c r="J37" s="11">
        <v>2861.19</v>
      </c>
      <c r="K37" s="69">
        <f t="shared" si="35"/>
        <v>12968.529999999999</v>
      </c>
      <c r="L37" s="11">
        <f>593.48+3599.89+6978.59</f>
        <v>11171.96</v>
      </c>
      <c r="M37" s="11">
        <v>68.739999999999995</v>
      </c>
      <c r="N37" s="11">
        <v>0</v>
      </c>
      <c r="O37" s="11">
        <v>142.36000000000001</v>
      </c>
      <c r="P37" s="11">
        <v>243.31</v>
      </c>
      <c r="Q37" s="11">
        <v>1041.6500000000001</v>
      </c>
      <c r="R37" s="11">
        <v>164.68</v>
      </c>
      <c r="S37" s="11">
        <v>135.83000000000001</v>
      </c>
      <c r="T37" s="11">
        <v>1986.28</v>
      </c>
      <c r="U37" s="33">
        <v>1</v>
      </c>
      <c r="V37" s="33">
        <v>112</v>
      </c>
      <c r="W37" s="11">
        <v>761</v>
      </c>
      <c r="X37" s="11">
        <v>450</v>
      </c>
      <c r="Y37" s="31">
        <f>SUM(T37,U37,V37,W37)-J37</f>
        <v>-0.91000000000030923</v>
      </c>
      <c r="Z37" s="32">
        <f t="shared" si="28"/>
        <v>0</v>
      </c>
      <c r="AA37" s="32">
        <f>SUM(G37-AB37)</f>
        <v>0</v>
      </c>
      <c r="AB37" s="33">
        <v>0</v>
      </c>
      <c r="AC37" s="33">
        <f>SUM(H37-AD37)</f>
        <v>5</v>
      </c>
      <c r="AD37" s="33">
        <v>6</v>
      </c>
      <c r="AE37" s="33"/>
      <c r="AF37" s="33">
        <f>SUM(AE37-H37)</f>
        <v>-11</v>
      </c>
    </row>
    <row r="38" spans="1:32" ht="37.5" customHeight="1">
      <c r="A38" s="65" t="s">
        <v>27</v>
      </c>
      <c r="B38" s="66"/>
      <c r="C38" s="27">
        <f t="shared" ref="C38:AD38" si="36">SUM(C34:C37)</f>
        <v>44554.75</v>
      </c>
      <c r="D38" s="27">
        <f t="shared" si="36"/>
        <v>15126.75</v>
      </c>
      <c r="E38" s="27">
        <f t="shared" si="36"/>
        <v>123</v>
      </c>
      <c r="F38" s="27">
        <f t="shared" si="36"/>
        <v>433</v>
      </c>
      <c r="G38" s="27">
        <f t="shared" si="36"/>
        <v>375</v>
      </c>
      <c r="H38" s="27">
        <f t="shared" si="36"/>
        <v>629.18000000000006</v>
      </c>
      <c r="I38" s="27">
        <f t="shared" si="36"/>
        <v>61412.85</v>
      </c>
      <c r="J38" s="27">
        <f t="shared" si="36"/>
        <v>10571.11</v>
      </c>
      <c r="K38" s="27">
        <f t="shared" si="36"/>
        <v>50356.55</v>
      </c>
      <c r="L38" s="27">
        <f t="shared" si="36"/>
        <v>44783.200000000004</v>
      </c>
      <c r="M38" s="27">
        <f t="shared" si="36"/>
        <v>165.04</v>
      </c>
      <c r="N38" s="27">
        <f t="shared" si="36"/>
        <v>0</v>
      </c>
      <c r="O38" s="27">
        <f t="shared" si="36"/>
        <v>398.44</v>
      </c>
      <c r="P38" s="27">
        <f t="shared" si="36"/>
        <v>705.08999999999992</v>
      </c>
      <c r="Q38" s="27">
        <f t="shared" si="36"/>
        <v>2554.3500000000004</v>
      </c>
      <c r="R38" s="27">
        <f t="shared" si="36"/>
        <v>1193.17</v>
      </c>
      <c r="S38" s="27">
        <f t="shared" si="36"/>
        <v>557.26</v>
      </c>
      <c r="T38" s="27">
        <f t="shared" si="36"/>
        <v>2950.18</v>
      </c>
      <c r="U38" s="27">
        <f t="shared" si="36"/>
        <v>171.17000000000002</v>
      </c>
      <c r="V38" s="27">
        <f t="shared" si="36"/>
        <v>265</v>
      </c>
      <c r="W38" s="27">
        <f t="shared" si="36"/>
        <v>7068</v>
      </c>
      <c r="X38" s="27">
        <f t="shared" si="36"/>
        <v>1800</v>
      </c>
      <c r="Y38" s="27">
        <f t="shared" si="36"/>
        <v>-116.76000000000067</v>
      </c>
      <c r="Z38" s="27">
        <f t="shared" si="36"/>
        <v>-64.189999999995052</v>
      </c>
      <c r="AA38" s="27">
        <f t="shared" si="36"/>
        <v>290</v>
      </c>
      <c r="AB38" s="27">
        <f t="shared" si="36"/>
        <v>85</v>
      </c>
      <c r="AC38" s="27">
        <f t="shared" si="36"/>
        <v>293.18</v>
      </c>
      <c r="AD38" s="27">
        <f t="shared" si="36"/>
        <v>336</v>
      </c>
      <c r="AE38" s="27" t="s">
        <v>36</v>
      </c>
      <c r="AF38" s="27">
        <f>SUM(AF34:AF37)</f>
        <v>-629.18000000000006</v>
      </c>
    </row>
    <row r="39" spans="1:32" ht="51.75" customHeight="1">
      <c r="A39" s="67" t="s">
        <v>17</v>
      </c>
      <c r="B39" s="68"/>
      <c r="C39" s="30">
        <f t="shared" ref="C39:AF39" si="37">SUM(C9,C17,C25,C33,C38)</f>
        <v>312310.3</v>
      </c>
      <c r="D39" s="30">
        <f t="shared" si="37"/>
        <v>123581.34</v>
      </c>
      <c r="E39" s="30">
        <f t="shared" si="37"/>
        <v>633.5</v>
      </c>
      <c r="F39" s="30">
        <f t="shared" si="37"/>
        <v>2805</v>
      </c>
      <c r="G39" s="30">
        <f t="shared" si="37"/>
        <v>2834.55</v>
      </c>
      <c r="H39" s="30">
        <f t="shared" si="37"/>
        <v>6493.9400000000005</v>
      </c>
      <c r="I39" s="30">
        <f t="shared" si="37"/>
        <v>449704.14999999997</v>
      </c>
      <c r="J39" s="30">
        <f t="shared" si="37"/>
        <v>82877.440000000002</v>
      </c>
      <c r="K39" s="30">
        <f t="shared" si="37"/>
        <v>360524.51</v>
      </c>
      <c r="L39" s="30">
        <f t="shared" si="37"/>
        <v>323062.83</v>
      </c>
      <c r="M39" s="30">
        <f t="shared" si="37"/>
        <v>1875.33</v>
      </c>
      <c r="N39" s="30">
        <f t="shared" si="37"/>
        <v>199.03</v>
      </c>
      <c r="O39" s="30">
        <f t="shared" si="37"/>
        <v>1637.3300000000002</v>
      </c>
      <c r="P39" s="30">
        <f t="shared" si="37"/>
        <v>3731.13</v>
      </c>
      <c r="Q39" s="30">
        <f t="shared" si="37"/>
        <v>14696.51</v>
      </c>
      <c r="R39" s="30">
        <f t="shared" si="37"/>
        <v>10015.15</v>
      </c>
      <c r="S39" s="30">
        <f t="shared" si="37"/>
        <v>5307.2000000000007</v>
      </c>
      <c r="T39" s="30">
        <f t="shared" si="37"/>
        <v>9431.2799999999988</v>
      </c>
      <c r="U39" s="30">
        <f t="shared" si="37"/>
        <v>1045.52</v>
      </c>
      <c r="V39" s="30">
        <f t="shared" si="37"/>
        <v>1464.5</v>
      </c>
      <c r="W39" s="30">
        <f t="shared" si="37"/>
        <v>70271.05</v>
      </c>
      <c r="X39" s="30">
        <f t="shared" si="37"/>
        <v>14400</v>
      </c>
      <c r="Y39" s="30">
        <f t="shared" si="37"/>
        <v>-261.6200000000012</v>
      </c>
      <c r="Z39" s="30">
        <f t="shared" si="37"/>
        <v>-1090.0299999999879</v>
      </c>
      <c r="AA39" s="30">
        <f t="shared" si="37"/>
        <v>1712.5</v>
      </c>
      <c r="AB39" s="30">
        <f t="shared" si="37"/>
        <v>1122.05</v>
      </c>
      <c r="AC39" s="30">
        <f t="shared" si="37"/>
        <v>2403.8199999999997</v>
      </c>
      <c r="AD39" s="30">
        <f t="shared" si="37"/>
        <v>4090.12</v>
      </c>
      <c r="AE39" s="30">
        <f t="shared" si="37"/>
        <v>19680</v>
      </c>
      <c r="AF39" s="30">
        <f t="shared" si="37"/>
        <v>13186.06</v>
      </c>
    </row>
    <row r="41" spans="1:32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  <c r="X41" s="41"/>
      <c r="Y41" s="41"/>
      <c r="Z41" s="41"/>
      <c r="AA41" s="41"/>
      <c r="AB41" s="41"/>
      <c r="AC41" s="41"/>
      <c r="AD41" s="41"/>
      <c r="AE41" s="41"/>
      <c r="AF41" s="41"/>
    </row>
    <row r="42" spans="1:32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  <c r="X42" s="41"/>
      <c r="Y42" s="41"/>
      <c r="Z42" s="41"/>
      <c r="AA42" s="41"/>
      <c r="AB42" s="41"/>
      <c r="AC42" s="41"/>
      <c r="AD42" s="41"/>
      <c r="AE42" s="41"/>
      <c r="AF42" s="41"/>
    </row>
    <row r="43" spans="1:32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  <c r="X43" s="42"/>
      <c r="Y43" s="42"/>
      <c r="Z43" s="42"/>
      <c r="AA43" s="42"/>
      <c r="AB43" s="42"/>
      <c r="AC43" s="42"/>
      <c r="AD43" s="42"/>
      <c r="AE43" s="42"/>
      <c r="AF43" s="42"/>
    </row>
    <row r="44" spans="1:32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  <c r="X44" s="42"/>
      <c r="Y44" s="42"/>
      <c r="Z44" s="42"/>
      <c r="AA44" s="42"/>
      <c r="AB44" s="42"/>
      <c r="AC44" s="42"/>
      <c r="AD44" s="42"/>
      <c r="AE44" s="42"/>
      <c r="AF44" s="42"/>
    </row>
    <row r="45" spans="1:32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</row>
    <row r="47" spans="1:32" hidden="1"/>
    <row r="48" spans="1:32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33"/>
      <c r="V48" s="33"/>
      <c r="W48" s="11"/>
      <c r="X48" s="11"/>
      <c r="Y48" s="31"/>
      <c r="Z48" s="32"/>
      <c r="AA48" s="32"/>
      <c r="AB48" s="32"/>
      <c r="AC48" s="33"/>
      <c r="AD48" s="33"/>
      <c r="AE48" s="33"/>
      <c r="AF48" s="33"/>
    </row>
    <row r="49" spans="1:32" ht="18.75" hidden="1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33"/>
      <c r="V49" s="33"/>
      <c r="W49" s="11"/>
      <c r="X49" s="11"/>
      <c r="Y49" s="31"/>
      <c r="Z49" s="32"/>
      <c r="AA49" s="32"/>
      <c r="AB49" s="32"/>
      <c r="AC49" s="33"/>
      <c r="AD49" s="33"/>
      <c r="AE49" s="33"/>
      <c r="AF49" s="33"/>
    </row>
    <row r="50" spans="1:32" s="28" customFormat="1" ht="18.75" hidden="1">
      <c r="A50"/>
      <c r="B5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11"/>
      <c r="Q50" s="11"/>
      <c r="R50" s="11"/>
      <c r="S50" s="11"/>
      <c r="T50" s="11"/>
      <c r="U50" s="33"/>
      <c r="V50" s="33"/>
      <c r="W50" s="11"/>
      <c r="X50" s="11"/>
      <c r="Y50" s="31"/>
      <c r="Z50" s="32"/>
      <c r="AA50" s="32"/>
      <c r="AB50" s="32"/>
      <c r="AC50" s="33"/>
      <c r="AD50" s="33"/>
      <c r="AE50" s="33"/>
      <c r="AF50" s="33"/>
    </row>
    <row r="51" spans="1:32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</row>
    <row r="52" spans="1:32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</row>
    <row r="53" spans="1:32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</row>
  </sheetData>
  <mergeCells count="6">
    <mergeCell ref="A39:B39"/>
    <mergeCell ref="A9:B9"/>
    <mergeCell ref="A17:B17"/>
    <mergeCell ref="A25:B25"/>
    <mergeCell ref="A33:B33"/>
    <mergeCell ref="A38:B38"/>
  </mergeCells>
  <conditionalFormatting sqref="Y48:AB50 Y18:AB24 Y26:AB32 Y34:AA37 Z7:AC7 Y2:AB8 Y10:AA16">
    <cfRule type="cellIs" dxfId="47" priority="55" operator="lessThan">
      <formula>0</formula>
    </cfRule>
    <cfRule type="cellIs" dxfId="46" priority="56" operator="greaterThan">
      <formula>0</formula>
    </cfRule>
  </conditionalFormatting>
  <conditionalFormatting sqref="Y48:AC50 Y18:AC24 Y26:AC32 Y34:AA37 AC34:AC37 AC10:AC16 Z7:AD7 Y2:AC8 Y10:AA16">
    <cfRule type="cellIs" dxfId="45" priority="52" operator="equal">
      <formula>0</formula>
    </cfRule>
    <cfRule type="cellIs" dxfId="44" priority="53" operator="lessThan">
      <formula>0</formula>
    </cfRule>
    <cfRule type="cellIs" dxfId="43" priority="54" operator="greaterThan">
      <formula>0</formula>
    </cfRule>
  </conditionalFormatting>
  <conditionalFormatting sqref="AF18:AF24 AF26:AF32 AF10:AF16 AF34:AF37 AG7 AF2:AF8">
    <cfRule type="cellIs" dxfId="42" priority="49" operator="equal">
      <formula>0</formula>
    </cfRule>
    <cfRule type="cellIs" dxfId="41" priority="50" operator="lessThan">
      <formula>0</formula>
    </cfRule>
    <cfRule type="cellIs" dxfId="40" priority="51" operator="greaterThan">
      <formula>0</formula>
    </cfRule>
  </conditionalFormatting>
  <conditionalFormatting sqref="Y2:AB2">
    <cfRule type="cellIs" dxfId="39" priority="15" operator="lessThan">
      <formula>0</formula>
    </cfRule>
    <cfRule type="cellIs" dxfId="38" priority="16" operator="greaterThan">
      <formula>0</formula>
    </cfRule>
  </conditionalFormatting>
  <conditionalFormatting sqref="Y2:AC2">
    <cfRule type="cellIs" dxfId="37" priority="12" operator="equal">
      <formula>0</formula>
    </cfRule>
    <cfRule type="cellIs" dxfId="36" priority="13" operator="lessThan">
      <formula>0</formula>
    </cfRule>
    <cfRule type="cellIs" dxfId="35" priority="14" operator="greaterThan">
      <formula>0</formula>
    </cfRule>
  </conditionalFormatting>
  <conditionalFormatting sqref="AF2">
    <cfRule type="cellIs" dxfId="34" priority="9" operator="equal">
      <formula>0</formula>
    </cfRule>
    <cfRule type="cellIs" dxfId="33" priority="10" operator="lessThan">
      <formula>0</formula>
    </cfRule>
    <cfRule type="cellIs" dxfId="32" priority="11" operator="greaterThan">
      <formula>0</formula>
    </cfRule>
  </conditionalFormatting>
  <conditionalFormatting sqref="Y3:AB3">
    <cfRule type="cellIs" dxfId="31" priority="7" operator="lessThan">
      <formula>0</formula>
    </cfRule>
    <cfRule type="cellIs" dxfId="30" priority="8" operator="greaterThan">
      <formula>0</formula>
    </cfRule>
  </conditionalFormatting>
  <conditionalFormatting sqref="Y3:AC3">
    <cfRule type="cellIs" dxfId="29" priority="4" operator="equal">
      <formula>0</formula>
    </cfRule>
    <cfRule type="cellIs" dxfId="28" priority="5" operator="lessThan">
      <formula>0</formula>
    </cfRule>
    <cfRule type="cellIs" dxfId="27" priority="6" operator="greaterThan">
      <formula>0</formula>
    </cfRule>
  </conditionalFormatting>
  <conditionalFormatting sqref="AF3">
    <cfRule type="cellIs" dxfId="26" priority="1" operator="equal">
      <formula>0</formula>
    </cfRule>
    <cfRule type="cellIs" dxfId="25" priority="2" operator="lessThan">
      <formula>0</formula>
    </cfRule>
    <cfRule type="cellIs" dxfId="24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>
  <dimension ref="A1:AI56"/>
  <sheetViews>
    <sheetView tabSelected="1" zoomScale="60" zoomScaleNormal="60" workbookViewId="0">
      <pane ySplit="1" topLeftCell="A14" activePane="bottomLeft" state="frozen"/>
      <selection pane="bottomLeft" activeCell="L36" sqref="L36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1.85546875" customWidth="1"/>
    <col min="6" max="6" width="14.5703125" customWidth="1"/>
    <col min="7" max="8" width="13.5703125" customWidth="1"/>
    <col min="9" max="9" width="14.5703125" customWidth="1"/>
    <col min="10" max="11" width="13.42578125" customWidth="1"/>
    <col min="12" max="13" width="14.7109375" customWidth="1"/>
    <col min="14" max="15" width="14" customWidth="1"/>
    <col min="16" max="16" width="15.7109375" customWidth="1"/>
    <col min="17" max="17" width="16.42578125" customWidth="1"/>
    <col min="18" max="20" width="15.5703125" customWidth="1"/>
    <col min="21" max="21" width="13.85546875" customWidth="1"/>
    <col min="22" max="22" width="13.5703125" customWidth="1"/>
    <col min="23" max="23" width="14.28515625" customWidth="1"/>
    <col min="24" max="24" width="13" customWidth="1"/>
    <col min="25" max="25" width="14.85546875" customWidth="1"/>
    <col min="26" max="26" width="15.85546875" customWidth="1"/>
    <col min="27" max="29" width="16.5703125" customWidth="1"/>
    <col min="30" max="30" width="14" customWidth="1"/>
    <col min="31" max="31" width="13" customWidth="1"/>
    <col min="32" max="32" width="14.85546875" customWidth="1"/>
    <col min="33" max="33" width="15.5703125" customWidth="1"/>
  </cols>
  <sheetData>
    <row r="1" spans="1:33" ht="64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91</v>
      </c>
      <c r="H1" s="8" t="s">
        <v>37</v>
      </c>
      <c r="I1" s="8" t="s">
        <v>4</v>
      </c>
      <c r="J1" s="8" t="s">
        <v>5</v>
      </c>
      <c r="K1" s="8" t="s">
        <v>117</v>
      </c>
      <c r="L1" s="8" t="s">
        <v>43</v>
      </c>
      <c r="M1" s="8" t="s">
        <v>44</v>
      </c>
      <c r="N1" s="8" t="s">
        <v>42</v>
      </c>
      <c r="O1" s="8" t="s">
        <v>108</v>
      </c>
      <c r="P1" s="8" t="s">
        <v>96</v>
      </c>
      <c r="Q1" s="8" t="s">
        <v>109</v>
      </c>
      <c r="R1" s="8" t="s">
        <v>110</v>
      </c>
      <c r="S1" s="8" t="s">
        <v>111</v>
      </c>
      <c r="T1" s="8" t="s">
        <v>107</v>
      </c>
      <c r="U1" s="8" t="s">
        <v>9</v>
      </c>
      <c r="V1" s="8" t="s">
        <v>10</v>
      </c>
      <c r="W1" s="8" t="s">
        <v>11</v>
      </c>
      <c r="X1" s="8" t="s">
        <v>12</v>
      </c>
      <c r="Y1" s="8" t="s">
        <v>13</v>
      </c>
      <c r="Z1" s="8" t="s">
        <v>14</v>
      </c>
      <c r="AA1" s="8" t="s">
        <v>34</v>
      </c>
      <c r="AB1" s="23" t="s">
        <v>94</v>
      </c>
      <c r="AC1" s="23" t="s">
        <v>95</v>
      </c>
      <c r="AD1" s="23" t="s">
        <v>39</v>
      </c>
      <c r="AE1" s="23" t="s">
        <v>40</v>
      </c>
      <c r="AF1" s="23" t="s">
        <v>78</v>
      </c>
      <c r="AG1" s="23" t="s">
        <v>79</v>
      </c>
    </row>
    <row r="2" spans="1:33" ht="20.25" customHeight="1">
      <c r="A2" s="9">
        <v>45257</v>
      </c>
      <c r="B2" s="10" t="s">
        <v>23</v>
      </c>
      <c r="C2" s="11">
        <v>10351.85</v>
      </c>
      <c r="D2" s="11">
        <v>3109.15</v>
      </c>
      <c r="E2" s="11">
        <v>0</v>
      </c>
      <c r="F2" s="11">
        <v>82</v>
      </c>
      <c r="G2" s="11">
        <v>110</v>
      </c>
      <c r="H2" s="11">
        <v>117</v>
      </c>
      <c r="I2" s="11">
        <f t="shared" ref="I2:I5" si="0">SUM(C2:H2,V2)</f>
        <v>13830</v>
      </c>
      <c r="J2" s="11">
        <v>2619.0500000000002</v>
      </c>
      <c r="K2" s="11"/>
      <c r="L2" s="11">
        <f>SUM(M2:T2)</f>
        <v>11180.949999999999</v>
      </c>
      <c r="M2" s="11">
        <f>521.3+3095.3+6415.58</f>
        <v>10032.18</v>
      </c>
      <c r="N2" s="11">
        <v>27.71</v>
      </c>
      <c r="O2" s="11">
        <v>0</v>
      </c>
      <c r="P2" s="11">
        <v>70.959999999999994</v>
      </c>
      <c r="Q2" s="11">
        <v>262.75</v>
      </c>
      <c r="R2" s="11">
        <v>439.39</v>
      </c>
      <c r="S2" s="11">
        <v>269.94</v>
      </c>
      <c r="T2" s="11">
        <v>78.02</v>
      </c>
      <c r="U2" s="11">
        <v>0</v>
      </c>
      <c r="V2" s="33">
        <v>60</v>
      </c>
      <c r="W2" s="33">
        <v>40</v>
      </c>
      <c r="X2" s="11">
        <v>2505</v>
      </c>
      <c r="Y2" s="11">
        <v>450</v>
      </c>
      <c r="Z2" s="31">
        <f>SUM(U2,V2,W2,X2)-J2</f>
        <v>-14.050000000000182</v>
      </c>
      <c r="AA2" s="32">
        <f t="shared" ref="AA2:AA5" si="1">SUM(J2+L2+AE2+AC2)-(I2)</f>
        <v>0</v>
      </c>
      <c r="AB2" s="32">
        <f>SUM(G2-AC2)</f>
        <v>90</v>
      </c>
      <c r="AC2" s="33">
        <v>20</v>
      </c>
      <c r="AD2" s="33">
        <f>SUM(H2-AE2)</f>
        <v>107</v>
      </c>
      <c r="AE2" s="33">
        <v>10</v>
      </c>
      <c r="AF2" s="33"/>
      <c r="AG2" s="33">
        <f>SUM(AF2-H2)</f>
        <v>-117</v>
      </c>
    </row>
    <row r="3" spans="1:33" ht="20.25" customHeight="1">
      <c r="A3" s="9">
        <v>45258</v>
      </c>
      <c r="B3" s="10" t="s">
        <v>24</v>
      </c>
      <c r="C3" s="11">
        <v>10796.45</v>
      </c>
      <c r="D3" s="11">
        <v>3750.44</v>
      </c>
      <c r="E3" s="11">
        <v>17</v>
      </c>
      <c r="F3" s="11">
        <v>86</v>
      </c>
      <c r="G3" s="11">
        <v>100</v>
      </c>
      <c r="H3" s="11">
        <v>471.18</v>
      </c>
      <c r="I3" s="11">
        <f t="shared" si="0"/>
        <v>15251.070000000002</v>
      </c>
      <c r="J3" s="11">
        <v>2366.9</v>
      </c>
      <c r="K3" s="11"/>
      <c r="L3" s="11">
        <f t="shared" ref="L3:L5" si="2">SUM(M3:T3)</f>
        <v>12587.990000000002</v>
      </c>
      <c r="M3" s="11">
        <f>697.34+4169.33+6388.55</f>
        <v>11255.220000000001</v>
      </c>
      <c r="N3" s="11">
        <v>40.01</v>
      </c>
      <c r="O3" s="11">
        <v>0</v>
      </c>
      <c r="P3" s="11">
        <v>0</v>
      </c>
      <c r="Q3" s="11">
        <v>199.03</v>
      </c>
      <c r="R3" s="11">
        <v>606.13</v>
      </c>
      <c r="S3" s="11">
        <v>324.35000000000002</v>
      </c>
      <c r="T3" s="11">
        <v>163.25</v>
      </c>
      <c r="U3" s="11">
        <v>400</v>
      </c>
      <c r="V3" s="33">
        <v>30</v>
      </c>
      <c r="W3" s="33">
        <v>84</v>
      </c>
      <c r="X3" s="11">
        <v>1732</v>
      </c>
      <c r="Y3" s="11">
        <v>450</v>
      </c>
      <c r="Z3" s="31">
        <f>SUM(U3,V3,W3,X3)-J3</f>
        <v>-120.90000000000009</v>
      </c>
      <c r="AA3" s="32">
        <f t="shared" si="1"/>
        <v>23.819999999999709</v>
      </c>
      <c r="AB3" s="32">
        <f>SUM(G3-AC3)</f>
        <v>100</v>
      </c>
      <c r="AC3" s="33">
        <v>0</v>
      </c>
      <c r="AD3" s="33">
        <f>SUM(H3-AE3)</f>
        <v>151.18</v>
      </c>
      <c r="AE3" s="33">
        <v>320</v>
      </c>
      <c r="AF3" s="33"/>
      <c r="AG3" s="33">
        <f>SUM(AF3-H3)</f>
        <v>-471.18</v>
      </c>
    </row>
    <row r="4" spans="1:33" ht="20.25" customHeight="1">
      <c r="A4" s="9">
        <v>45259</v>
      </c>
      <c r="B4" s="10" t="s">
        <v>25</v>
      </c>
      <c r="C4" s="11">
        <v>11699.32</v>
      </c>
      <c r="D4" s="11">
        <v>4419.57</v>
      </c>
      <c r="E4" s="11">
        <v>33</v>
      </c>
      <c r="F4" s="11">
        <v>69</v>
      </c>
      <c r="G4" s="11">
        <v>165</v>
      </c>
      <c r="H4" s="11">
        <v>30</v>
      </c>
      <c r="I4" s="11">
        <f t="shared" si="0"/>
        <v>16496.059999999998</v>
      </c>
      <c r="J4" s="11">
        <f>2753.97-30</f>
        <v>2723.97</v>
      </c>
      <c r="K4" s="11"/>
      <c r="L4" s="11">
        <f t="shared" si="2"/>
        <v>13619.080000000002</v>
      </c>
      <c r="M4" s="11">
        <f>1117.94+4225.74+6980.16</f>
        <v>12323.84</v>
      </c>
      <c r="N4" s="11">
        <v>28.58</v>
      </c>
      <c r="O4" s="11">
        <v>0</v>
      </c>
      <c r="P4" s="11">
        <v>185.12</v>
      </c>
      <c r="Q4" s="11">
        <v>0</v>
      </c>
      <c r="R4" s="11">
        <v>467.18</v>
      </c>
      <c r="S4" s="11">
        <v>434.2</v>
      </c>
      <c r="T4" s="11">
        <v>180.16</v>
      </c>
      <c r="U4" s="11">
        <f>253.5+310.4</f>
        <v>563.9</v>
      </c>
      <c r="V4" s="33">
        <v>80.17</v>
      </c>
      <c r="W4" s="33">
        <v>29</v>
      </c>
      <c r="X4" s="11">
        <v>2070</v>
      </c>
      <c r="Y4" s="11">
        <v>450</v>
      </c>
      <c r="Z4" s="31">
        <f>SUM(U4,V4,W4,X4)-J4</f>
        <v>19.099999999999909</v>
      </c>
      <c r="AA4" s="32">
        <f t="shared" si="1"/>
        <v>-88.009999999994761</v>
      </c>
      <c r="AB4" s="32">
        <f>SUM(G4-AC4)</f>
        <v>100</v>
      </c>
      <c r="AC4" s="33">
        <v>65</v>
      </c>
      <c r="AD4" s="33">
        <f>SUM(H4-AE4)</f>
        <v>30</v>
      </c>
      <c r="AE4" s="33">
        <v>0</v>
      </c>
      <c r="AF4" s="33"/>
      <c r="AG4" s="33">
        <f>SUM(AF4-H4)</f>
        <v>-30</v>
      </c>
    </row>
    <row r="5" spans="1:33" ht="20.25" customHeight="1">
      <c r="A5" s="9">
        <v>45260</v>
      </c>
      <c r="B5" s="10" t="s">
        <v>26</v>
      </c>
      <c r="C5" s="11">
        <v>11707.13</v>
      </c>
      <c r="D5" s="11">
        <v>3847.59</v>
      </c>
      <c r="E5" s="11">
        <v>73</v>
      </c>
      <c r="F5" s="11">
        <v>196</v>
      </c>
      <c r="G5" s="11">
        <v>0</v>
      </c>
      <c r="H5" s="11">
        <v>11</v>
      </c>
      <c r="I5" s="11">
        <f t="shared" si="0"/>
        <v>15835.72</v>
      </c>
      <c r="J5" s="11">
        <v>2861.19</v>
      </c>
      <c r="K5" s="11"/>
      <c r="L5" s="69">
        <f t="shared" si="2"/>
        <v>12968.529999999999</v>
      </c>
      <c r="M5" s="11">
        <f>593.48+3599.89+6978.59</f>
        <v>11171.96</v>
      </c>
      <c r="N5" s="11">
        <v>68.739999999999995</v>
      </c>
      <c r="O5" s="11">
        <v>0</v>
      </c>
      <c r="P5" s="11">
        <v>142.36000000000001</v>
      </c>
      <c r="Q5" s="11">
        <v>243.31</v>
      </c>
      <c r="R5" s="11">
        <v>1041.6500000000001</v>
      </c>
      <c r="S5" s="11">
        <v>164.68</v>
      </c>
      <c r="T5" s="11">
        <v>135.83000000000001</v>
      </c>
      <c r="U5" s="11">
        <v>1986.28</v>
      </c>
      <c r="V5" s="33">
        <v>1</v>
      </c>
      <c r="W5" s="33">
        <v>112</v>
      </c>
      <c r="X5" s="11">
        <v>761</v>
      </c>
      <c r="Y5" s="11">
        <v>450</v>
      </c>
      <c r="Z5" s="31">
        <f>SUM(U5,V5,W5,X5)-J5</f>
        <v>-0.91000000000030923</v>
      </c>
      <c r="AA5" s="32">
        <f t="shared" si="1"/>
        <v>0</v>
      </c>
      <c r="AB5" s="32">
        <f>SUM(G5-AC5)</f>
        <v>0</v>
      </c>
      <c r="AC5" s="33">
        <v>0</v>
      </c>
      <c r="AD5" s="33">
        <f>SUM(H5-AE5)</f>
        <v>5</v>
      </c>
      <c r="AE5" s="33">
        <v>6</v>
      </c>
      <c r="AF5" s="33"/>
      <c r="AG5" s="33">
        <f>SUM(AF5-H5)</f>
        <v>-11</v>
      </c>
    </row>
    <row r="6" spans="1:33" ht="20.25" customHeight="1">
      <c r="A6" s="9">
        <v>45261</v>
      </c>
      <c r="B6" s="10" t="s">
        <v>20</v>
      </c>
      <c r="C6" s="11">
        <v>12894.52</v>
      </c>
      <c r="D6" s="11">
        <v>5037.91</v>
      </c>
      <c r="E6" s="11">
        <v>208</v>
      </c>
      <c r="F6" s="11">
        <v>120</v>
      </c>
      <c r="G6" s="11">
        <v>125</v>
      </c>
      <c r="H6" s="11">
        <v>152.5</v>
      </c>
      <c r="I6" s="11">
        <f t="shared" ref="I6:I8" si="3">SUM(C6:H6,V6)</f>
        <v>18647.93</v>
      </c>
      <c r="J6" s="11">
        <v>3132.3</v>
      </c>
      <c r="K6" s="11"/>
      <c r="L6" s="69">
        <f t="shared" ref="L6:L7" si="4">SUM(M6:T6)</f>
        <v>15059.689999999999</v>
      </c>
      <c r="M6" s="11">
        <f>1330.78+4876.49+7147.72</f>
        <v>13354.99</v>
      </c>
      <c r="N6" s="11">
        <v>88.63</v>
      </c>
      <c r="O6" s="11">
        <v>0</v>
      </c>
      <c r="P6" s="11">
        <v>53.94</v>
      </c>
      <c r="Q6" s="11">
        <v>62.6</v>
      </c>
      <c r="R6" s="11">
        <v>951.63</v>
      </c>
      <c r="S6" s="11">
        <v>479.96</v>
      </c>
      <c r="T6" s="11">
        <v>67.94</v>
      </c>
      <c r="U6" s="11">
        <v>270.73</v>
      </c>
      <c r="V6" s="33">
        <v>110</v>
      </c>
      <c r="W6" s="33">
        <v>13.1</v>
      </c>
      <c r="X6" s="11">
        <v>2703</v>
      </c>
      <c r="Y6" s="11">
        <v>450</v>
      </c>
      <c r="Z6" s="31">
        <f t="shared" ref="Z6:Z8" si="5">SUM(U6,V6,W6,X6)-J6</f>
        <v>-35.470000000000255</v>
      </c>
      <c r="AA6" s="32">
        <f t="shared" ref="AA6:AA7" si="6">SUM(J6+L6+AE6+AC6)-(I6)</f>
        <v>-228.44000000000233</v>
      </c>
      <c r="AB6" s="32">
        <f t="shared" ref="AB6:AB8" si="7">SUM(G6-AC6)</f>
        <v>10</v>
      </c>
      <c r="AC6" s="32">
        <v>115</v>
      </c>
      <c r="AD6" s="33">
        <f t="shared" ref="AD6:AD8" si="8">SUM(H6-AE6)</f>
        <v>40</v>
      </c>
      <c r="AE6" s="33">
        <v>112.5</v>
      </c>
      <c r="AF6" s="33"/>
      <c r="AG6" s="33">
        <f t="shared" ref="AG6:AG8" si="9">SUM(AF6-H6)</f>
        <v>-152.5</v>
      </c>
    </row>
    <row r="7" spans="1:33" ht="20.25" customHeight="1">
      <c r="A7" s="9">
        <v>45262</v>
      </c>
      <c r="B7" s="10" t="s">
        <v>21</v>
      </c>
      <c r="C7" s="11">
        <v>8455.15</v>
      </c>
      <c r="D7" s="11">
        <v>4662.6899999999996</v>
      </c>
      <c r="E7" s="11">
        <v>28</v>
      </c>
      <c r="F7" s="11">
        <v>118</v>
      </c>
      <c r="G7" s="11">
        <v>70</v>
      </c>
      <c r="H7" s="11">
        <v>22</v>
      </c>
      <c r="I7" s="11">
        <f>SUM(C7:H7,V7)</f>
        <v>13360.84</v>
      </c>
      <c r="J7" s="11">
        <v>2219.96</v>
      </c>
      <c r="K7" s="11"/>
      <c r="L7" s="69">
        <f t="shared" si="4"/>
        <v>11290.87</v>
      </c>
      <c r="M7" s="11">
        <f>1040.06+3898.92+5420.77</f>
        <v>10359.75</v>
      </c>
      <c r="N7" s="11">
        <v>109.52</v>
      </c>
      <c r="O7" s="11">
        <v>0</v>
      </c>
      <c r="P7" s="11">
        <v>0</v>
      </c>
      <c r="Q7" s="11">
        <v>189.09</v>
      </c>
      <c r="R7" s="11">
        <v>244.67</v>
      </c>
      <c r="S7" s="11">
        <v>219.43</v>
      </c>
      <c r="T7" s="11">
        <v>168.41</v>
      </c>
      <c r="U7" s="11">
        <v>0</v>
      </c>
      <c r="V7" s="33">
        <v>5</v>
      </c>
      <c r="W7" s="33">
        <v>76.8</v>
      </c>
      <c r="X7" s="11">
        <v>2138</v>
      </c>
      <c r="Y7" s="11">
        <v>450</v>
      </c>
      <c r="Z7" s="31">
        <f>SUM(U7,V7,W7,X7)-J7</f>
        <v>-0.15999999999985448</v>
      </c>
      <c r="AA7" s="32">
        <f t="shared" si="6"/>
        <v>201.9900000000016</v>
      </c>
      <c r="AB7" s="32">
        <f>SUM(G7-AC7)</f>
        <v>20</v>
      </c>
      <c r="AC7" s="32">
        <v>50</v>
      </c>
      <c r="AD7" s="33">
        <f>SUM(H7-AE7)</f>
        <v>20</v>
      </c>
      <c r="AE7" s="33">
        <v>2</v>
      </c>
      <c r="AF7" s="33"/>
      <c r="AG7" s="33">
        <f>SUM(AF7-H7)</f>
        <v>-22</v>
      </c>
    </row>
    <row r="8" spans="1:33" ht="18.75">
      <c r="A8" s="9">
        <v>45263</v>
      </c>
      <c r="B8" s="10" t="s">
        <v>22</v>
      </c>
      <c r="C8" s="11">
        <v>5119.2700000000004</v>
      </c>
      <c r="D8" s="11">
        <v>3232.9</v>
      </c>
      <c r="E8" s="11">
        <v>5</v>
      </c>
      <c r="F8" s="11">
        <v>42</v>
      </c>
      <c r="G8" s="11">
        <v>215</v>
      </c>
      <c r="H8" s="11">
        <v>42</v>
      </c>
      <c r="I8" s="11">
        <f t="shared" si="3"/>
        <v>8656.17</v>
      </c>
      <c r="J8" s="11">
        <f>1600.33-24.99</f>
        <v>1575.34</v>
      </c>
      <c r="K8" s="11"/>
      <c r="L8" s="69">
        <v>7010.83</v>
      </c>
      <c r="M8" s="11">
        <f>636+2394.14+3514.93</f>
        <v>6545.07</v>
      </c>
      <c r="N8" s="11">
        <v>40.020000000000003</v>
      </c>
      <c r="O8" s="11">
        <v>0</v>
      </c>
      <c r="P8" s="11">
        <v>0</v>
      </c>
      <c r="Q8" s="11">
        <v>0</v>
      </c>
      <c r="R8" s="11">
        <v>85.02</v>
      </c>
      <c r="S8" s="11">
        <v>165.86</v>
      </c>
      <c r="T8" s="11">
        <v>174.86</v>
      </c>
      <c r="U8" s="11">
        <v>171</v>
      </c>
      <c r="V8" s="33">
        <v>0</v>
      </c>
      <c r="W8" s="33">
        <v>35</v>
      </c>
      <c r="X8" s="11">
        <v>1371</v>
      </c>
      <c r="Y8" s="11">
        <v>450</v>
      </c>
      <c r="Z8" s="31">
        <f t="shared" si="5"/>
        <v>1.6600000000000819</v>
      </c>
      <c r="AA8" s="32">
        <f>SUM(J8+L8+AE8+AC8)-(I8)</f>
        <v>0</v>
      </c>
      <c r="AB8" s="32">
        <f t="shared" si="7"/>
        <v>145</v>
      </c>
      <c r="AC8" s="32">
        <v>70</v>
      </c>
      <c r="AD8" s="33">
        <f t="shared" si="8"/>
        <v>42</v>
      </c>
      <c r="AE8" s="33">
        <v>0</v>
      </c>
      <c r="AF8" s="33">
        <v>4680</v>
      </c>
      <c r="AG8" s="33">
        <f t="shared" si="9"/>
        <v>4638</v>
      </c>
    </row>
    <row r="9" spans="1:33" ht="37.5" customHeight="1">
      <c r="A9" s="65" t="s">
        <v>27</v>
      </c>
      <c r="B9" s="66"/>
      <c r="C9" s="27">
        <f t="shared" ref="C9:AG9" si="10">SUM(C2:C8)</f>
        <v>71023.69</v>
      </c>
      <c r="D9" s="27">
        <f t="shared" si="10"/>
        <v>28060.25</v>
      </c>
      <c r="E9" s="27">
        <f t="shared" si="10"/>
        <v>364</v>
      </c>
      <c r="F9" s="27">
        <f t="shared" si="10"/>
        <v>713</v>
      </c>
      <c r="G9" s="27">
        <f t="shared" si="10"/>
        <v>785</v>
      </c>
      <c r="H9" s="27">
        <f t="shared" si="10"/>
        <v>845.68000000000006</v>
      </c>
      <c r="I9" s="27">
        <f t="shared" si="10"/>
        <v>102077.79</v>
      </c>
      <c r="J9" s="27">
        <f t="shared" si="10"/>
        <v>17498.71</v>
      </c>
      <c r="K9" s="27">
        <f t="shared" ref="K9" si="11">SUM(K2:K8)</f>
        <v>0</v>
      </c>
      <c r="L9" s="27">
        <f t="shared" si="10"/>
        <v>83717.94</v>
      </c>
      <c r="M9" s="27">
        <f t="shared" si="10"/>
        <v>75043.010000000009</v>
      </c>
      <c r="N9" s="27">
        <f t="shared" si="10"/>
        <v>403.21</v>
      </c>
      <c r="O9" s="27">
        <f t="shared" si="10"/>
        <v>0</v>
      </c>
      <c r="P9" s="27">
        <f t="shared" si="10"/>
        <v>452.38</v>
      </c>
      <c r="Q9" s="27">
        <f t="shared" si="10"/>
        <v>956.78</v>
      </c>
      <c r="R9" s="27">
        <f t="shared" si="10"/>
        <v>3835.6700000000005</v>
      </c>
      <c r="S9" s="27">
        <f t="shared" si="10"/>
        <v>2058.42</v>
      </c>
      <c r="T9" s="27">
        <f t="shared" si="10"/>
        <v>968.47</v>
      </c>
      <c r="U9" s="27">
        <f t="shared" si="10"/>
        <v>3391.91</v>
      </c>
      <c r="V9" s="27">
        <f t="shared" si="10"/>
        <v>286.17</v>
      </c>
      <c r="W9" s="27">
        <f t="shared" si="10"/>
        <v>389.90000000000003</v>
      </c>
      <c r="X9" s="27">
        <f t="shared" si="10"/>
        <v>13280</v>
      </c>
      <c r="Y9" s="27">
        <f t="shared" si="10"/>
        <v>3150</v>
      </c>
      <c r="Z9" s="27">
        <f t="shared" si="10"/>
        <v>-150.7300000000007</v>
      </c>
      <c r="AA9" s="27">
        <f t="shared" si="10"/>
        <v>-90.63999999999578</v>
      </c>
      <c r="AB9" s="27">
        <f t="shared" si="10"/>
        <v>465</v>
      </c>
      <c r="AC9" s="27">
        <f t="shared" si="10"/>
        <v>320</v>
      </c>
      <c r="AD9" s="27">
        <f t="shared" si="10"/>
        <v>395.18</v>
      </c>
      <c r="AE9" s="27">
        <f t="shared" si="10"/>
        <v>450.5</v>
      </c>
      <c r="AF9" s="27">
        <f t="shared" si="10"/>
        <v>4680</v>
      </c>
      <c r="AG9" s="27">
        <f t="shared" si="10"/>
        <v>3834.3199999999997</v>
      </c>
    </row>
    <row r="10" spans="1:33" s="35" customFormat="1" ht="18.75">
      <c r="A10" s="9">
        <v>45264</v>
      </c>
      <c r="B10" s="10" t="s">
        <v>23</v>
      </c>
      <c r="C10" s="11">
        <v>10694.08</v>
      </c>
      <c r="D10" s="11">
        <v>3133.28</v>
      </c>
      <c r="E10" s="11">
        <v>0</v>
      </c>
      <c r="F10" s="11">
        <v>51</v>
      </c>
      <c r="G10" s="11">
        <v>35</v>
      </c>
      <c r="H10" s="11">
        <v>219</v>
      </c>
      <c r="I10" s="11">
        <f t="shared" ref="I10:I16" si="12">SUM(C10:H10,V10)</f>
        <v>14172.36</v>
      </c>
      <c r="J10" s="11">
        <v>2561.6999999999998</v>
      </c>
      <c r="K10" s="11"/>
      <c r="L10" s="69">
        <f>SUM(M10:T10)</f>
        <v>11440.720000000001</v>
      </c>
      <c r="M10" s="11">
        <f>1051.17+3330.77+5705.21</f>
        <v>10087.150000000001</v>
      </c>
      <c r="N10" s="11">
        <v>25</v>
      </c>
      <c r="O10" s="11">
        <v>0</v>
      </c>
      <c r="P10" s="11">
        <v>57.1</v>
      </c>
      <c r="Q10" s="11">
        <v>197.07</v>
      </c>
      <c r="R10" s="11">
        <v>468.41</v>
      </c>
      <c r="S10" s="11">
        <v>529.67999999999995</v>
      </c>
      <c r="T10" s="11">
        <v>76.31</v>
      </c>
      <c r="U10" s="11">
        <v>366.68</v>
      </c>
      <c r="V10" s="33">
        <v>40</v>
      </c>
      <c r="W10" s="33">
        <v>25</v>
      </c>
      <c r="X10" s="11">
        <v>2109</v>
      </c>
      <c r="Y10" s="11">
        <v>450</v>
      </c>
      <c r="Z10" s="31">
        <f t="shared" ref="Z10:Z13" si="13">SUM(U10,V10,W10,X10)-J10</f>
        <v>-21.019999999999982</v>
      </c>
      <c r="AA10" s="32">
        <f t="shared" ref="AA10:AA16" si="14">SUM(J10+L10+AE10+AC10)-(I10)</f>
        <v>-74.93999999999869</v>
      </c>
      <c r="AB10" s="32">
        <f t="shared" ref="AB10:AB16" si="15">SUM(G10-AC10)</f>
        <v>15</v>
      </c>
      <c r="AC10" s="33">
        <v>20</v>
      </c>
      <c r="AD10" s="33">
        <f t="shared" ref="AD10:AD16" si="16">SUM(H10-AE10)</f>
        <v>144</v>
      </c>
      <c r="AE10" s="33">
        <v>75</v>
      </c>
      <c r="AF10" s="33"/>
      <c r="AG10" s="33">
        <f t="shared" ref="AG10:AG16" si="17">SUM(AF10-H10)</f>
        <v>-219</v>
      </c>
    </row>
    <row r="11" spans="1:33" s="35" customFormat="1" ht="18.75">
      <c r="A11" s="9">
        <v>45265</v>
      </c>
      <c r="B11" s="10" t="s">
        <v>24</v>
      </c>
      <c r="C11" s="11">
        <v>10307.44</v>
      </c>
      <c r="D11" s="11">
        <v>3505.14</v>
      </c>
      <c r="E11" s="11">
        <v>267.5</v>
      </c>
      <c r="F11" s="11">
        <v>43</v>
      </c>
      <c r="G11" s="11">
        <v>50</v>
      </c>
      <c r="H11" s="11">
        <v>739.57</v>
      </c>
      <c r="I11" s="11">
        <f t="shared" si="12"/>
        <v>14913.65</v>
      </c>
      <c r="J11" s="11">
        <v>2606.5300000000002</v>
      </c>
      <c r="K11" s="11"/>
      <c r="L11" s="69">
        <f>SUM(M11:T11)</f>
        <v>11642.119999999999</v>
      </c>
      <c r="M11" s="11">
        <f>766.85+3633.77+5893.3</f>
        <v>10293.92</v>
      </c>
      <c r="N11" s="11">
        <v>0</v>
      </c>
      <c r="O11" s="11">
        <v>0</v>
      </c>
      <c r="P11" s="11">
        <v>32.83</v>
      </c>
      <c r="Q11" s="11">
        <v>135.55000000000001</v>
      </c>
      <c r="R11" s="11">
        <v>435.79</v>
      </c>
      <c r="S11" s="11">
        <v>585.88</v>
      </c>
      <c r="T11" s="11">
        <v>158.15</v>
      </c>
      <c r="U11" s="11">
        <v>0</v>
      </c>
      <c r="V11" s="33">
        <v>1</v>
      </c>
      <c r="W11" s="33">
        <v>11</v>
      </c>
      <c r="X11" s="11">
        <v>2591</v>
      </c>
      <c r="Y11" s="11">
        <v>450</v>
      </c>
      <c r="Z11" s="31">
        <f t="shared" si="13"/>
        <v>-3.5300000000002001</v>
      </c>
      <c r="AA11" s="32">
        <f t="shared" si="14"/>
        <v>0</v>
      </c>
      <c r="AB11" s="32">
        <f t="shared" si="15"/>
        <v>50</v>
      </c>
      <c r="AC11" s="33">
        <v>0</v>
      </c>
      <c r="AD11" s="33">
        <f t="shared" si="16"/>
        <v>74.57000000000005</v>
      </c>
      <c r="AE11" s="33">
        <v>665</v>
      </c>
      <c r="AF11" s="33"/>
      <c r="AG11" s="33">
        <f t="shared" si="17"/>
        <v>-739.57</v>
      </c>
    </row>
    <row r="12" spans="1:33" s="35" customFormat="1" ht="18.75">
      <c r="A12" s="9">
        <v>45266</v>
      </c>
      <c r="B12" s="10" t="s">
        <v>25</v>
      </c>
      <c r="C12" s="11">
        <v>10107.25</v>
      </c>
      <c r="D12" s="11">
        <v>3728.08</v>
      </c>
      <c r="E12" s="11">
        <v>7.5</v>
      </c>
      <c r="F12" s="11">
        <v>73</v>
      </c>
      <c r="G12" s="11">
        <v>120</v>
      </c>
      <c r="H12" s="11">
        <v>204.25</v>
      </c>
      <c r="I12" s="11">
        <f t="shared" si="12"/>
        <v>14270.34</v>
      </c>
      <c r="J12" s="11">
        <v>2500.69</v>
      </c>
      <c r="K12" s="11"/>
      <c r="L12" s="69">
        <f t="shared" ref="L12:L16" si="18">SUM(M12:T12)</f>
        <v>11570.64</v>
      </c>
      <c r="M12" s="11">
        <f>1079.94+3507.96+5733.03</f>
        <v>10320.93</v>
      </c>
      <c r="N12" s="11">
        <v>66.83</v>
      </c>
      <c r="O12" s="11">
        <v>93.98</v>
      </c>
      <c r="P12" s="11">
        <v>110.85</v>
      </c>
      <c r="Q12" s="11">
        <v>518.84</v>
      </c>
      <c r="R12" s="11">
        <v>305.81</v>
      </c>
      <c r="S12" s="11">
        <v>71.47</v>
      </c>
      <c r="T12" s="11">
        <v>81.93</v>
      </c>
      <c r="U12" s="11">
        <v>535.37</v>
      </c>
      <c r="V12" s="33">
        <v>30.26</v>
      </c>
      <c r="W12" s="33">
        <v>30</v>
      </c>
      <c r="X12" s="11">
        <v>1807.5</v>
      </c>
      <c r="Y12" s="11">
        <v>450</v>
      </c>
      <c r="Z12" s="31">
        <f t="shared" si="13"/>
        <v>-97.559999999999945</v>
      </c>
      <c r="AA12" s="32">
        <f t="shared" si="14"/>
        <v>-89.760000000000218</v>
      </c>
      <c r="AB12" s="32">
        <f t="shared" si="15"/>
        <v>100</v>
      </c>
      <c r="AC12" s="33">
        <v>20</v>
      </c>
      <c r="AD12" s="33">
        <f t="shared" si="16"/>
        <v>115</v>
      </c>
      <c r="AE12" s="33">
        <v>89.25</v>
      </c>
      <c r="AF12" s="33"/>
      <c r="AG12" s="33">
        <f t="shared" si="17"/>
        <v>-204.25</v>
      </c>
    </row>
    <row r="13" spans="1:33" s="35" customFormat="1" ht="18.75">
      <c r="A13" s="9">
        <v>45267</v>
      </c>
      <c r="B13" s="10" t="s">
        <v>26</v>
      </c>
      <c r="C13" s="11">
        <v>9964.3700000000008</v>
      </c>
      <c r="D13" s="11">
        <v>3552.81</v>
      </c>
      <c r="E13" s="11">
        <v>7.5</v>
      </c>
      <c r="F13" s="11">
        <v>90</v>
      </c>
      <c r="G13" s="11">
        <v>65</v>
      </c>
      <c r="H13" s="11">
        <v>127</v>
      </c>
      <c r="I13" s="11">
        <f t="shared" si="12"/>
        <v>13891.68</v>
      </c>
      <c r="J13" s="11">
        <v>2451.5300000000002</v>
      </c>
      <c r="K13" s="11"/>
      <c r="L13" s="70">
        <v>13891.68</v>
      </c>
      <c r="M13" s="11">
        <f>11305.15-521.51-351.53</f>
        <v>10432.109999999999</v>
      </c>
      <c r="N13" s="11">
        <v>0</v>
      </c>
      <c r="O13" s="11">
        <v>0</v>
      </c>
      <c r="P13" s="11">
        <v>0</v>
      </c>
      <c r="Q13" s="11">
        <v>0</v>
      </c>
      <c r="R13" s="11">
        <v>521.51</v>
      </c>
      <c r="S13" s="11">
        <v>351.53</v>
      </c>
      <c r="T13" s="11">
        <v>39.049999999999997</v>
      </c>
      <c r="U13" s="11">
        <v>203.06</v>
      </c>
      <c r="V13" s="33">
        <v>85</v>
      </c>
      <c r="W13" s="33">
        <v>119</v>
      </c>
      <c r="X13" s="11">
        <v>2048</v>
      </c>
      <c r="Y13" s="11">
        <v>450</v>
      </c>
      <c r="Z13" s="31">
        <f t="shared" si="13"/>
        <v>3.5299999999997453</v>
      </c>
      <c r="AA13" s="32">
        <v>45</v>
      </c>
      <c r="AB13" s="32">
        <v>20</v>
      </c>
      <c r="AC13" s="33">
        <v>45</v>
      </c>
      <c r="AD13" s="33">
        <v>37</v>
      </c>
      <c r="AE13" s="33">
        <v>90</v>
      </c>
      <c r="AF13" s="33"/>
      <c r="AG13" s="33">
        <f t="shared" si="17"/>
        <v>-127</v>
      </c>
    </row>
    <row r="14" spans="1:33" s="35" customFormat="1" ht="18.75">
      <c r="A14" s="9">
        <v>45268</v>
      </c>
      <c r="B14" s="10" t="s">
        <v>20</v>
      </c>
      <c r="C14" s="11">
        <v>11350.44</v>
      </c>
      <c r="D14" s="11">
        <v>4834.7299999999996</v>
      </c>
      <c r="E14" s="11">
        <v>91</v>
      </c>
      <c r="F14" s="11">
        <v>123</v>
      </c>
      <c r="G14" s="11">
        <v>50</v>
      </c>
      <c r="H14" s="11">
        <v>135</v>
      </c>
      <c r="I14" s="11">
        <f t="shared" ref="I14" si="19">SUM(C14:H14,V14)</f>
        <v>16635.169999999998</v>
      </c>
      <c r="J14" s="11">
        <v>3195.47</v>
      </c>
      <c r="K14" s="11"/>
      <c r="L14" s="69">
        <f t="shared" ref="L14" si="20">SUM(M14:T14)</f>
        <v>13319.699999999999</v>
      </c>
      <c r="M14" s="11">
        <f>1335.86+4130.98+6356.03</f>
        <v>11822.869999999999</v>
      </c>
      <c r="N14" s="11">
        <v>100.62</v>
      </c>
      <c r="O14" s="11">
        <v>0</v>
      </c>
      <c r="P14" s="11">
        <v>50.22</v>
      </c>
      <c r="Q14" s="11">
        <v>60.04</v>
      </c>
      <c r="R14" s="11">
        <v>832.64</v>
      </c>
      <c r="S14" s="11">
        <v>240.57</v>
      </c>
      <c r="T14" s="11">
        <v>212.74</v>
      </c>
      <c r="U14" s="11">
        <v>220.33</v>
      </c>
      <c r="V14" s="33">
        <v>51</v>
      </c>
      <c r="W14" s="33">
        <v>71.3</v>
      </c>
      <c r="X14" s="11">
        <v>2805</v>
      </c>
      <c r="Y14" s="11">
        <v>450</v>
      </c>
      <c r="Z14" s="31">
        <f t="shared" ref="Z14" si="21">SUM(U14,V14,W14,X14)-J14</f>
        <v>-47.839999999999691</v>
      </c>
      <c r="AA14" s="32">
        <f t="shared" ref="AA14" si="22">SUM(J14+L14+AE14+AC14)-(I14)</f>
        <v>0</v>
      </c>
      <c r="AB14" s="32">
        <f t="shared" ref="AB14" si="23">SUM(G14-AC14)</f>
        <v>0</v>
      </c>
      <c r="AC14" s="33">
        <v>50</v>
      </c>
      <c r="AD14" s="33">
        <f t="shared" ref="AD14" si="24">SUM(H14-AE14)</f>
        <v>65</v>
      </c>
      <c r="AE14" s="33">
        <v>70</v>
      </c>
      <c r="AF14" s="33"/>
      <c r="AG14" s="33">
        <f t="shared" ref="AG14" si="25">SUM(AF14-H14)</f>
        <v>-135</v>
      </c>
    </row>
    <row r="15" spans="1:33" s="35" customFormat="1" ht="18.75">
      <c r="A15" s="9">
        <v>45269</v>
      </c>
      <c r="B15" s="10" t="s">
        <v>21</v>
      </c>
      <c r="C15" s="11">
        <v>7315.68</v>
      </c>
      <c r="D15" s="11">
        <v>4389.55</v>
      </c>
      <c r="E15" s="11">
        <v>32</v>
      </c>
      <c r="F15" s="11">
        <v>127</v>
      </c>
      <c r="G15" s="11">
        <v>80</v>
      </c>
      <c r="H15" s="11">
        <v>45</v>
      </c>
      <c r="I15" s="11">
        <f t="shared" ref="I15" si="26">SUM(C15:H15,V15)</f>
        <v>12074.23</v>
      </c>
      <c r="J15" s="43">
        <v>1968.35</v>
      </c>
      <c r="K15" s="43"/>
      <c r="L15" s="69">
        <f t="shared" ref="L15" si="27">SUM(M15:T15)</f>
        <v>10101.91</v>
      </c>
      <c r="M15" s="11">
        <f>946.85+3364.67+5317.99</f>
        <v>9629.51</v>
      </c>
      <c r="N15" s="11">
        <v>0</v>
      </c>
      <c r="O15" s="11">
        <v>0</v>
      </c>
      <c r="P15" s="11">
        <v>0</v>
      </c>
      <c r="Q15" s="11">
        <v>0</v>
      </c>
      <c r="R15" s="11">
        <v>110.49</v>
      </c>
      <c r="S15" s="11">
        <v>181.66</v>
      </c>
      <c r="T15" s="11">
        <v>180.25</v>
      </c>
      <c r="U15" s="11">
        <v>0</v>
      </c>
      <c r="V15" s="33">
        <v>85</v>
      </c>
      <c r="W15" s="33">
        <v>27</v>
      </c>
      <c r="X15" s="11">
        <v>1908</v>
      </c>
      <c r="Y15" s="11">
        <v>450</v>
      </c>
      <c r="Z15" s="31">
        <f t="shared" ref="Z15" si="28">SUM(U15,V15,W15,X15)-J15</f>
        <v>51.650000000000091</v>
      </c>
      <c r="AA15" s="32">
        <f t="shared" ref="AA15" si="29">SUM(J15+L15+AE15+AC15)-(I15)</f>
        <v>1.0300000000006548</v>
      </c>
      <c r="AB15" s="32">
        <f t="shared" ref="AB15" si="30">SUM(G15-AC15)</f>
        <v>80</v>
      </c>
      <c r="AC15" s="33">
        <v>0</v>
      </c>
      <c r="AD15" s="33">
        <f t="shared" ref="AD15" si="31">SUM(H15-AE15)</f>
        <v>40</v>
      </c>
      <c r="AE15" s="33">
        <v>5</v>
      </c>
      <c r="AF15" s="33"/>
      <c r="AG15" s="33">
        <f t="shared" ref="AG15" si="32">SUM(AF15-H15)</f>
        <v>-45</v>
      </c>
    </row>
    <row r="16" spans="1:33" s="35" customFormat="1" ht="18.75">
      <c r="A16" s="9">
        <v>45270</v>
      </c>
      <c r="B16" s="10" t="s">
        <v>22</v>
      </c>
      <c r="C16" s="11">
        <v>8118.81</v>
      </c>
      <c r="D16" s="11">
        <v>3720.37</v>
      </c>
      <c r="E16" s="11">
        <v>0</v>
      </c>
      <c r="F16" s="11">
        <v>61</v>
      </c>
      <c r="G16" s="11">
        <v>80</v>
      </c>
      <c r="H16" s="11">
        <v>116</v>
      </c>
      <c r="I16" s="11">
        <f t="shared" si="12"/>
        <v>12136.2</v>
      </c>
      <c r="J16" s="11">
        <v>2432.91</v>
      </c>
      <c r="K16" s="11"/>
      <c r="L16" s="70">
        <f t="shared" si="18"/>
        <v>9735.34</v>
      </c>
      <c r="M16" s="11">
        <f>9637.29-142.08-81.38-277.64-337.82-207.84</f>
        <v>8590.5300000000025</v>
      </c>
      <c r="N16" s="11">
        <v>142.08000000000001</v>
      </c>
      <c r="O16" s="11">
        <v>0</v>
      </c>
      <c r="P16" s="11">
        <v>81.38</v>
      </c>
      <c r="Q16" s="11">
        <v>277.64</v>
      </c>
      <c r="R16" s="11">
        <v>337.82</v>
      </c>
      <c r="S16" s="11">
        <v>207.84</v>
      </c>
      <c r="T16" s="11">
        <v>98.05</v>
      </c>
      <c r="U16" s="11">
        <v>90.4</v>
      </c>
      <c r="V16" s="33">
        <v>40.020000000000003</v>
      </c>
      <c r="W16" s="33">
        <v>19</v>
      </c>
      <c r="X16" s="11">
        <v>2285</v>
      </c>
      <c r="Y16" s="11">
        <v>450</v>
      </c>
      <c r="Z16" s="31">
        <v>1.51</v>
      </c>
      <c r="AA16" s="32">
        <f t="shared" si="14"/>
        <v>98.049999999999272</v>
      </c>
      <c r="AB16" s="32">
        <f t="shared" si="15"/>
        <v>70</v>
      </c>
      <c r="AC16" s="33">
        <v>10</v>
      </c>
      <c r="AD16" s="33">
        <f t="shared" si="16"/>
        <v>60</v>
      </c>
      <c r="AE16" s="33">
        <v>56</v>
      </c>
      <c r="AF16" s="33">
        <v>3470</v>
      </c>
      <c r="AG16" s="33">
        <f t="shared" si="17"/>
        <v>3354</v>
      </c>
    </row>
    <row r="17" spans="1:35" ht="37.5" customHeight="1">
      <c r="A17" s="65" t="s">
        <v>27</v>
      </c>
      <c r="B17" s="66"/>
      <c r="C17" s="27">
        <f>SUM(C10:C16)</f>
        <v>67858.070000000007</v>
      </c>
      <c r="D17" s="27">
        <f t="shared" ref="D17:AG17" si="33">SUM(D10:D16)</f>
        <v>26863.96</v>
      </c>
      <c r="E17" s="27">
        <f t="shared" si="33"/>
        <v>405.5</v>
      </c>
      <c r="F17" s="27">
        <f t="shared" si="33"/>
        <v>568</v>
      </c>
      <c r="G17" s="27">
        <f t="shared" si="33"/>
        <v>480</v>
      </c>
      <c r="H17" s="27">
        <f t="shared" si="33"/>
        <v>1585.8200000000002</v>
      </c>
      <c r="I17" s="27">
        <f t="shared" si="33"/>
        <v>98093.63</v>
      </c>
      <c r="J17" s="27">
        <f t="shared" si="33"/>
        <v>17717.18</v>
      </c>
      <c r="K17" s="27">
        <f t="shared" ref="K17" si="34">SUM(K10:K16)</f>
        <v>0</v>
      </c>
      <c r="L17" s="27">
        <f t="shared" si="33"/>
        <v>81702.109999999986</v>
      </c>
      <c r="M17" s="27">
        <f t="shared" si="33"/>
        <v>71177.02</v>
      </c>
      <c r="N17" s="27">
        <f t="shared" si="33"/>
        <v>334.53</v>
      </c>
      <c r="O17" s="27">
        <f t="shared" si="33"/>
        <v>93.98</v>
      </c>
      <c r="P17" s="27">
        <f t="shared" si="33"/>
        <v>332.38</v>
      </c>
      <c r="Q17" s="27">
        <f t="shared" si="33"/>
        <v>1189.1399999999999</v>
      </c>
      <c r="R17" s="27">
        <f t="shared" si="33"/>
        <v>3012.47</v>
      </c>
      <c r="S17" s="27">
        <f t="shared" si="33"/>
        <v>2168.63</v>
      </c>
      <c r="T17" s="27">
        <f t="shared" si="33"/>
        <v>846.48</v>
      </c>
      <c r="U17" s="27">
        <f t="shared" si="33"/>
        <v>1415.84</v>
      </c>
      <c r="V17" s="27">
        <f t="shared" si="33"/>
        <v>332.28</v>
      </c>
      <c r="W17" s="27">
        <v>22</v>
      </c>
      <c r="X17" s="27">
        <f t="shared" si="33"/>
        <v>15553.5</v>
      </c>
      <c r="Y17" s="27">
        <f t="shared" si="33"/>
        <v>3150</v>
      </c>
      <c r="Z17" s="27">
        <f t="shared" si="33"/>
        <v>-113.25999999999998</v>
      </c>
      <c r="AA17" s="27">
        <f t="shared" si="33"/>
        <v>-20.619999999998981</v>
      </c>
      <c r="AB17" s="27">
        <f t="shared" si="33"/>
        <v>335</v>
      </c>
      <c r="AC17" s="27">
        <f t="shared" si="33"/>
        <v>145</v>
      </c>
      <c r="AD17" s="27">
        <f t="shared" si="33"/>
        <v>535.57000000000005</v>
      </c>
      <c r="AE17" s="27">
        <f t="shared" si="33"/>
        <v>1050.25</v>
      </c>
      <c r="AF17" s="27">
        <f>SUM(AF10:AF16)</f>
        <v>3470</v>
      </c>
      <c r="AG17" s="27">
        <f t="shared" si="33"/>
        <v>1884.1799999999998</v>
      </c>
    </row>
    <row r="18" spans="1:35" s="35" customFormat="1" ht="18.75">
      <c r="A18" s="9">
        <v>45271</v>
      </c>
      <c r="B18" s="10" t="s">
        <v>23</v>
      </c>
      <c r="C18" s="11">
        <v>9969.08</v>
      </c>
      <c r="D18" s="11">
        <v>3200.29</v>
      </c>
      <c r="E18" s="11">
        <v>16</v>
      </c>
      <c r="F18" s="11">
        <v>60</v>
      </c>
      <c r="G18" s="11">
        <v>85</v>
      </c>
      <c r="H18" s="11">
        <v>512.91</v>
      </c>
      <c r="I18" s="11">
        <f t="shared" ref="I18:I24" si="35">SUM(C18:H18,V18)</f>
        <v>13843.279999999999</v>
      </c>
      <c r="J18" s="11">
        <v>2560.88</v>
      </c>
      <c r="K18" s="11"/>
      <c r="L18" s="69">
        <f>SUM(M18:T18)</f>
        <v>10767.610000000002</v>
      </c>
      <c r="M18" s="11">
        <f>1021.94+3132.14+5552.65</f>
        <v>9706.73</v>
      </c>
      <c r="N18" s="11">
        <v>0</v>
      </c>
      <c r="O18" s="11">
        <v>0</v>
      </c>
      <c r="P18" s="11">
        <v>84.11</v>
      </c>
      <c r="Q18" s="11">
        <v>156.94999999999999</v>
      </c>
      <c r="R18" s="11">
        <v>545.49</v>
      </c>
      <c r="S18" s="11">
        <v>198.29</v>
      </c>
      <c r="T18" s="11">
        <v>76.040000000000006</v>
      </c>
      <c r="U18" s="11">
        <v>100</v>
      </c>
      <c r="V18" s="33">
        <v>0</v>
      </c>
      <c r="W18" s="33">
        <v>66</v>
      </c>
      <c r="X18" s="11">
        <v>2400</v>
      </c>
      <c r="Y18" s="11">
        <v>450</v>
      </c>
      <c r="Z18" s="31">
        <f t="shared" ref="Z18:Z24" si="36">SUM(U18,V18,W18,X18)-J18</f>
        <v>5.1199999999998909</v>
      </c>
      <c r="AA18" s="32">
        <f t="shared" ref="AA18:AA23" si="37">SUM(J18+K18+L18+AE18+AC18)-(I18)</f>
        <v>-434.78999999999724</v>
      </c>
      <c r="AB18" s="32">
        <f t="shared" ref="AB18:AB24" si="38">SUM(G18-AC18)</f>
        <v>45</v>
      </c>
      <c r="AC18" s="32">
        <v>40</v>
      </c>
      <c r="AD18" s="33">
        <f t="shared" ref="AD18:AD24" si="39">SUM(H18-AE18)</f>
        <v>472.90999999999997</v>
      </c>
      <c r="AE18" s="33">
        <v>40</v>
      </c>
      <c r="AF18" s="33"/>
      <c r="AG18" s="33">
        <f t="shared" ref="AG18:AG24" si="40">SUM(AF18-H18)</f>
        <v>-512.91</v>
      </c>
      <c r="AH18" s="35" t="s">
        <v>114</v>
      </c>
    </row>
    <row r="19" spans="1:35" s="35" customFormat="1" ht="18.75">
      <c r="A19" s="9">
        <v>45272</v>
      </c>
      <c r="B19" s="10" t="s">
        <v>24</v>
      </c>
      <c r="C19" s="11">
        <v>8879.27</v>
      </c>
      <c r="D19" s="11">
        <v>3536.99</v>
      </c>
      <c r="E19" s="11">
        <v>7</v>
      </c>
      <c r="F19" s="11">
        <v>51</v>
      </c>
      <c r="G19" s="11">
        <v>588.48</v>
      </c>
      <c r="H19" s="11">
        <v>495</v>
      </c>
      <c r="I19" s="11">
        <f t="shared" si="35"/>
        <v>13557.74</v>
      </c>
      <c r="J19" s="11">
        <v>2305.0500000000002</v>
      </c>
      <c r="K19" s="11"/>
      <c r="L19" s="69">
        <f>SUM(M19:T19)</f>
        <v>10219.209999999999</v>
      </c>
      <c r="M19" s="11">
        <f>1107.93+3153.59+4879.41</f>
        <v>9140.93</v>
      </c>
      <c r="N19" s="11">
        <v>53.21</v>
      </c>
      <c r="O19" s="11">
        <v>0</v>
      </c>
      <c r="P19" s="11">
        <v>166.59</v>
      </c>
      <c r="Q19" s="11">
        <v>138.46</v>
      </c>
      <c r="R19" s="11">
        <v>457.9</v>
      </c>
      <c r="S19" s="11">
        <v>205.62</v>
      </c>
      <c r="T19" s="11">
        <v>56.5</v>
      </c>
      <c r="U19" s="11">
        <v>301.75</v>
      </c>
      <c r="V19" s="33">
        <v>0</v>
      </c>
      <c r="W19" s="33">
        <v>50</v>
      </c>
      <c r="X19" s="11">
        <v>1955</v>
      </c>
      <c r="Y19" s="11">
        <v>450</v>
      </c>
      <c r="Z19" s="31">
        <f t="shared" si="36"/>
        <v>1.6999999999998181</v>
      </c>
      <c r="AA19" s="32">
        <f t="shared" si="37"/>
        <v>-933.48000000000138</v>
      </c>
      <c r="AB19" s="32">
        <f t="shared" si="38"/>
        <v>573.48</v>
      </c>
      <c r="AC19" s="32">
        <v>15</v>
      </c>
      <c r="AD19" s="33">
        <f t="shared" si="39"/>
        <v>410</v>
      </c>
      <c r="AE19" s="33">
        <v>85</v>
      </c>
      <c r="AF19" s="33"/>
      <c r="AG19" s="33">
        <f t="shared" si="40"/>
        <v>-495</v>
      </c>
      <c r="AH19" s="35">
        <v>933.48</v>
      </c>
      <c r="AI19" s="35" t="s">
        <v>113</v>
      </c>
    </row>
    <row r="20" spans="1:35" s="35" customFormat="1" ht="18.75">
      <c r="A20" s="9">
        <v>45273</v>
      </c>
      <c r="B20" s="10" t="s">
        <v>25</v>
      </c>
      <c r="C20" s="11">
        <v>9387.64</v>
      </c>
      <c r="D20" s="11">
        <v>3914.6</v>
      </c>
      <c r="E20" s="11">
        <v>18</v>
      </c>
      <c r="F20" s="11">
        <v>91</v>
      </c>
      <c r="G20" s="11">
        <v>343</v>
      </c>
      <c r="H20" s="11">
        <v>496.69</v>
      </c>
      <c r="I20" s="11">
        <f t="shared" si="35"/>
        <v>14300.93</v>
      </c>
      <c r="J20" s="11">
        <v>2747.33</v>
      </c>
      <c r="K20" s="11"/>
      <c r="L20" s="69">
        <f t="shared" ref="L20:L24" si="41">SUM(M20:T20)</f>
        <v>10915.599999999999</v>
      </c>
      <c r="M20" s="11">
        <f>513.15+3347.42+6049.27</f>
        <v>9909.84</v>
      </c>
      <c r="N20" s="11">
        <v>59.8</v>
      </c>
      <c r="O20" s="11">
        <v>0</v>
      </c>
      <c r="P20" s="11">
        <v>0</v>
      </c>
      <c r="Q20" s="11">
        <v>171.4</v>
      </c>
      <c r="R20" s="11">
        <v>486.35</v>
      </c>
      <c r="S20" s="11">
        <v>220.88</v>
      </c>
      <c r="T20" s="11">
        <v>67.33</v>
      </c>
      <c r="U20" s="11">
        <v>292.91000000000003</v>
      </c>
      <c r="V20" s="33">
        <v>50</v>
      </c>
      <c r="W20" s="33">
        <v>39</v>
      </c>
      <c r="X20" s="11">
        <v>2360</v>
      </c>
      <c r="Y20" s="11">
        <v>450</v>
      </c>
      <c r="Z20" s="31">
        <f t="shared" si="36"/>
        <v>-5.4200000000000728</v>
      </c>
      <c r="AA20" s="32">
        <f t="shared" si="37"/>
        <v>-400.00000000000182</v>
      </c>
      <c r="AB20" s="32">
        <f t="shared" si="38"/>
        <v>115</v>
      </c>
      <c r="AC20" s="32">
        <v>228</v>
      </c>
      <c r="AD20" s="33">
        <f t="shared" si="39"/>
        <v>486.69</v>
      </c>
      <c r="AE20" s="33">
        <v>10</v>
      </c>
      <c r="AF20" s="33"/>
      <c r="AG20" s="33">
        <f t="shared" si="40"/>
        <v>-496.69</v>
      </c>
      <c r="AH20" s="35" t="s">
        <v>115</v>
      </c>
    </row>
    <row r="21" spans="1:35" s="35" customFormat="1" ht="18.75">
      <c r="A21" s="9">
        <v>45274</v>
      </c>
      <c r="B21" s="10" t="s">
        <v>26</v>
      </c>
      <c r="C21" s="11">
        <v>10898.24</v>
      </c>
      <c r="D21" s="11">
        <v>3576.61</v>
      </c>
      <c r="E21" s="11">
        <v>10</v>
      </c>
      <c r="F21" s="11">
        <v>49</v>
      </c>
      <c r="G21" s="11">
        <v>40</v>
      </c>
      <c r="H21" s="11">
        <v>65</v>
      </c>
      <c r="I21" s="11">
        <f t="shared" si="35"/>
        <v>14666.76</v>
      </c>
      <c r="J21" s="11">
        <v>2442.66</v>
      </c>
      <c r="K21" s="11"/>
      <c r="L21" s="69">
        <f t="shared" si="41"/>
        <v>12194.100000000002</v>
      </c>
      <c r="M21" s="11">
        <f>1104.67+4176.72+5905.1</f>
        <v>11186.490000000002</v>
      </c>
      <c r="N21" s="11">
        <v>126.67</v>
      </c>
      <c r="O21" s="11">
        <v>0</v>
      </c>
      <c r="P21" s="11">
        <v>166.2</v>
      </c>
      <c r="Q21" s="11">
        <v>78.12</v>
      </c>
      <c r="R21" s="11">
        <v>390.26</v>
      </c>
      <c r="S21" s="11">
        <v>209.23</v>
      </c>
      <c r="T21" s="11">
        <v>37.130000000000003</v>
      </c>
      <c r="U21" s="11">
        <v>1021.19</v>
      </c>
      <c r="V21" s="33">
        <v>27.91</v>
      </c>
      <c r="W21" s="33">
        <v>77</v>
      </c>
      <c r="X21" s="11">
        <v>1325</v>
      </c>
      <c r="Y21" s="11">
        <v>450</v>
      </c>
      <c r="Z21" s="31">
        <f t="shared" si="36"/>
        <v>8.4400000000005093</v>
      </c>
      <c r="AA21" s="32">
        <f t="shared" si="37"/>
        <v>0</v>
      </c>
      <c r="AB21" s="32">
        <f t="shared" si="38"/>
        <v>40</v>
      </c>
      <c r="AC21" s="32">
        <v>0</v>
      </c>
      <c r="AD21" s="33">
        <f t="shared" si="39"/>
        <v>35</v>
      </c>
      <c r="AE21" s="33">
        <v>30</v>
      </c>
      <c r="AF21" s="33"/>
      <c r="AG21" s="33">
        <f t="shared" si="40"/>
        <v>-65</v>
      </c>
    </row>
    <row r="22" spans="1:35" s="35" customFormat="1" ht="18.75">
      <c r="A22" s="9">
        <v>45275</v>
      </c>
      <c r="B22" s="10" t="s">
        <v>20</v>
      </c>
      <c r="C22" s="11">
        <v>10876.73</v>
      </c>
      <c r="D22" s="11">
        <v>4752.22</v>
      </c>
      <c r="E22" s="11">
        <v>45.5</v>
      </c>
      <c r="F22" s="11">
        <v>133</v>
      </c>
      <c r="G22" s="11">
        <v>280</v>
      </c>
      <c r="H22" s="11">
        <v>760</v>
      </c>
      <c r="I22" s="11">
        <f t="shared" si="35"/>
        <v>16847.45</v>
      </c>
      <c r="J22" s="11">
        <f>3098.31-2.99</f>
        <v>3095.32</v>
      </c>
      <c r="K22" s="11"/>
      <c r="L22" s="69">
        <f t="shared" si="41"/>
        <v>13062.129999999997</v>
      </c>
      <c r="M22" s="11">
        <f>1095.3+4226.01+6790.01</f>
        <v>12111.32</v>
      </c>
      <c r="N22" s="11">
        <v>4.99</v>
      </c>
      <c r="O22" s="11">
        <v>0</v>
      </c>
      <c r="P22" s="11">
        <v>0</v>
      </c>
      <c r="Q22" s="11">
        <v>193.48</v>
      </c>
      <c r="R22" s="11">
        <v>303.47000000000003</v>
      </c>
      <c r="S22" s="11">
        <v>242.07</v>
      </c>
      <c r="T22" s="11">
        <v>206.8</v>
      </c>
      <c r="U22" s="11">
        <v>220.33</v>
      </c>
      <c r="V22" s="33">
        <v>0</v>
      </c>
      <c r="W22" s="33">
        <v>80</v>
      </c>
      <c r="X22" s="11">
        <v>2795</v>
      </c>
      <c r="Y22" s="11">
        <v>450</v>
      </c>
      <c r="Z22" s="31">
        <f t="shared" si="36"/>
        <v>9.9999999997635314E-3</v>
      </c>
      <c r="AA22" s="32">
        <f t="shared" si="37"/>
        <v>-600.00000000000364</v>
      </c>
      <c r="AB22" s="32">
        <f t="shared" si="38"/>
        <v>220</v>
      </c>
      <c r="AC22" s="32">
        <v>60</v>
      </c>
      <c r="AD22" s="33">
        <f t="shared" si="39"/>
        <v>730</v>
      </c>
      <c r="AE22" s="33">
        <v>30</v>
      </c>
      <c r="AF22" s="33"/>
      <c r="AG22" s="33">
        <f t="shared" si="40"/>
        <v>-760</v>
      </c>
      <c r="AH22" s="35" t="s">
        <v>116</v>
      </c>
    </row>
    <row r="23" spans="1:35" s="35" customFormat="1" ht="18.75">
      <c r="A23" s="9">
        <v>45276</v>
      </c>
      <c r="B23" s="10" t="s">
        <v>21</v>
      </c>
      <c r="C23" s="11">
        <v>9205.26</v>
      </c>
      <c r="D23" s="11">
        <v>4296.32</v>
      </c>
      <c r="E23" s="11">
        <v>20</v>
      </c>
      <c r="F23" s="11">
        <v>134</v>
      </c>
      <c r="G23" s="11">
        <v>115</v>
      </c>
      <c r="H23" s="11">
        <v>596.5</v>
      </c>
      <c r="I23" s="11">
        <f t="shared" si="35"/>
        <v>14367.08</v>
      </c>
      <c r="J23" s="11">
        <v>2876.3</v>
      </c>
      <c r="K23" s="11">
        <v>159.54</v>
      </c>
      <c r="L23" s="69">
        <f t="shared" si="41"/>
        <v>10677.74</v>
      </c>
      <c r="M23" s="11">
        <f>958+3374.33+5681.57</f>
        <v>10013.9</v>
      </c>
      <c r="N23" s="11">
        <v>73.31</v>
      </c>
      <c r="O23" s="11">
        <v>0</v>
      </c>
      <c r="P23" s="11">
        <v>0</v>
      </c>
      <c r="Q23" s="11">
        <v>0</v>
      </c>
      <c r="R23" s="11">
        <v>170.02</v>
      </c>
      <c r="S23" s="11">
        <v>235.12</v>
      </c>
      <c r="T23" s="11">
        <v>185.39</v>
      </c>
      <c r="U23" s="11">
        <v>80</v>
      </c>
      <c r="V23" s="33">
        <v>0</v>
      </c>
      <c r="W23" s="33">
        <v>40</v>
      </c>
      <c r="X23" s="11">
        <v>2712</v>
      </c>
      <c r="Y23" s="11">
        <v>450</v>
      </c>
      <c r="Z23" s="31">
        <f t="shared" si="36"/>
        <v>-44.300000000000182</v>
      </c>
      <c r="AA23" s="32">
        <f t="shared" si="37"/>
        <v>-400</v>
      </c>
      <c r="AB23" s="32">
        <f t="shared" si="38"/>
        <v>30</v>
      </c>
      <c r="AC23" s="32">
        <v>85</v>
      </c>
      <c r="AD23" s="33">
        <f t="shared" si="39"/>
        <v>428</v>
      </c>
      <c r="AE23" s="33">
        <v>168.5</v>
      </c>
      <c r="AF23" s="33"/>
      <c r="AG23" s="33">
        <f t="shared" si="40"/>
        <v>-596.5</v>
      </c>
    </row>
    <row r="24" spans="1:35" s="35" customFormat="1" ht="18.75">
      <c r="A24" s="9">
        <v>45277</v>
      </c>
      <c r="B24" s="10" t="s">
        <v>22</v>
      </c>
      <c r="C24" s="11">
        <v>8317.5499999999993</v>
      </c>
      <c r="D24" s="11">
        <f>3926.27</f>
        <v>3926.27</v>
      </c>
      <c r="E24" s="11">
        <v>13</v>
      </c>
      <c r="F24" s="11">
        <v>141</v>
      </c>
      <c r="G24" s="11">
        <v>60</v>
      </c>
      <c r="H24" s="11">
        <v>66.69</v>
      </c>
      <c r="I24" s="11">
        <f t="shared" si="35"/>
        <v>12564.51</v>
      </c>
      <c r="J24" s="11">
        <v>2774.44</v>
      </c>
      <c r="K24" s="11">
        <v>14.8</v>
      </c>
      <c r="L24" s="11">
        <f t="shared" si="41"/>
        <v>9755.2699999999986</v>
      </c>
      <c r="M24" s="11">
        <f>1042.11+2824.24+5230.58</f>
        <v>9096.93</v>
      </c>
      <c r="N24" s="11">
        <v>39.51</v>
      </c>
      <c r="O24" s="11">
        <v>0</v>
      </c>
      <c r="P24" s="11">
        <v>100</v>
      </c>
      <c r="Q24" s="11">
        <v>46.66</v>
      </c>
      <c r="R24" s="11">
        <v>207.47</v>
      </c>
      <c r="S24" s="11">
        <v>198.9</v>
      </c>
      <c r="T24" s="11">
        <v>65.8</v>
      </c>
      <c r="U24" s="11">
        <v>133.80000000000001</v>
      </c>
      <c r="V24" s="33">
        <v>40</v>
      </c>
      <c r="W24" s="33">
        <v>97</v>
      </c>
      <c r="X24" s="11">
        <v>2500</v>
      </c>
      <c r="Y24" s="11">
        <v>450</v>
      </c>
      <c r="Z24" s="31">
        <f t="shared" si="36"/>
        <v>-3.6399999999998727</v>
      </c>
      <c r="AA24" s="32">
        <f>SUM(J24+K24+L24+AE24+AC24)-(I24)</f>
        <v>0</v>
      </c>
      <c r="AB24" s="32">
        <f t="shared" si="38"/>
        <v>40</v>
      </c>
      <c r="AC24" s="32">
        <v>20</v>
      </c>
      <c r="AD24" s="33">
        <f t="shared" si="39"/>
        <v>66.69</v>
      </c>
      <c r="AE24" s="33">
        <v>0</v>
      </c>
      <c r="AF24" s="33">
        <v>3860</v>
      </c>
      <c r="AG24" s="33">
        <f t="shared" si="40"/>
        <v>3793.31</v>
      </c>
    </row>
    <row r="25" spans="1:35" ht="37.5" customHeight="1">
      <c r="A25" s="65" t="s">
        <v>27</v>
      </c>
      <c r="B25" s="66"/>
      <c r="C25" s="27">
        <f>SUM(C18:C24)</f>
        <v>67533.76999999999</v>
      </c>
      <c r="D25" s="27">
        <f t="shared" ref="D25:AG25" si="42">SUM(D18:D24)</f>
        <v>27203.3</v>
      </c>
      <c r="E25" s="27">
        <f t="shared" si="42"/>
        <v>129.5</v>
      </c>
      <c r="F25" s="27">
        <f t="shared" si="42"/>
        <v>659</v>
      </c>
      <c r="G25" s="27">
        <f t="shared" si="42"/>
        <v>1511.48</v>
      </c>
      <c r="H25" s="27">
        <f t="shared" si="42"/>
        <v>2992.79</v>
      </c>
      <c r="I25" s="27">
        <f t="shared" si="42"/>
        <v>100147.75</v>
      </c>
      <c r="J25" s="27">
        <f t="shared" si="42"/>
        <v>18801.98</v>
      </c>
      <c r="K25" s="27">
        <f t="shared" ref="K25" si="43">SUM(K18:K24)</f>
        <v>174.34</v>
      </c>
      <c r="L25" s="27">
        <f t="shared" si="42"/>
        <v>77591.66</v>
      </c>
      <c r="M25" s="27">
        <f t="shared" si="42"/>
        <v>71166.140000000014</v>
      </c>
      <c r="N25" s="27">
        <f t="shared" si="42"/>
        <v>357.49</v>
      </c>
      <c r="O25" s="27">
        <f t="shared" si="42"/>
        <v>0</v>
      </c>
      <c r="P25" s="27">
        <f t="shared" si="42"/>
        <v>516.9</v>
      </c>
      <c r="Q25" s="27">
        <f t="shared" si="42"/>
        <v>785.06999999999994</v>
      </c>
      <c r="R25" s="27">
        <f t="shared" si="42"/>
        <v>2560.96</v>
      </c>
      <c r="S25" s="27">
        <f t="shared" si="42"/>
        <v>1510.1100000000001</v>
      </c>
      <c r="T25" s="27">
        <f t="shared" si="42"/>
        <v>694.99</v>
      </c>
      <c r="U25" s="27">
        <f t="shared" si="42"/>
        <v>2149.98</v>
      </c>
      <c r="V25" s="27">
        <f t="shared" si="42"/>
        <v>117.91</v>
      </c>
      <c r="W25" s="27">
        <f t="shared" si="42"/>
        <v>449</v>
      </c>
      <c r="X25" s="27">
        <f t="shared" si="42"/>
        <v>16047</v>
      </c>
      <c r="Y25" s="27">
        <f t="shared" si="42"/>
        <v>3150</v>
      </c>
      <c r="Z25" s="27">
        <f t="shared" si="42"/>
        <v>-38.090000000000146</v>
      </c>
      <c r="AA25" s="27">
        <f t="shared" si="42"/>
        <v>-2768.2700000000041</v>
      </c>
      <c r="AB25" s="27">
        <f>SUM(AB18:AB24)</f>
        <v>1063.48</v>
      </c>
      <c r="AC25" s="27">
        <f t="shared" si="42"/>
        <v>448</v>
      </c>
      <c r="AD25" s="27">
        <f>SUM(AD18:AD24)</f>
        <v>2629.29</v>
      </c>
      <c r="AE25" s="27">
        <f t="shared" si="42"/>
        <v>363.5</v>
      </c>
      <c r="AF25" s="27">
        <f t="shared" si="42"/>
        <v>3860</v>
      </c>
      <c r="AG25" s="27">
        <f t="shared" si="42"/>
        <v>867.21</v>
      </c>
    </row>
    <row r="26" spans="1:35" ht="20.25" customHeight="1">
      <c r="A26" s="9">
        <v>45278</v>
      </c>
      <c r="B26" s="10" t="s">
        <v>23</v>
      </c>
      <c r="C26" s="11">
        <v>11018.96</v>
      </c>
      <c r="D26" s="11">
        <v>3423.88</v>
      </c>
      <c r="E26" s="11">
        <v>26.5</v>
      </c>
      <c r="F26" s="11">
        <v>73</v>
      </c>
      <c r="G26" s="11">
        <v>90</v>
      </c>
      <c r="H26" s="11">
        <v>480.02</v>
      </c>
      <c r="I26" s="11">
        <f t="shared" ref="I26:I32" si="44">SUM(C26:H26,V26)</f>
        <v>15139.37</v>
      </c>
      <c r="J26" s="11">
        <v>3011.84</v>
      </c>
      <c r="K26" s="11">
        <v>13.55</v>
      </c>
      <c r="L26" s="69">
        <f>SUM(M26:T26)</f>
        <v>11604.249999999998</v>
      </c>
      <c r="M26" s="11">
        <f>1078.74+3680.39+5598.03</f>
        <v>10357.16</v>
      </c>
      <c r="N26" s="11">
        <v>0</v>
      </c>
      <c r="O26" s="11">
        <v>0</v>
      </c>
      <c r="P26" s="11">
        <v>53.14</v>
      </c>
      <c r="Q26" s="11">
        <v>170.97</v>
      </c>
      <c r="R26" s="11">
        <v>490.96</v>
      </c>
      <c r="S26" s="11">
        <v>388.01</v>
      </c>
      <c r="T26" s="11">
        <v>144.01</v>
      </c>
      <c r="U26" s="11">
        <v>310.7</v>
      </c>
      <c r="V26" s="33">
        <v>27.01</v>
      </c>
      <c r="W26" s="33">
        <v>58</v>
      </c>
      <c r="X26" s="11">
        <v>2617</v>
      </c>
      <c r="Y26" s="11">
        <v>450</v>
      </c>
      <c r="Z26" s="31">
        <f t="shared" ref="Z26:Z32" si="45">SUM(U26,V26,W26,X26)-J26</f>
        <v>0.86999999999989086</v>
      </c>
      <c r="AA26" s="32">
        <f t="shared" ref="AA26:AA32" si="46">SUM(J26+K26+L26+AE26+AC26)-(I26)</f>
        <v>-399.71000000000095</v>
      </c>
      <c r="AB26" s="32">
        <f t="shared" ref="AB26:AB32" si="47">SUM(G26-AC26)</f>
        <v>40</v>
      </c>
      <c r="AC26" s="32">
        <v>50</v>
      </c>
      <c r="AD26" s="33">
        <f t="shared" ref="AD26:AD32" si="48">SUM(H26-AE26)</f>
        <v>420</v>
      </c>
      <c r="AE26" s="33">
        <v>60.02</v>
      </c>
      <c r="AF26" s="33"/>
      <c r="AG26" s="33">
        <f t="shared" ref="AG26:AG32" si="49">SUM(AF26-H26)</f>
        <v>-480.02</v>
      </c>
      <c r="AH26" t="s">
        <v>120</v>
      </c>
    </row>
    <row r="27" spans="1:35" ht="20.25" customHeight="1">
      <c r="A27" s="9">
        <v>45279</v>
      </c>
      <c r="B27" s="10" t="s">
        <v>24</v>
      </c>
      <c r="C27" s="11">
        <v>10672.08</v>
      </c>
      <c r="D27" s="11">
        <v>3621.75</v>
      </c>
      <c r="E27" s="11">
        <v>5</v>
      </c>
      <c r="F27" s="11">
        <v>60</v>
      </c>
      <c r="G27" s="11">
        <v>40</v>
      </c>
      <c r="H27" s="11">
        <v>255</v>
      </c>
      <c r="I27" s="11">
        <f t="shared" si="44"/>
        <v>14734.83</v>
      </c>
      <c r="J27" s="11">
        <v>2677.7</v>
      </c>
      <c r="K27" s="11">
        <v>14.75</v>
      </c>
      <c r="L27" s="72">
        <f>SUM(M27:T27)</f>
        <v>11998.56</v>
      </c>
      <c r="M27" s="11">
        <f>1371.25+3471.25+5655.68</f>
        <v>10498.18</v>
      </c>
      <c r="N27" s="11">
        <v>59.44</v>
      </c>
      <c r="O27" s="11">
        <v>0</v>
      </c>
      <c r="P27" s="11">
        <v>194.33</v>
      </c>
      <c r="Q27" s="11">
        <v>130.01</v>
      </c>
      <c r="R27" s="11">
        <v>619.04999999999995</v>
      </c>
      <c r="S27" s="11">
        <v>247.56</v>
      </c>
      <c r="T27" s="11">
        <v>249.99</v>
      </c>
      <c r="U27" s="11">
        <v>0</v>
      </c>
      <c r="V27" s="33">
        <v>81</v>
      </c>
      <c r="W27" s="33">
        <v>5</v>
      </c>
      <c r="X27" s="11">
        <v>2514</v>
      </c>
      <c r="Y27" s="11">
        <v>450</v>
      </c>
      <c r="Z27" s="31">
        <f t="shared" si="45"/>
        <v>-77.699999999999818</v>
      </c>
      <c r="AA27" s="32">
        <f t="shared" si="46"/>
        <v>6.179999999998472</v>
      </c>
      <c r="AB27" s="32">
        <f t="shared" si="47"/>
        <v>40</v>
      </c>
      <c r="AC27" s="32">
        <v>0</v>
      </c>
      <c r="AD27" s="33">
        <f t="shared" si="48"/>
        <v>205</v>
      </c>
      <c r="AE27" s="33">
        <v>50</v>
      </c>
      <c r="AF27" s="33"/>
      <c r="AG27" s="33">
        <f t="shared" si="49"/>
        <v>-255</v>
      </c>
    </row>
    <row r="28" spans="1:35" ht="20.25" customHeight="1">
      <c r="A28" s="9">
        <v>45280</v>
      </c>
      <c r="B28" s="10" t="s">
        <v>25</v>
      </c>
      <c r="C28" s="11">
        <v>10863.22</v>
      </c>
      <c r="D28" s="11">
        <v>3894.13</v>
      </c>
      <c r="E28" s="11">
        <v>12</v>
      </c>
      <c r="F28" s="11">
        <v>64</v>
      </c>
      <c r="G28" s="11">
        <v>50</v>
      </c>
      <c r="H28" s="11">
        <v>617.41999999999996</v>
      </c>
      <c r="I28" s="11">
        <f t="shared" si="44"/>
        <v>15500.769999999999</v>
      </c>
      <c r="J28" s="11">
        <v>3089.07</v>
      </c>
      <c r="K28" s="11">
        <v>20.079999999999998</v>
      </c>
      <c r="L28" s="71">
        <f t="shared" ref="L28:L32" si="50">SUM(M28:T28)</f>
        <v>11812.53</v>
      </c>
      <c r="M28" s="11">
        <f>1258.92+3532.48+5888.1</f>
        <v>10679.5</v>
      </c>
      <c r="N28" s="11">
        <v>28.86</v>
      </c>
      <c r="O28" s="11">
        <v>0</v>
      </c>
      <c r="P28" s="11">
        <v>46.88</v>
      </c>
      <c r="Q28" s="11">
        <f>48.33+60.02</f>
        <v>108.35</v>
      </c>
      <c r="R28" s="11">
        <f>14.99+692.85</f>
        <v>707.84</v>
      </c>
      <c r="S28" s="11">
        <v>114.98</v>
      </c>
      <c r="T28" s="11">
        <v>126.12</v>
      </c>
      <c r="U28" s="11">
        <v>1219.6500000000001</v>
      </c>
      <c r="V28" s="33">
        <v>0</v>
      </c>
      <c r="W28" s="33">
        <v>20</v>
      </c>
      <c r="X28" s="11">
        <v>1930</v>
      </c>
      <c r="Y28" s="11">
        <v>450</v>
      </c>
      <c r="Z28" s="31">
        <f t="shared" si="45"/>
        <v>80.579999999999927</v>
      </c>
      <c r="AA28" s="32">
        <f t="shared" si="46"/>
        <v>-579.08999999999833</v>
      </c>
      <c r="AB28" s="32">
        <f t="shared" si="47"/>
        <v>50</v>
      </c>
      <c r="AC28" s="32">
        <v>0</v>
      </c>
      <c r="AD28" s="33">
        <f t="shared" si="48"/>
        <v>617.41999999999996</v>
      </c>
      <c r="AE28" s="33">
        <v>0</v>
      </c>
      <c r="AF28" s="33"/>
      <c r="AG28" s="33">
        <f t="shared" si="49"/>
        <v>-617.41999999999996</v>
      </c>
      <c r="AH28" t="s">
        <v>118</v>
      </c>
    </row>
    <row r="29" spans="1:35" ht="20.25" customHeight="1">
      <c r="A29" s="9">
        <v>45281</v>
      </c>
      <c r="B29" s="10" t="s">
        <v>26</v>
      </c>
      <c r="C29" s="11">
        <v>11158.02</v>
      </c>
      <c r="D29" s="11">
        <v>4415.45</v>
      </c>
      <c r="E29" s="11">
        <v>18</v>
      </c>
      <c r="F29" s="11">
        <v>59</v>
      </c>
      <c r="G29" s="11">
        <v>0</v>
      </c>
      <c r="H29" s="11">
        <v>430</v>
      </c>
      <c r="I29" s="11">
        <f t="shared" si="44"/>
        <v>16081.470000000001</v>
      </c>
      <c r="J29" s="11">
        <f>2735.93-54.99</f>
        <v>2680.94</v>
      </c>
      <c r="K29" s="11">
        <v>0</v>
      </c>
      <c r="L29" s="11">
        <f t="shared" si="50"/>
        <v>12880.07</v>
      </c>
      <c r="M29" s="11">
        <f>729.27+3527.02+6617.12</f>
        <v>10873.41</v>
      </c>
      <c r="N29" s="11">
        <v>60.13</v>
      </c>
      <c r="O29" s="11">
        <v>0</v>
      </c>
      <c r="P29" s="11">
        <v>0</v>
      </c>
      <c r="Q29" s="11">
        <v>241.52</v>
      </c>
      <c r="R29" s="11">
        <v>539.95000000000005</v>
      </c>
      <c r="S29" s="11">
        <f>65.38+64+248.67</f>
        <v>378.04999999999995</v>
      </c>
      <c r="T29" s="11">
        <v>787.01</v>
      </c>
      <c r="U29" s="11">
        <v>0</v>
      </c>
      <c r="V29" s="33">
        <v>1</v>
      </c>
      <c r="W29" s="33">
        <v>34.5</v>
      </c>
      <c r="X29" s="11">
        <v>2647</v>
      </c>
      <c r="Y29" s="11">
        <v>450</v>
      </c>
      <c r="Z29" s="31">
        <f t="shared" si="45"/>
        <v>1.5599999999999454</v>
      </c>
      <c r="AA29" s="32">
        <f t="shared" si="46"/>
        <v>-510.46000000000095</v>
      </c>
      <c r="AB29" s="32">
        <f t="shared" si="47"/>
        <v>0</v>
      </c>
      <c r="AC29" s="32">
        <v>0</v>
      </c>
      <c r="AD29" s="33">
        <f t="shared" si="48"/>
        <v>420</v>
      </c>
      <c r="AE29" s="33">
        <v>10</v>
      </c>
      <c r="AF29" s="33"/>
      <c r="AG29" s="33">
        <f t="shared" si="49"/>
        <v>-430</v>
      </c>
      <c r="AH29" t="s">
        <v>119</v>
      </c>
    </row>
    <row r="30" spans="1:35" ht="20.25" customHeight="1">
      <c r="A30" s="9">
        <v>45282</v>
      </c>
      <c r="B30" s="10" t="s">
        <v>20</v>
      </c>
      <c r="C30" s="11">
        <v>10721.33</v>
      </c>
      <c r="D30" s="11">
        <v>5224.1000000000004</v>
      </c>
      <c r="E30" s="11">
        <v>93.5</v>
      </c>
      <c r="F30" s="11">
        <v>212</v>
      </c>
      <c r="G30" s="11">
        <v>120</v>
      </c>
      <c r="H30" s="11">
        <v>370</v>
      </c>
      <c r="I30" s="11">
        <f t="shared" si="44"/>
        <v>16840.93</v>
      </c>
      <c r="J30" s="11">
        <f>3362.89-2.75</f>
        <v>3360.14</v>
      </c>
      <c r="K30" s="11">
        <v>0</v>
      </c>
      <c r="L30" s="11">
        <f t="shared" si="50"/>
        <v>13400.79</v>
      </c>
      <c r="M30" s="11">
        <f>885.39+3514.9+8139.32</f>
        <v>12539.61</v>
      </c>
      <c r="N30" s="11">
        <v>87.24</v>
      </c>
      <c r="O30" s="11">
        <v>0</v>
      </c>
      <c r="P30" s="11">
        <v>0</v>
      </c>
      <c r="Q30" s="11">
        <v>68.75</v>
      </c>
      <c r="R30" s="11">
        <v>292.91000000000003</v>
      </c>
      <c r="S30" s="11">
        <v>65</v>
      </c>
      <c r="T30" s="11">
        <v>347.28</v>
      </c>
      <c r="U30" s="11">
        <v>0</v>
      </c>
      <c r="V30" s="33">
        <v>100</v>
      </c>
      <c r="W30" s="33">
        <v>85</v>
      </c>
      <c r="X30" s="11">
        <v>3173</v>
      </c>
      <c r="Y30" s="11">
        <v>450</v>
      </c>
      <c r="Z30" s="31">
        <f t="shared" si="45"/>
        <v>-2.1399999999998727</v>
      </c>
      <c r="AA30" s="32">
        <f t="shared" si="46"/>
        <v>0</v>
      </c>
      <c r="AB30" s="32">
        <f t="shared" si="47"/>
        <v>70</v>
      </c>
      <c r="AC30" s="32">
        <v>50</v>
      </c>
      <c r="AD30" s="33">
        <f t="shared" si="48"/>
        <v>340</v>
      </c>
      <c r="AE30" s="33">
        <v>30</v>
      </c>
      <c r="AF30" s="33"/>
      <c r="AG30" s="33">
        <f t="shared" si="49"/>
        <v>-370</v>
      </c>
    </row>
    <row r="31" spans="1:35" ht="20.25" customHeight="1">
      <c r="A31" s="9">
        <v>45283</v>
      </c>
      <c r="B31" s="10" t="s">
        <v>21</v>
      </c>
      <c r="C31" s="11">
        <v>12041.54</v>
      </c>
      <c r="D31" s="11">
        <v>5647.21</v>
      </c>
      <c r="E31" s="11">
        <v>41.5</v>
      </c>
      <c r="F31" s="11">
        <v>170</v>
      </c>
      <c r="G31" s="11">
        <v>100</v>
      </c>
      <c r="H31" s="11">
        <v>20</v>
      </c>
      <c r="I31" s="11">
        <f t="shared" si="44"/>
        <v>18080.25</v>
      </c>
      <c r="J31" s="11">
        <v>3443.16</v>
      </c>
      <c r="K31" s="11">
        <v>13</v>
      </c>
      <c r="L31" s="69">
        <f t="shared" si="50"/>
        <v>14614.09</v>
      </c>
      <c r="M31" s="11">
        <f>1122.7+4837+7501.69</f>
        <v>13461.39</v>
      </c>
      <c r="N31" s="11">
        <v>113.85</v>
      </c>
      <c r="O31" s="11">
        <v>0</v>
      </c>
      <c r="P31" s="11">
        <v>89</v>
      </c>
      <c r="Q31" s="11">
        <v>130.03</v>
      </c>
      <c r="R31" s="11">
        <v>101.81</v>
      </c>
      <c r="S31" s="11">
        <v>169.86</v>
      </c>
      <c r="T31" s="11">
        <v>548.15</v>
      </c>
      <c r="U31" s="11">
        <v>0</v>
      </c>
      <c r="V31" s="33">
        <v>60</v>
      </c>
      <c r="W31" s="33">
        <v>92.4</v>
      </c>
      <c r="X31" s="11">
        <v>3289</v>
      </c>
      <c r="Y31" s="11">
        <v>450</v>
      </c>
      <c r="Z31" s="31">
        <f t="shared" si="45"/>
        <v>-1.7599999999997635</v>
      </c>
      <c r="AA31" s="32">
        <f t="shared" si="46"/>
        <v>0</v>
      </c>
      <c r="AB31" s="32">
        <f t="shared" si="47"/>
        <v>100</v>
      </c>
      <c r="AC31" s="32">
        <v>0</v>
      </c>
      <c r="AD31" s="33">
        <f t="shared" si="48"/>
        <v>10</v>
      </c>
      <c r="AE31" s="33">
        <v>10</v>
      </c>
      <c r="AF31" s="33"/>
      <c r="AG31" s="33">
        <f t="shared" si="49"/>
        <v>-20</v>
      </c>
    </row>
    <row r="32" spans="1:35" ht="20.25" customHeight="1">
      <c r="A32" s="9">
        <v>45284</v>
      </c>
      <c r="B32" s="10" t="s">
        <v>22</v>
      </c>
      <c r="C32" s="11">
        <v>9556</v>
      </c>
      <c r="D32" s="11">
        <v>6779.64</v>
      </c>
      <c r="E32" s="11">
        <v>28</v>
      </c>
      <c r="F32" s="11">
        <v>239</v>
      </c>
      <c r="G32" s="11">
        <v>20</v>
      </c>
      <c r="H32" s="11">
        <v>303.8</v>
      </c>
      <c r="I32" s="11">
        <f t="shared" si="44"/>
        <v>16926.439999999999</v>
      </c>
      <c r="J32" s="11">
        <v>3206.47</v>
      </c>
      <c r="K32" s="11">
        <v>98.59</v>
      </c>
      <c r="L32" s="69">
        <f t="shared" si="50"/>
        <v>13396.460000000001</v>
      </c>
      <c r="M32" s="11">
        <f>1088.76+4543.52+5702.48</f>
        <v>11334.76</v>
      </c>
      <c r="N32" s="11">
        <v>30.37</v>
      </c>
      <c r="O32" s="11">
        <v>0</v>
      </c>
      <c r="P32" s="11">
        <v>44.72</v>
      </c>
      <c r="Q32" s="11">
        <v>290.39999999999998</v>
      </c>
      <c r="R32" s="11">
        <v>40.020000000000003</v>
      </c>
      <c r="S32" s="11">
        <v>0</v>
      </c>
      <c r="T32" s="11">
        <f>1636.31+19.88</f>
        <v>1656.19</v>
      </c>
      <c r="U32" s="11">
        <v>100</v>
      </c>
      <c r="V32" s="33">
        <v>0</v>
      </c>
      <c r="W32" s="33">
        <v>115</v>
      </c>
      <c r="X32" s="11">
        <v>3107.7</v>
      </c>
      <c r="Y32" s="11">
        <v>450</v>
      </c>
      <c r="Z32" s="31">
        <f t="shared" si="45"/>
        <v>116.23000000000002</v>
      </c>
      <c r="AA32" s="32">
        <f t="shared" si="46"/>
        <v>19.880000000001019</v>
      </c>
      <c r="AB32" s="32">
        <f t="shared" si="47"/>
        <v>0</v>
      </c>
      <c r="AC32" s="32">
        <v>20</v>
      </c>
      <c r="AD32" s="33">
        <f t="shared" si="48"/>
        <v>79</v>
      </c>
      <c r="AE32" s="33">
        <v>224.8</v>
      </c>
      <c r="AF32" s="33">
        <v>5760</v>
      </c>
      <c r="AG32" s="33">
        <f t="shared" si="49"/>
        <v>5456.2</v>
      </c>
    </row>
    <row r="33" spans="1:34" ht="37.5" customHeight="1">
      <c r="A33" s="65" t="s">
        <v>27</v>
      </c>
      <c r="B33" s="66"/>
      <c r="C33" s="27">
        <f t="shared" ref="C33:AG33" si="51">SUM(C26:C32)</f>
        <v>76031.149999999994</v>
      </c>
      <c r="D33" s="27">
        <f t="shared" si="51"/>
        <v>33006.159999999996</v>
      </c>
      <c r="E33" s="27">
        <f t="shared" si="51"/>
        <v>224.5</v>
      </c>
      <c r="F33" s="27">
        <f t="shared" si="51"/>
        <v>877</v>
      </c>
      <c r="G33" s="27">
        <f t="shared" si="51"/>
        <v>420</v>
      </c>
      <c r="H33" s="27">
        <f t="shared" si="51"/>
        <v>2476.2400000000002</v>
      </c>
      <c r="I33" s="27">
        <f t="shared" si="51"/>
        <v>113304.06</v>
      </c>
      <c r="J33" s="27">
        <f t="shared" si="51"/>
        <v>21469.32</v>
      </c>
      <c r="K33" s="27">
        <f t="shared" ref="K33" si="52">SUM(K26:K32)</f>
        <v>159.97</v>
      </c>
      <c r="L33" s="27">
        <f t="shared" si="51"/>
        <v>89706.75</v>
      </c>
      <c r="M33" s="27">
        <f t="shared" si="51"/>
        <v>79744.009999999995</v>
      </c>
      <c r="N33" s="27">
        <f t="shared" si="51"/>
        <v>379.89</v>
      </c>
      <c r="O33" s="27">
        <f t="shared" si="51"/>
        <v>0</v>
      </c>
      <c r="P33" s="27">
        <f t="shared" si="51"/>
        <v>428.07000000000005</v>
      </c>
      <c r="Q33" s="27">
        <f t="shared" si="51"/>
        <v>1140.03</v>
      </c>
      <c r="R33" s="27">
        <f t="shared" si="51"/>
        <v>2792.54</v>
      </c>
      <c r="S33" s="27">
        <f t="shared" si="51"/>
        <v>1363.46</v>
      </c>
      <c r="T33" s="27">
        <f t="shared" si="51"/>
        <v>3858.75</v>
      </c>
      <c r="U33" s="27">
        <f t="shared" si="51"/>
        <v>1630.3500000000001</v>
      </c>
      <c r="V33" s="27">
        <f t="shared" si="51"/>
        <v>269.01</v>
      </c>
      <c r="W33" s="27">
        <f t="shared" si="51"/>
        <v>409.9</v>
      </c>
      <c r="X33" s="27">
        <f t="shared" si="51"/>
        <v>19277.7</v>
      </c>
      <c r="Y33" s="27">
        <f t="shared" si="51"/>
        <v>3150</v>
      </c>
      <c r="Z33" s="27">
        <f t="shared" si="51"/>
        <v>117.64000000000033</v>
      </c>
      <c r="AA33" s="27">
        <f t="shared" si="51"/>
        <v>-1463.2000000000007</v>
      </c>
      <c r="AB33" s="27">
        <f t="shared" si="51"/>
        <v>300</v>
      </c>
      <c r="AC33" s="27">
        <f t="shared" si="51"/>
        <v>120</v>
      </c>
      <c r="AD33" s="27">
        <f>SUM(AD26:AD32)-1400</f>
        <v>691.42000000000007</v>
      </c>
      <c r="AE33" s="27">
        <f t="shared" si="51"/>
        <v>384.82000000000005</v>
      </c>
      <c r="AF33" s="27">
        <f t="shared" si="51"/>
        <v>5760</v>
      </c>
      <c r="AG33" s="27">
        <f t="shared" si="51"/>
        <v>3283.7599999999998</v>
      </c>
    </row>
    <row r="34" spans="1:34" ht="20.25" customHeight="1">
      <c r="A34" s="9">
        <v>45285</v>
      </c>
      <c r="B34" s="10" t="s">
        <v>23</v>
      </c>
      <c r="C34" s="11">
        <v>3222.52</v>
      </c>
      <c r="D34" s="11">
        <v>5958.02</v>
      </c>
      <c r="E34" s="11">
        <v>0</v>
      </c>
      <c r="F34" s="11">
        <v>132</v>
      </c>
      <c r="G34" s="11">
        <v>40</v>
      </c>
      <c r="H34" s="11">
        <v>620</v>
      </c>
      <c r="I34" s="11">
        <f t="shared" ref="I34" si="53">SUM(C34:H34,V34)</f>
        <v>9972.5400000000009</v>
      </c>
      <c r="J34" s="11">
        <f>2747.32-30</f>
        <v>2717.32</v>
      </c>
      <c r="K34" s="11">
        <v>0</v>
      </c>
      <c r="L34" s="69">
        <f>SUM(M34:T34)</f>
        <v>6604.7699999999995</v>
      </c>
      <c r="M34" s="11">
        <f>301.49+1907.21+3917.74</f>
        <v>6126.44</v>
      </c>
      <c r="N34" s="11">
        <v>0</v>
      </c>
      <c r="O34" s="11">
        <v>0</v>
      </c>
      <c r="P34" s="11">
        <v>0</v>
      </c>
      <c r="Q34" s="11">
        <v>84.62</v>
      </c>
      <c r="R34" s="11">
        <v>0</v>
      </c>
      <c r="S34" s="11">
        <v>73.67</v>
      </c>
      <c r="T34" s="11">
        <v>320.04000000000002</v>
      </c>
      <c r="U34" s="11">
        <v>0</v>
      </c>
      <c r="V34" s="33">
        <v>0</v>
      </c>
      <c r="W34" s="33">
        <v>38</v>
      </c>
      <c r="X34" s="11">
        <v>2552</v>
      </c>
      <c r="Y34" s="11">
        <v>450</v>
      </c>
      <c r="Z34" s="31">
        <f>SUM(U34,V34,W34,X34)-J34</f>
        <v>-127.32000000000016</v>
      </c>
      <c r="AA34" s="32">
        <f t="shared" ref="AA34:AA40" si="54">SUM(J34+K34+L34+AE34+AC34)-(I34)</f>
        <v>-610.45000000000073</v>
      </c>
      <c r="AB34" s="32">
        <f>SUM(G34-AC34)</f>
        <v>20</v>
      </c>
      <c r="AC34" s="33">
        <v>20</v>
      </c>
      <c r="AD34" s="33">
        <f>SUM(H34-AE34)</f>
        <v>600</v>
      </c>
      <c r="AE34" s="33">
        <v>20</v>
      </c>
      <c r="AF34" s="33"/>
      <c r="AG34" s="33">
        <f>SUM(AF34-H34)</f>
        <v>-620</v>
      </c>
      <c r="AH34" t="s">
        <v>121</v>
      </c>
    </row>
    <row r="35" spans="1:34" ht="20.25" customHeight="1">
      <c r="A35" s="9">
        <v>45286</v>
      </c>
      <c r="B35" s="10" t="s">
        <v>24</v>
      </c>
      <c r="C35" s="11">
        <v>7054.4</v>
      </c>
      <c r="D35" s="11">
        <v>4862.92</v>
      </c>
      <c r="E35" s="11">
        <v>44.5</v>
      </c>
      <c r="F35" s="11">
        <v>78</v>
      </c>
      <c r="G35" s="11">
        <v>80</v>
      </c>
      <c r="H35" s="11">
        <v>410</v>
      </c>
      <c r="I35" s="11">
        <f t="shared" ref="I35:I40" si="55">SUM(C35:H35,V35)</f>
        <v>12549.82</v>
      </c>
      <c r="J35" s="11">
        <v>2866.85</v>
      </c>
      <c r="K35" s="11">
        <v>9.3699999999999992</v>
      </c>
      <c r="L35" s="69">
        <f t="shared" ref="L35:L40" si="56">SUM(M35:T35)</f>
        <v>9284.07</v>
      </c>
      <c r="M35" s="11">
        <f>787.26+2747.95+5423.43</f>
        <v>8958.64</v>
      </c>
      <c r="N35" s="11">
        <v>0</v>
      </c>
      <c r="O35" s="11">
        <v>0</v>
      </c>
      <c r="P35" s="11">
        <v>0</v>
      </c>
      <c r="Q35" s="11">
        <v>0</v>
      </c>
      <c r="R35" s="11">
        <v>126.79</v>
      </c>
      <c r="S35" s="11">
        <v>102.33</v>
      </c>
      <c r="T35" s="11">
        <v>96.31</v>
      </c>
      <c r="U35" s="11">
        <v>0</v>
      </c>
      <c r="V35" s="33">
        <v>20</v>
      </c>
      <c r="W35" s="33">
        <v>73</v>
      </c>
      <c r="X35" s="11">
        <v>2775</v>
      </c>
      <c r="Y35" s="11">
        <v>450</v>
      </c>
      <c r="Z35" s="31">
        <f>SUM(U35,V35,W35,X35)-J35</f>
        <v>1.1500000000000909</v>
      </c>
      <c r="AA35" s="32">
        <f t="shared" si="54"/>
        <v>-389.53000000000065</v>
      </c>
      <c r="AB35" s="32">
        <f>SUM(G35-AC35)</f>
        <v>80</v>
      </c>
      <c r="AC35" s="33">
        <v>0</v>
      </c>
      <c r="AD35" s="33">
        <f>SUM(H35-AE35)</f>
        <v>410</v>
      </c>
      <c r="AE35" s="33">
        <v>0</v>
      </c>
      <c r="AF35" s="33"/>
      <c r="AG35" s="33">
        <f>SUM(AF35-H35)</f>
        <v>-410</v>
      </c>
      <c r="AH35" t="s">
        <v>122</v>
      </c>
    </row>
    <row r="36" spans="1:34" ht="20.25" customHeight="1">
      <c r="A36" s="9">
        <v>45287</v>
      </c>
      <c r="B36" s="10" t="s">
        <v>25</v>
      </c>
      <c r="C36" s="11">
        <v>7688.9</v>
      </c>
      <c r="D36" s="11">
        <v>3066.28</v>
      </c>
      <c r="E36" s="11">
        <v>66</v>
      </c>
      <c r="F36" s="11">
        <v>42</v>
      </c>
      <c r="G36" s="11">
        <v>82</v>
      </c>
      <c r="H36" s="11">
        <v>470</v>
      </c>
      <c r="I36" s="11">
        <f t="shared" si="55"/>
        <v>11415.18</v>
      </c>
      <c r="J36" s="11">
        <v>2329.38</v>
      </c>
      <c r="K36" s="11">
        <v>0</v>
      </c>
      <c r="L36" s="69">
        <f t="shared" si="56"/>
        <v>8608.7999999999975</v>
      </c>
      <c r="M36" s="11">
        <f>1075.01+2617.75+4398.66</f>
        <v>8091.42</v>
      </c>
      <c r="N36" s="11">
        <v>123.9</v>
      </c>
      <c r="O36" s="11">
        <v>0</v>
      </c>
      <c r="P36" s="11">
        <v>0</v>
      </c>
      <c r="Q36" s="11">
        <v>0</v>
      </c>
      <c r="R36" s="11">
        <v>208.21</v>
      </c>
      <c r="S36" s="11">
        <v>120.3</v>
      </c>
      <c r="T36" s="11">
        <v>64.97</v>
      </c>
      <c r="U36" s="11">
        <v>40.299999999999997</v>
      </c>
      <c r="V36" s="33">
        <v>0</v>
      </c>
      <c r="W36" s="33">
        <v>69.2</v>
      </c>
      <c r="X36" s="11">
        <v>2220</v>
      </c>
      <c r="Y36" s="11">
        <v>450</v>
      </c>
      <c r="Z36" s="31">
        <f t="shared" ref="Z36:Z40" si="57">SUM(U36,V36,W36,X36)-J36</f>
        <v>0.11999999999989086</v>
      </c>
      <c r="AA36" s="32">
        <f t="shared" si="54"/>
        <v>-400.00000000000364</v>
      </c>
      <c r="AB36" s="32">
        <f t="shared" ref="AB36:AB40" si="58">SUM(G36-AC36)</f>
        <v>55</v>
      </c>
      <c r="AC36" s="33">
        <v>27</v>
      </c>
      <c r="AD36" s="33">
        <f t="shared" ref="AD36:AD40" si="59">SUM(H36-AE36)</f>
        <v>420</v>
      </c>
      <c r="AE36" s="33">
        <v>50</v>
      </c>
      <c r="AF36" s="33"/>
      <c r="AG36" s="33">
        <f t="shared" ref="AG36:AG40" si="60">SUM(AF36-H36)</f>
        <v>-470</v>
      </c>
      <c r="AH36" t="s">
        <v>123</v>
      </c>
    </row>
    <row r="37" spans="1:34" ht="20.25" customHeight="1">
      <c r="A37" s="9">
        <v>45288</v>
      </c>
      <c r="B37" s="10" t="s">
        <v>26</v>
      </c>
      <c r="C37" s="11"/>
      <c r="D37" s="11"/>
      <c r="E37" s="11"/>
      <c r="F37" s="11"/>
      <c r="G37" s="11"/>
      <c r="H37" s="11"/>
      <c r="I37" s="11">
        <f t="shared" si="55"/>
        <v>0</v>
      </c>
      <c r="J37" s="11"/>
      <c r="K37" s="11"/>
      <c r="L37" s="11">
        <f t="shared" si="56"/>
        <v>0</v>
      </c>
      <c r="M37" s="11"/>
      <c r="N37" s="11"/>
      <c r="O37" s="11"/>
      <c r="P37" s="11"/>
      <c r="Q37" s="11"/>
      <c r="R37" s="11"/>
      <c r="S37" s="11"/>
      <c r="T37" s="11"/>
      <c r="U37" s="11"/>
      <c r="V37" s="33"/>
      <c r="W37" s="33"/>
      <c r="X37" s="11"/>
      <c r="Y37" s="11">
        <v>450</v>
      </c>
      <c r="Z37" s="31">
        <f t="shared" si="57"/>
        <v>0</v>
      </c>
      <c r="AA37" s="32">
        <f t="shared" si="54"/>
        <v>0</v>
      </c>
      <c r="AB37" s="32">
        <f t="shared" si="58"/>
        <v>0</v>
      </c>
      <c r="AC37" s="33"/>
      <c r="AD37" s="33">
        <f t="shared" si="59"/>
        <v>0</v>
      </c>
      <c r="AE37" s="33"/>
      <c r="AF37" s="33"/>
      <c r="AG37" s="33">
        <f t="shared" si="60"/>
        <v>0</v>
      </c>
    </row>
    <row r="38" spans="1:34" ht="20.25" customHeight="1">
      <c r="A38" s="9">
        <v>45289</v>
      </c>
      <c r="B38" s="10" t="s">
        <v>20</v>
      </c>
      <c r="C38" s="11"/>
      <c r="D38" s="11"/>
      <c r="E38" s="11"/>
      <c r="F38" s="11"/>
      <c r="G38" s="11"/>
      <c r="H38" s="11"/>
      <c r="I38" s="11">
        <f t="shared" si="55"/>
        <v>0</v>
      </c>
      <c r="J38" s="11"/>
      <c r="K38" s="11"/>
      <c r="L38" s="11">
        <f t="shared" si="56"/>
        <v>0</v>
      </c>
      <c r="M38" s="11"/>
      <c r="N38" s="11"/>
      <c r="O38" s="11"/>
      <c r="P38" s="11"/>
      <c r="Q38" s="11"/>
      <c r="R38" s="11"/>
      <c r="S38" s="11"/>
      <c r="T38" s="11"/>
      <c r="U38" s="11"/>
      <c r="V38" s="33"/>
      <c r="W38" s="33"/>
      <c r="X38" s="11"/>
      <c r="Y38" s="11">
        <v>450</v>
      </c>
      <c r="Z38" s="31">
        <f t="shared" si="57"/>
        <v>0</v>
      </c>
      <c r="AA38" s="32">
        <f t="shared" si="54"/>
        <v>0</v>
      </c>
      <c r="AB38" s="32">
        <f t="shared" si="58"/>
        <v>0</v>
      </c>
      <c r="AC38" s="33"/>
      <c r="AD38" s="33">
        <f t="shared" si="59"/>
        <v>0</v>
      </c>
      <c r="AE38" s="33"/>
      <c r="AF38" s="33"/>
      <c r="AG38" s="33">
        <f t="shared" si="60"/>
        <v>0</v>
      </c>
    </row>
    <row r="39" spans="1:34" ht="20.25" customHeight="1">
      <c r="A39" s="9">
        <v>45290</v>
      </c>
      <c r="B39" s="10" t="s">
        <v>21</v>
      </c>
      <c r="C39" s="11"/>
      <c r="D39" s="11"/>
      <c r="E39" s="11"/>
      <c r="F39" s="11"/>
      <c r="G39" s="11"/>
      <c r="H39" s="11"/>
      <c r="I39" s="11">
        <f t="shared" si="55"/>
        <v>0</v>
      </c>
      <c r="J39" s="11"/>
      <c r="K39" s="11"/>
      <c r="L39" s="11">
        <f t="shared" si="56"/>
        <v>0</v>
      </c>
      <c r="M39" s="11"/>
      <c r="N39" s="11"/>
      <c r="O39" s="11"/>
      <c r="P39" s="11"/>
      <c r="Q39" s="11"/>
      <c r="R39" s="11"/>
      <c r="S39" s="11"/>
      <c r="T39" s="11"/>
      <c r="U39" s="11"/>
      <c r="V39" s="33"/>
      <c r="W39" s="33"/>
      <c r="X39" s="11"/>
      <c r="Y39" s="11">
        <v>450</v>
      </c>
      <c r="Z39" s="31">
        <f t="shared" si="57"/>
        <v>0</v>
      </c>
      <c r="AA39" s="32">
        <f t="shared" si="54"/>
        <v>0</v>
      </c>
      <c r="AB39" s="32">
        <f t="shared" si="58"/>
        <v>0</v>
      </c>
      <c r="AC39" s="33"/>
      <c r="AD39" s="33">
        <f t="shared" si="59"/>
        <v>0</v>
      </c>
      <c r="AE39" s="33"/>
      <c r="AF39" s="33"/>
      <c r="AG39" s="33">
        <f t="shared" si="60"/>
        <v>0</v>
      </c>
    </row>
    <row r="40" spans="1:34" ht="20.25" customHeight="1">
      <c r="A40" s="9">
        <v>45291</v>
      </c>
      <c r="B40" s="10" t="s">
        <v>22</v>
      </c>
      <c r="C40" s="11"/>
      <c r="D40" s="11"/>
      <c r="E40" s="11"/>
      <c r="F40" s="11"/>
      <c r="G40" s="11"/>
      <c r="H40" s="11"/>
      <c r="I40" s="11">
        <f t="shared" si="55"/>
        <v>0</v>
      </c>
      <c r="J40" s="11"/>
      <c r="K40" s="11"/>
      <c r="L40" s="11">
        <f t="shared" si="56"/>
        <v>0</v>
      </c>
      <c r="M40" s="11"/>
      <c r="N40" s="11"/>
      <c r="O40" s="11"/>
      <c r="P40" s="11"/>
      <c r="Q40" s="11"/>
      <c r="R40" s="11"/>
      <c r="S40" s="11"/>
      <c r="T40" s="11"/>
      <c r="U40" s="11"/>
      <c r="V40" s="33"/>
      <c r="W40" s="33"/>
      <c r="X40" s="11"/>
      <c r="Y40" s="11">
        <v>450</v>
      </c>
      <c r="Z40" s="31">
        <f t="shared" si="57"/>
        <v>0</v>
      </c>
      <c r="AA40" s="32">
        <f t="shared" si="54"/>
        <v>0</v>
      </c>
      <c r="AB40" s="32">
        <f t="shared" si="58"/>
        <v>0</v>
      </c>
      <c r="AC40" s="33"/>
      <c r="AD40" s="33">
        <f t="shared" si="59"/>
        <v>0</v>
      </c>
      <c r="AE40" s="33"/>
      <c r="AF40" s="33"/>
      <c r="AG40" s="33">
        <f t="shared" si="60"/>
        <v>0</v>
      </c>
    </row>
    <row r="41" spans="1:34" ht="37.5" customHeight="1">
      <c r="A41" s="65" t="s">
        <v>27</v>
      </c>
      <c r="B41" s="66"/>
      <c r="C41" s="27">
        <f t="shared" ref="C41:AE41" si="61">SUM(C34:C40)</f>
        <v>17965.82</v>
      </c>
      <c r="D41" s="27">
        <f t="shared" si="61"/>
        <v>13887.220000000001</v>
      </c>
      <c r="E41" s="27">
        <f t="shared" si="61"/>
        <v>110.5</v>
      </c>
      <c r="F41" s="27">
        <f t="shared" si="61"/>
        <v>252</v>
      </c>
      <c r="G41" s="27">
        <f t="shared" si="61"/>
        <v>202</v>
      </c>
      <c r="H41" s="27">
        <f t="shared" si="61"/>
        <v>1500</v>
      </c>
      <c r="I41" s="27">
        <f t="shared" si="61"/>
        <v>33937.54</v>
      </c>
      <c r="J41" s="27">
        <f t="shared" si="61"/>
        <v>7913.55</v>
      </c>
      <c r="K41" s="27">
        <f t="shared" ref="K41" si="62">SUM(K34:K40)</f>
        <v>9.3699999999999992</v>
      </c>
      <c r="L41" s="27">
        <f t="shared" si="61"/>
        <v>24497.64</v>
      </c>
      <c r="M41" s="27">
        <f t="shared" si="61"/>
        <v>23176.5</v>
      </c>
      <c r="N41" s="27">
        <f t="shared" si="61"/>
        <v>123.9</v>
      </c>
      <c r="O41" s="27">
        <f t="shared" si="61"/>
        <v>0</v>
      </c>
      <c r="P41" s="27">
        <f t="shared" si="61"/>
        <v>0</v>
      </c>
      <c r="Q41" s="27">
        <f t="shared" si="61"/>
        <v>84.62</v>
      </c>
      <c r="R41" s="27">
        <f t="shared" si="61"/>
        <v>335</v>
      </c>
      <c r="S41" s="27">
        <f t="shared" si="61"/>
        <v>296.3</v>
      </c>
      <c r="T41" s="27">
        <f t="shared" si="61"/>
        <v>481.32000000000005</v>
      </c>
      <c r="U41" s="27">
        <f t="shared" si="61"/>
        <v>40.299999999999997</v>
      </c>
      <c r="V41" s="27">
        <f t="shared" si="61"/>
        <v>20</v>
      </c>
      <c r="W41" s="27">
        <f t="shared" si="61"/>
        <v>180.2</v>
      </c>
      <c r="X41" s="27">
        <f t="shared" si="61"/>
        <v>7547</v>
      </c>
      <c r="Y41" s="27">
        <f t="shared" si="61"/>
        <v>3150</v>
      </c>
      <c r="Z41" s="27">
        <f t="shared" si="61"/>
        <v>-126.05000000000018</v>
      </c>
      <c r="AA41" s="27">
        <f t="shared" si="61"/>
        <v>-1399.980000000005</v>
      </c>
      <c r="AB41" s="27">
        <f t="shared" si="61"/>
        <v>155</v>
      </c>
      <c r="AC41" s="27">
        <f t="shared" si="61"/>
        <v>47</v>
      </c>
      <c r="AD41" s="27">
        <f t="shared" si="61"/>
        <v>1430</v>
      </c>
      <c r="AE41" s="27">
        <f t="shared" si="61"/>
        <v>70</v>
      </c>
      <c r="AF41" s="27" t="s">
        <v>36</v>
      </c>
      <c r="AG41" s="27">
        <f>SUM(AG34:AG40)</f>
        <v>-1500</v>
      </c>
    </row>
    <row r="42" spans="1:34" ht="51.75" customHeight="1">
      <c r="A42" s="67" t="s">
        <v>17</v>
      </c>
      <c r="B42" s="68"/>
      <c r="C42" s="30">
        <f t="shared" ref="C42:AG42" si="63">SUM(C9,C17,C25,C33,C41)</f>
        <v>300412.5</v>
      </c>
      <c r="D42" s="30">
        <f t="shared" si="63"/>
        <v>129020.88999999998</v>
      </c>
      <c r="E42" s="30">
        <f t="shared" si="63"/>
        <v>1234</v>
      </c>
      <c r="F42" s="30">
        <f t="shared" si="63"/>
        <v>3069</v>
      </c>
      <c r="G42" s="30">
        <f t="shared" si="63"/>
        <v>3398.48</v>
      </c>
      <c r="H42" s="30">
        <f t="shared" si="63"/>
        <v>9400.5300000000007</v>
      </c>
      <c r="I42" s="30">
        <f t="shared" si="63"/>
        <v>447560.76999999996</v>
      </c>
      <c r="J42" s="30">
        <f t="shared" si="63"/>
        <v>83400.740000000005</v>
      </c>
      <c r="K42" s="30">
        <f t="shared" ref="K42" si="64">SUM(K9,K17,K25,K33,K41)</f>
        <v>343.68</v>
      </c>
      <c r="L42" s="30">
        <f t="shared" si="63"/>
        <v>357216.1</v>
      </c>
      <c r="M42" s="30">
        <f t="shared" si="63"/>
        <v>320306.68000000005</v>
      </c>
      <c r="N42" s="30">
        <f t="shared" si="63"/>
        <v>1599.02</v>
      </c>
      <c r="O42" s="30">
        <f t="shared" si="63"/>
        <v>93.98</v>
      </c>
      <c r="P42" s="30">
        <f t="shared" si="63"/>
        <v>1729.73</v>
      </c>
      <c r="Q42" s="30">
        <f t="shared" si="63"/>
        <v>4155.6399999999994</v>
      </c>
      <c r="R42" s="30">
        <f t="shared" si="63"/>
        <v>12536.64</v>
      </c>
      <c r="S42" s="30">
        <f t="shared" si="63"/>
        <v>7396.92</v>
      </c>
      <c r="T42" s="30">
        <f t="shared" si="63"/>
        <v>6850.01</v>
      </c>
      <c r="U42" s="30">
        <f t="shared" si="63"/>
        <v>8628.3799999999992</v>
      </c>
      <c r="V42" s="30">
        <f t="shared" si="63"/>
        <v>1025.3699999999999</v>
      </c>
      <c r="W42" s="30">
        <f t="shared" si="63"/>
        <v>1451.0000000000002</v>
      </c>
      <c r="X42" s="30">
        <f t="shared" si="63"/>
        <v>71705.2</v>
      </c>
      <c r="Y42" s="30">
        <f t="shared" si="63"/>
        <v>15750</v>
      </c>
      <c r="Z42" s="30">
        <f t="shared" si="63"/>
        <v>-310.49000000000069</v>
      </c>
      <c r="AA42" s="30">
        <f t="shared" si="63"/>
        <v>-5742.7100000000046</v>
      </c>
      <c r="AB42" s="30">
        <f t="shared" si="63"/>
        <v>2318.48</v>
      </c>
      <c r="AC42" s="30">
        <f t="shared" si="63"/>
        <v>1080</v>
      </c>
      <c r="AD42" s="30">
        <f t="shared" si="63"/>
        <v>5681.46</v>
      </c>
      <c r="AE42" s="30">
        <f t="shared" si="63"/>
        <v>2319.0700000000002</v>
      </c>
      <c r="AF42" s="30">
        <f t="shared" si="63"/>
        <v>17770</v>
      </c>
      <c r="AG42" s="30">
        <f t="shared" si="63"/>
        <v>8369.4699999999993</v>
      </c>
    </row>
    <row r="44" spans="1:34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  <c r="X44" s="41"/>
      <c r="Y44" s="41"/>
      <c r="Z44" s="41"/>
      <c r="AA44" s="41"/>
      <c r="AB44" s="41"/>
      <c r="AC44" s="41"/>
      <c r="AD44" s="41"/>
      <c r="AE44" s="41"/>
      <c r="AF44" s="41"/>
      <c r="AG44" s="41"/>
    </row>
    <row r="45" spans="1:34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  <c r="X45" s="41"/>
      <c r="Y45" s="41"/>
      <c r="Z45" s="41"/>
      <c r="AA45" s="41"/>
      <c r="AB45" s="41"/>
      <c r="AC45" s="41"/>
      <c r="AD45" s="41"/>
      <c r="AE45" s="41"/>
      <c r="AF45" s="41"/>
      <c r="AG45" s="41"/>
    </row>
    <row r="46" spans="1:34">
      <c r="C46" s="42"/>
      <c r="D46" s="42"/>
      <c r="E46" s="42"/>
      <c r="F46" s="42"/>
      <c r="G46" s="42"/>
      <c r="H46" s="42"/>
      <c r="I46" s="42"/>
      <c r="J46" s="42"/>
      <c r="K46" s="42"/>
      <c r="L46" s="42"/>
      <c r="M46" s="42"/>
      <c r="N46" s="42"/>
      <c r="O46" s="42"/>
      <c r="P46" s="42"/>
      <c r="Q46" s="42"/>
      <c r="R46" s="42"/>
      <c r="S46" s="42"/>
      <c r="T46" s="42"/>
      <c r="U46" s="42"/>
      <c r="V46" s="42"/>
      <c r="W46" s="42"/>
      <c r="X46" s="42"/>
      <c r="Y46" s="42"/>
      <c r="Z46" s="42"/>
      <c r="AA46" s="42"/>
      <c r="AB46" s="42"/>
      <c r="AC46" s="42"/>
      <c r="AD46" s="42"/>
      <c r="AE46" s="42"/>
      <c r="AF46" s="42"/>
      <c r="AG46" s="42"/>
    </row>
    <row r="47" spans="1:34"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  <c r="X47" s="42"/>
      <c r="Y47" s="42"/>
      <c r="Z47" s="42"/>
      <c r="AA47" s="42"/>
      <c r="AB47" s="42"/>
      <c r="AC47" s="42"/>
      <c r="AD47" s="42"/>
      <c r="AE47" s="42"/>
      <c r="AF47" s="42"/>
      <c r="AG47" s="42"/>
    </row>
    <row r="48" spans="1:34">
      <c r="C48" s="41"/>
      <c r="D48" s="41"/>
      <c r="E48" s="41"/>
      <c r="F48" s="41"/>
      <c r="G48" s="41"/>
      <c r="H48" s="41"/>
      <c r="I48" s="41"/>
      <c r="J48" s="41"/>
      <c r="K48" s="41"/>
      <c r="L48" s="41"/>
      <c r="M48" s="41"/>
      <c r="N48" s="41"/>
      <c r="O48" s="41"/>
      <c r="P48" s="41"/>
      <c r="Q48" s="41"/>
      <c r="R48" s="41"/>
      <c r="S48" s="41"/>
      <c r="T48" s="41"/>
      <c r="U48" s="41"/>
      <c r="V48" s="41"/>
      <c r="W48" s="41"/>
      <c r="X48" s="41"/>
      <c r="Y48" s="41"/>
      <c r="Z48" s="41"/>
      <c r="AA48" s="41"/>
      <c r="AB48" s="41"/>
      <c r="AC48" s="41"/>
      <c r="AD48" s="41"/>
      <c r="AE48" s="41"/>
      <c r="AF48" s="41"/>
      <c r="AG48" s="41"/>
    </row>
    <row r="50" spans="1:33" hidden="1"/>
    <row r="51" spans="1:33" ht="18.75" hidden="1">
      <c r="C51" s="11"/>
      <c r="D51" s="11"/>
      <c r="E51" s="11"/>
      <c r="F51" s="11"/>
      <c r="G51" s="11"/>
      <c r="H51" s="11"/>
      <c r="I51" s="11"/>
      <c r="J51" s="11"/>
      <c r="K51" s="11"/>
      <c r="L51" s="11"/>
      <c r="M51" s="11"/>
      <c r="N51" s="11"/>
      <c r="O51" s="11"/>
      <c r="P51" s="11"/>
      <c r="Q51" s="11"/>
      <c r="R51" s="11"/>
      <c r="S51" s="11"/>
      <c r="T51" s="11"/>
      <c r="U51" s="11"/>
      <c r="V51" s="33"/>
      <c r="W51" s="33"/>
      <c r="X51" s="11"/>
      <c r="Y51" s="11"/>
      <c r="Z51" s="31"/>
      <c r="AA51" s="32"/>
      <c r="AB51" s="32"/>
      <c r="AC51" s="32"/>
      <c r="AD51" s="33"/>
      <c r="AE51" s="33"/>
      <c r="AF51" s="33"/>
      <c r="AG51" s="33"/>
    </row>
    <row r="52" spans="1:33" ht="18.75" hidden="1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11"/>
      <c r="Q52" s="11"/>
      <c r="R52" s="11"/>
      <c r="S52" s="11"/>
      <c r="T52" s="11"/>
      <c r="U52" s="11"/>
      <c r="V52" s="33"/>
      <c r="W52" s="33"/>
      <c r="X52" s="11"/>
      <c r="Y52" s="11"/>
      <c r="Z52" s="31"/>
      <c r="AA52" s="32"/>
      <c r="AB52" s="32"/>
      <c r="AC52" s="32"/>
      <c r="AD52" s="33"/>
      <c r="AE52" s="33"/>
      <c r="AF52" s="33"/>
      <c r="AG52" s="33"/>
    </row>
    <row r="53" spans="1:33" s="28" customFormat="1" ht="18.75" hidden="1">
      <c r="A53"/>
      <c r="B53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33"/>
      <c r="W53" s="33"/>
      <c r="X53" s="11"/>
      <c r="Y53" s="11"/>
      <c r="Z53" s="31"/>
      <c r="AA53" s="32"/>
      <c r="AB53" s="32"/>
      <c r="AC53" s="32"/>
      <c r="AD53" s="33"/>
      <c r="AE53" s="33"/>
      <c r="AF53" s="33"/>
      <c r="AG53" s="33"/>
    </row>
    <row r="54" spans="1:33" s="28" customFormat="1" hidden="1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</row>
    <row r="55" spans="1:33" s="28" customFormat="1" hidden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</row>
    <row r="56" spans="1:33" s="28" customFormat="1" hidden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</row>
  </sheetData>
  <mergeCells count="6">
    <mergeCell ref="A42:B42"/>
    <mergeCell ref="A9:B9"/>
    <mergeCell ref="A17:B17"/>
    <mergeCell ref="A25:B25"/>
    <mergeCell ref="A33:B33"/>
    <mergeCell ref="A41:B41"/>
  </mergeCells>
  <conditionalFormatting sqref="Z51:AC53 Z7:AD7 Z8:AC8 Z2:AC6 Z10:AB16 Z18:AC24 Z26:AC32 Z34:AB40">
    <cfRule type="cellIs" dxfId="23" priority="23" operator="lessThan">
      <formula>0</formula>
    </cfRule>
    <cfRule type="cellIs" dxfId="22" priority="24" operator="greaterThan">
      <formula>0</formula>
    </cfRule>
  </conditionalFormatting>
  <conditionalFormatting sqref="Z51:AD53 Z7:AE7 Z8:AD8 Z2:AD6 AD34:AD40 AD10:AD16 Z10:AB16 Z18:AD24 Z34:AB40 Z26:AD32">
    <cfRule type="cellIs" dxfId="21" priority="20" operator="equal">
      <formula>0</formula>
    </cfRule>
    <cfRule type="cellIs" dxfId="20" priority="21" operator="lessThan">
      <formula>0</formula>
    </cfRule>
    <cfRule type="cellIs" dxfId="19" priority="22" operator="greaterThan">
      <formula>0</formula>
    </cfRule>
  </conditionalFormatting>
  <conditionalFormatting sqref="AG18:AG24 AG26:AG32 AH7 AG2:AG8 AG34:AG40 AG10:AG16">
    <cfRule type="cellIs" dxfId="18" priority="17" operator="equal">
      <formula>0</formula>
    </cfRule>
    <cfRule type="cellIs" dxfId="17" priority="18" operator="lessThan">
      <formula>0</formula>
    </cfRule>
    <cfRule type="cellIs" dxfId="16" priority="19" operator="greaterThan">
      <formula>0</formula>
    </cfRule>
  </conditionalFormatting>
  <conditionalFormatting sqref="Z2:AC2">
    <cfRule type="cellIs" dxfId="15" priority="15" operator="lessThan">
      <formula>0</formula>
    </cfRule>
    <cfRule type="cellIs" dxfId="14" priority="16" operator="greaterThan">
      <formula>0</formula>
    </cfRule>
  </conditionalFormatting>
  <conditionalFormatting sqref="Z2:AD2">
    <cfRule type="cellIs" dxfId="13" priority="12" operator="equal">
      <formula>0</formula>
    </cfRule>
    <cfRule type="cellIs" dxfId="12" priority="13" operator="lessThan">
      <formula>0</formula>
    </cfRule>
    <cfRule type="cellIs" dxfId="11" priority="14" operator="greaterThan">
      <formula>0</formula>
    </cfRule>
  </conditionalFormatting>
  <conditionalFormatting sqref="AG2">
    <cfRule type="cellIs" dxfId="10" priority="9" operator="equal">
      <formula>0</formula>
    </cfRule>
    <cfRule type="cellIs" dxfId="9" priority="10" operator="lessThan">
      <formula>0</formula>
    </cfRule>
    <cfRule type="cellIs" dxfId="8" priority="11" operator="greaterThan">
      <formula>0</formula>
    </cfRule>
  </conditionalFormatting>
  <conditionalFormatting sqref="Z3:AC3">
    <cfRule type="cellIs" dxfId="7" priority="7" operator="lessThan">
      <formula>0</formula>
    </cfRule>
    <cfRule type="cellIs" dxfId="6" priority="8" operator="greaterThan">
      <formula>0</formula>
    </cfRule>
  </conditionalFormatting>
  <conditionalFormatting sqref="Z3:AD3">
    <cfRule type="cellIs" dxfId="5" priority="4" operator="equal">
      <formula>0</formula>
    </cfRule>
    <cfRule type="cellIs" dxfId="4" priority="5" operator="lessThan">
      <formula>0</formula>
    </cfRule>
    <cfRule type="cellIs" dxfId="3" priority="6" operator="greaterThan">
      <formula>0</formula>
    </cfRule>
  </conditionalFormatting>
  <conditionalFormatting sqref="AG3">
    <cfRule type="cellIs" dxfId="2" priority="1" operator="equal">
      <formula>0</formula>
    </cfRule>
    <cfRule type="cellIs" dxfId="1" priority="2" operator="lessThan">
      <formula>0</formula>
    </cfRule>
    <cfRule type="cellIs" dxfId="0" priority="3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U42"/>
  <sheetViews>
    <sheetView zoomScale="70" zoomScaleNormal="70" workbookViewId="0">
      <pane ySplit="1" topLeftCell="A8" activePane="bottomLeft" state="frozen"/>
      <selection pane="bottomLeft" activeCell="D38" sqref="D38"/>
    </sheetView>
  </sheetViews>
  <sheetFormatPr defaultRowHeight="15"/>
  <cols>
    <col min="1" max="1" width="16.5703125" customWidth="1"/>
    <col min="2" max="2" width="14.42578125" customWidth="1"/>
    <col min="3" max="3" width="13.7109375" customWidth="1"/>
    <col min="4" max="4" width="16.28515625" customWidth="1"/>
    <col min="5" max="5" width="15.4257812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0" width="14.7109375" customWidth="1"/>
    <col min="11" max="11" width="14" customWidth="1"/>
    <col min="12" max="12" width="20.85546875" customWidth="1"/>
    <col min="13" max="14" width="16.7109375" customWidth="1"/>
    <col min="15" max="15" width="14.28515625" customWidth="1"/>
    <col min="16" max="16" width="13" customWidth="1"/>
    <col min="17" max="17" width="14.85546875" customWidth="1"/>
    <col min="18" max="18" width="14" customWidth="1"/>
    <col min="19" max="19" width="14.42578125" customWidth="1"/>
    <col min="20" max="21" width="15.85546875" customWidth="1"/>
    <col min="24" max="24" width="12.85546875" customWidth="1"/>
  </cols>
  <sheetData>
    <row r="1" spans="1:21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28</v>
      </c>
      <c r="M1" s="8" t="s">
        <v>9</v>
      </c>
      <c r="N1" s="8" t="s">
        <v>10</v>
      </c>
      <c r="O1" s="8" t="s">
        <v>11</v>
      </c>
      <c r="P1" s="8" t="s">
        <v>12</v>
      </c>
      <c r="Q1" s="8" t="s">
        <v>13</v>
      </c>
      <c r="R1" s="8" t="s">
        <v>14</v>
      </c>
      <c r="S1" s="8" t="s">
        <v>34</v>
      </c>
      <c r="T1" s="23" t="s">
        <v>39</v>
      </c>
      <c r="U1" s="23" t="s">
        <v>40</v>
      </c>
    </row>
    <row r="2" spans="1:21" ht="18.75">
      <c r="A2" s="9">
        <v>44136</v>
      </c>
      <c r="B2" s="10" t="s">
        <v>22</v>
      </c>
      <c r="C2" s="5">
        <f>3574.81+36</f>
        <v>3610.81</v>
      </c>
      <c r="D2" s="5">
        <v>1677.01</v>
      </c>
      <c r="E2" s="5">
        <v>0</v>
      </c>
      <c r="F2" s="5">
        <v>33</v>
      </c>
      <c r="G2" s="5">
        <v>10</v>
      </c>
      <c r="H2" s="5">
        <f>SUM(C2:G2,N2)</f>
        <v>5340.82</v>
      </c>
      <c r="I2" s="5">
        <f>1913.86</f>
        <v>1913.86</v>
      </c>
      <c r="J2" s="5">
        <v>3421.96</v>
      </c>
      <c r="K2" s="5">
        <v>0</v>
      </c>
      <c r="L2" s="5">
        <v>36</v>
      </c>
      <c r="M2" s="5">
        <v>0</v>
      </c>
      <c r="N2" s="5">
        <v>10</v>
      </c>
      <c r="O2" s="5">
        <v>59</v>
      </c>
      <c r="P2" s="5">
        <v>1848.72</v>
      </c>
      <c r="Q2" s="5">
        <v>400</v>
      </c>
      <c r="R2" s="2">
        <f>SUM(M2,N2,O2,P2)-(I2)</f>
        <v>3.8600000000001273</v>
      </c>
      <c r="S2" s="3">
        <f>(H2)-(I2+J2+K2+U2)</f>
        <v>0</v>
      </c>
      <c r="T2" s="6">
        <f t="shared" ref="T2:T34" si="0">SUM(G2-U2)</f>
        <v>5</v>
      </c>
      <c r="U2" s="6">
        <v>5</v>
      </c>
    </row>
    <row r="3" spans="1:21" ht="37.5">
      <c r="A3" s="14" t="s">
        <v>27</v>
      </c>
      <c r="B3" s="16"/>
      <c r="C3" s="15">
        <f>SUM(C2)</f>
        <v>3610.81</v>
      </c>
      <c r="D3" s="15">
        <f t="shared" ref="D3:U3" si="1">SUM(D2)</f>
        <v>1677.01</v>
      </c>
      <c r="E3" s="15">
        <f t="shared" si="1"/>
        <v>0</v>
      </c>
      <c r="F3" s="15">
        <f t="shared" si="1"/>
        <v>33</v>
      </c>
      <c r="G3" s="15">
        <f t="shared" si="1"/>
        <v>10</v>
      </c>
      <c r="H3" s="15">
        <f t="shared" si="1"/>
        <v>5340.82</v>
      </c>
      <c r="I3" s="15">
        <f t="shared" si="1"/>
        <v>1913.86</v>
      </c>
      <c r="J3" s="15">
        <f t="shared" si="1"/>
        <v>3421.96</v>
      </c>
      <c r="K3" s="15">
        <f t="shared" si="1"/>
        <v>0</v>
      </c>
      <c r="L3" s="15">
        <f t="shared" si="1"/>
        <v>36</v>
      </c>
      <c r="M3" s="15">
        <f t="shared" si="1"/>
        <v>0</v>
      </c>
      <c r="N3" s="15">
        <f t="shared" si="1"/>
        <v>10</v>
      </c>
      <c r="O3" s="15">
        <f t="shared" si="1"/>
        <v>59</v>
      </c>
      <c r="P3" s="15">
        <f t="shared" si="1"/>
        <v>1848.72</v>
      </c>
      <c r="Q3" s="15">
        <f t="shared" si="1"/>
        <v>400</v>
      </c>
      <c r="R3" s="15">
        <f t="shared" si="1"/>
        <v>3.8600000000001273</v>
      </c>
      <c r="S3" s="15">
        <f t="shared" si="1"/>
        <v>0</v>
      </c>
      <c r="T3" s="15">
        <f t="shared" si="1"/>
        <v>5</v>
      </c>
      <c r="U3" s="15">
        <f t="shared" si="1"/>
        <v>5</v>
      </c>
    </row>
    <row r="4" spans="1:21" ht="18.75">
      <c r="A4" s="9">
        <v>44137</v>
      </c>
      <c r="B4" s="10" t="s">
        <v>23</v>
      </c>
      <c r="C4" s="5">
        <v>3631.17</v>
      </c>
      <c r="D4" s="5">
        <v>1454.75</v>
      </c>
      <c r="E4" s="5">
        <v>21.5</v>
      </c>
      <c r="F4" s="5">
        <v>21</v>
      </c>
      <c r="G4" s="26">
        <v>25</v>
      </c>
      <c r="H4" s="5">
        <f>SUM(C4:G4,N4)</f>
        <v>5193.42</v>
      </c>
      <c r="I4" s="5">
        <v>1295.0999999999999</v>
      </c>
      <c r="J4" s="5">
        <v>3898.32</v>
      </c>
      <c r="K4" s="5">
        <v>0</v>
      </c>
      <c r="L4" s="5">
        <v>88.23</v>
      </c>
      <c r="M4" s="5">
        <v>160.13</v>
      </c>
      <c r="N4" s="5">
        <v>40</v>
      </c>
      <c r="O4" s="5">
        <v>17</v>
      </c>
      <c r="P4" s="5">
        <v>1069.73</v>
      </c>
      <c r="Q4" s="5">
        <v>405</v>
      </c>
      <c r="R4" s="3">
        <v>-3.24</v>
      </c>
      <c r="S4" s="3">
        <f>(H4)-(I4+J4+K4+U4)</f>
        <v>0</v>
      </c>
      <c r="T4" s="6">
        <f t="shared" si="0"/>
        <v>25</v>
      </c>
      <c r="U4" s="4">
        <v>0</v>
      </c>
    </row>
    <row r="5" spans="1:21" ht="18.75">
      <c r="A5" s="9">
        <v>44138</v>
      </c>
      <c r="B5" s="10" t="s">
        <v>24</v>
      </c>
      <c r="C5" s="5">
        <v>3941.06</v>
      </c>
      <c r="D5" s="5">
        <v>1406.74</v>
      </c>
      <c r="E5" s="5">
        <v>12.5</v>
      </c>
      <c r="F5" s="5">
        <v>31</v>
      </c>
      <c r="G5" s="26">
        <v>0</v>
      </c>
      <c r="H5" s="5">
        <f>SUM(C5:G5,N5)</f>
        <v>5391.3</v>
      </c>
      <c r="I5" s="5">
        <f>1787.77</f>
        <v>1787.77</v>
      </c>
      <c r="J5" s="5">
        <v>3603.53</v>
      </c>
      <c r="K5" s="5">
        <v>0</v>
      </c>
      <c r="L5" s="5">
        <v>289.95</v>
      </c>
      <c r="M5" s="5">
        <v>0</v>
      </c>
      <c r="N5" s="5">
        <v>0</v>
      </c>
      <c r="O5" s="5">
        <v>3</v>
      </c>
      <c r="P5" s="5">
        <v>1775.73</v>
      </c>
      <c r="Q5" s="5">
        <v>400</v>
      </c>
      <c r="R5" s="3">
        <f t="shared" ref="R5:R34" si="2">SUM(M5,N5,O5,P5)-I5</f>
        <v>-9.0399999999999636</v>
      </c>
      <c r="S5" s="3">
        <f t="shared" ref="S5:S34" si="3">(H5)-(I5+J5+K5+U5)</f>
        <v>0</v>
      </c>
      <c r="T5" s="6">
        <f t="shared" si="0"/>
        <v>0</v>
      </c>
      <c r="U5" s="5">
        <v>0</v>
      </c>
    </row>
    <row r="6" spans="1:21" ht="18.75">
      <c r="A6" s="9">
        <v>44139</v>
      </c>
      <c r="B6" s="10" t="s">
        <v>25</v>
      </c>
      <c r="C6" s="5">
        <v>3449.46</v>
      </c>
      <c r="D6" s="5">
        <v>1474.51</v>
      </c>
      <c r="E6" s="5">
        <v>48.5</v>
      </c>
      <c r="F6" s="5">
        <v>23</v>
      </c>
      <c r="G6" s="26">
        <v>20</v>
      </c>
      <c r="H6" s="5">
        <f>SUM(C6:G6,N6)</f>
        <v>5045.47</v>
      </c>
      <c r="I6" s="5">
        <f>1275.73</f>
        <v>1275.73</v>
      </c>
      <c r="J6" s="5">
        <v>3749.74</v>
      </c>
      <c r="K6" s="5">
        <v>0</v>
      </c>
      <c r="L6" s="5">
        <v>97.74</v>
      </c>
      <c r="M6" s="5">
        <v>55.49</v>
      </c>
      <c r="N6" s="5">
        <v>30</v>
      </c>
      <c r="O6" s="5">
        <v>14</v>
      </c>
      <c r="P6" s="5">
        <v>1181.3</v>
      </c>
      <c r="Q6" s="5">
        <v>400</v>
      </c>
      <c r="R6" s="3">
        <f t="shared" si="2"/>
        <v>5.0599999999999454</v>
      </c>
      <c r="S6" s="3">
        <f t="shared" si="3"/>
        <v>0</v>
      </c>
      <c r="T6" s="6">
        <f t="shared" si="0"/>
        <v>0</v>
      </c>
      <c r="U6" s="5">
        <v>20</v>
      </c>
    </row>
    <row r="7" spans="1:21" ht="18.75">
      <c r="A7" s="9">
        <v>44140</v>
      </c>
      <c r="B7" s="10" t="s">
        <v>26</v>
      </c>
      <c r="C7" s="5">
        <v>2962.33</v>
      </c>
      <c r="D7" s="5">
        <v>2186.42</v>
      </c>
      <c r="E7" s="5">
        <v>19</v>
      </c>
      <c r="F7" s="5">
        <v>23</v>
      </c>
      <c r="G7" s="26">
        <v>70</v>
      </c>
      <c r="H7" s="5">
        <f>SUM(C7:G7,N7)</f>
        <v>5260.75</v>
      </c>
      <c r="I7" s="5">
        <v>1575.4</v>
      </c>
      <c r="J7" s="5">
        <v>3588.82</v>
      </c>
      <c r="K7" s="5">
        <v>56.53</v>
      </c>
      <c r="L7" s="5">
        <v>75.599999999999994</v>
      </c>
      <c r="M7" s="5">
        <v>62.99</v>
      </c>
      <c r="N7" s="5">
        <v>0</v>
      </c>
      <c r="O7" s="5">
        <v>0</v>
      </c>
      <c r="P7" s="5">
        <v>1510.93</v>
      </c>
      <c r="Q7" s="5">
        <v>400</v>
      </c>
      <c r="R7" s="3">
        <f t="shared" si="2"/>
        <v>-1.4800000000000182</v>
      </c>
      <c r="S7" s="3">
        <f t="shared" si="3"/>
        <v>0</v>
      </c>
      <c r="T7" s="6">
        <f t="shared" si="0"/>
        <v>30</v>
      </c>
      <c r="U7" s="5">
        <v>40</v>
      </c>
    </row>
    <row r="8" spans="1:21" ht="18.75">
      <c r="A8" s="9">
        <v>44141</v>
      </c>
      <c r="B8" s="10" t="s">
        <v>20</v>
      </c>
      <c r="C8" s="5">
        <v>3453.16</v>
      </c>
      <c r="D8" s="5">
        <v>2246.58</v>
      </c>
      <c r="E8" s="5">
        <v>14.5</v>
      </c>
      <c r="F8" s="5">
        <v>64</v>
      </c>
      <c r="G8" s="26">
        <v>30</v>
      </c>
      <c r="H8" s="5">
        <f t="shared" ref="H8:H18" si="4">SUM(C8:G8,N8)</f>
        <v>5818.24</v>
      </c>
      <c r="I8" s="5">
        <v>1635.14</v>
      </c>
      <c r="J8" s="5">
        <v>4150.6099999999997</v>
      </c>
      <c r="K8" s="5">
        <v>2.4900000000000002</v>
      </c>
      <c r="L8" s="5">
        <v>116.74</v>
      </c>
      <c r="M8" s="5">
        <v>91.54</v>
      </c>
      <c r="N8" s="5">
        <v>10</v>
      </c>
      <c r="O8" s="5">
        <v>18</v>
      </c>
      <c r="P8" s="5">
        <v>1515.27</v>
      </c>
      <c r="Q8" s="5">
        <v>400</v>
      </c>
      <c r="R8" s="3">
        <f t="shared" si="2"/>
        <v>-0.33000000000015461</v>
      </c>
      <c r="S8" s="3">
        <f t="shared" si="3"/>
        <v>0</v>
      </c>
      <c r="T8" s="6">
        <f t="shared" si="0"/>
        <v>0</v>
      </c>
      <c r="U8" s="5">
        <v>30</v>
      </c>
    </row>
    <row r="9" spans="1:21" ht="18.75">
      <c r="A9" s="9">
        <v>44142</v>
      </c>
      <c r="B9" s="10" t="s">
        <v>21</v>
      </c>
      <c r="C9" s="5">
        <v>2445.11</v>
      </c>
      <c r="D9" s="5">
        <v>1776.17</v>
      </c>
      <c r="E9" s="5">
        <v>68</v>
      </c>
      <c r="F9" s="5">
        <v>39</v>
      </c>
      <c r="G9" s="26">
        <v>25</v>
      </c>
      <c r="H9" s="5">
        <f t="shared" si="4"/>
        <v>4403.2800000000007</v>
      </c>
      <c r="I9" s="5">
        <v>1600.17</v>
      </c>
      <c r="J9" s="5">
        <v>2778.11</v>
      </c>
      <c r="K9" s="5">
        <v>0</v>
      </c>
      <c r="L9" s="5">
        <v>0</v>
      </c>
      <c r="M9" s="5">
        <v>86.04</v>
      </c>
      <c r="N9" s="5">
        <v>50</v>
      </c>
      <c r="O9" s="5">
        <v>7</v>
      </c>
      <c r="P9" s="5">
        <f>1575.44-112.72</f>
        <v>1462.72</v>
      </c>
      <c r="Q9" s="5">
        <v>400</v>
      </c>
      <c r="R9" s="3">
        <f t="shared" si="2"/>
        <v>5.5899999999999181</v>
      </c>
      <c r="S9" s="3">
        <f t="shared" si="3"/>
        <v>0</v>
      </c>
      <c r="T9" s="6">
        <f t="shared" si="0"/>
        <v>0</v>
      </c>
      <c r="U9" s="5">
        <v>25</v>
      </c>
    </row>
    <row r="10" spans="1:21" ht="18.75">
      <c r="A10" s="9">
        <v>44143</v>
      </c>
      <c r="B10" s="10" t="s">
        <v>22</v>
      </c>
      <c r="C10" s="5">
        <f>1717.03+65</f>
        <v>1782.03</v>
      </c>
      <c r="D10" s="5">
        <v>1822.17</v>
      </c>
      <c r="E10" s="5">
        <v>0</v>
      </c>
      <c r="F10" s="5">
        <v>16</v>
      </c>
      <c r="G10" s="26">
        <v>0</v>
      </c>
      <c r="H10" s="5">
        <f t="shared" si="4"/>
        <v>3670.2</v>
      </c>
      <c r="I10" s="5">
        <v>1200.33</v>
      </c>
      <c r="J10" s="5">
        <v>2469.87</v>
      </c>
      <c r="K10" s="5">
        <v>0</v>
      </c>
      <c r="L10" s="5">
        <v>65</v>
      </c>
      <c r="M10" s="5">
        <v>0</v>
      </c>
      <c r="N10" s="5">
        <v>50</v>
      </c>
      <c r="O10" s="5">
        <v>40</v>
      </c>
      <c r="P10" s="5">
        <f>988.83+112.72</f>
        <v>1101.55</v>
      </c>
      <c r="Q10" s="5">
        <v>400</v>
      </c>
      <c r="R10" s="3">
        <f t="shared" si="2"/>
        <v>-8.7799999999999727</v>
      </c>
      <c r="S10" s="3">
        <f t="shared" si="3"/>
        <v>0</v>
      </c>
      <c r="T10" s="6">
        <f t="shared" si="0"/>
        <v>0</v>
      </c>
      <c r="U10" s="5">
        <v>0</v>
      </c>
    </row>
    <row r="11" spans="1:21" ht="37.5">
      <c r="A11" s="14" t="s">
        <v>27</v>
      </c>
      <c r="B11" s="16"/>
      <c r="C11" s="15">
        <f>SUM(C4:C10)</f>
        <v>21664.32</v>
      </c>
      <c r="D11" s="15">
        <f>SUM(D4:D10)</f>
        <v>12367.34</v>
      </c>
      <c r="E11" s="15">
        <f t="shared" ref="E11:Q11" si="5">SUM(E4:E10)</f>
        <v>184</v>
      </c>
      <c r="F11" s="15">
        <f t="shared" si="5"/>
        <v>217</v>
      </c>
      <c r="G11" s="15">
        <f t="shared" si="5"/>
        <v>170</v>
      </c>
      <c r="H11" s="15">
        <f>SUM(H4:H10)</f>
        <v>34782.659999999996</v>
      </c>
      <c r="I11" s="15">
        <f t="shared" si="5"/>
        <v>10369.640000000001</v>
      </c>
      <c r="J11" s="15">
        <f t="shared" si="5"/>
        <v>24239</v>
      </c>
      <c r="K11" s="15">
        <f t="shared" si="5"/>
        <v>59.02</v>
      </c>
      <c r="L11" s="15">
        <f t="shared" si="5"/>
        <v>733.26</v>
      </c>
      <c r="M11" s="15">
        <f t="shared" si="5"/>
        <v>456.19000000000005</v>
      </c>
      <c r="N11" s="15">
        <f t="shared" si="5"/>
        <v>180</v>
      </c>
      <c r="O11" s="15">
        <f t="shared" si="5"/>
        <v>99</v>
      </c>
      <c r="P11" s="15">
        <f t="shared" si="5"/>
        <v>9617.23</v>
      </c>
      <c r="Q11" s="15">
        <f t="shared" si="5"/>
        <v>2805</v>
      </c>
      <c r="R11" s="20">
        <f>SUM(R4:R10)</f>
        <v>-12.220000000000246</v>
      </c>
      <c r="S11" s="20">
        <f>SUM(S4:S10)</f>
        <v>0</v>
      </c>
      <c r="T11" s="20">
        <f>SUM(T4:T10)</f>
        <v>55</v>
      </c>
      <c r="U11" s="20">
        <f>SUM(U4:U10)</f>
        <v>115</v>
      </c>
    </row>
    <row r="12" spans="1:21" ht="18.75">
      <c r="A12" s="9">
        <v>44144</v>
      </c>
      <c r="B12" s="10" t="s">
        <v>23</v>
      </c>
      <c r="C12" s="5">
        <v>3281.64</v>
      </c>
      <c r="D12" s="5">
        <v>1393.09</v>
      </c>
      <c r="E12" s="5">
        <v>7.5</v>
      </c>
      <c r="F12" s="5">
        <v>10</v>
      </c>
      <c r="G12" s="5">
        <v>5</v>
      </c>
      <c r="H12" s="5">
        <f t="shared" si="4"/>
        <v>4737.2299999999996</v>
      </c>
      <c r="I12" s="5">
        <v>1304.94</v>
      </c>
      <c r="J12" s="5">
        <v>3392.22</v>
      </c>
      <c r="K12" s="5">
        <v>35.07</v>
      </c>
      <c r="L12" s="5">
        <v>131.05000000000001</v>
      </c>
      <c r="M12" s="5">
        <v>154.41</v>
      </c>
      <c r="N12" s="5">
        <v>40</v>
      </c>
      <c r="O12" s="5">
        <v>30</v>
      </c>
      <c r="P12" s="5">
        <v>1080.9100000000001</v>
      </c>
      <c r="Q12" s="5">
        <v>400</v>
      </c>
      <c r="R12" s="1">
        <f t="shared" si="2"/>
        <v>0.38000000000010914</v>
      </c>
      <c r="S12" s="3">
        <f>SUM(S4:S10)</f>
        <v>0</v>
      </c>
      <c r="T12" s="6">
        <f t="shared" si="0"/>
        <v>0</v>
      </c>
      <c r="U12" s="5">
        <v>5</v>
      </c>
    </row>
    <row r="13" spans="1:21" ht="18.75">
      <c r="A13" s="9">
        <v>44145</v>
      </c>
      <c r="B13" s="10" t="s">
        <v>24</v>
      </c>
      <c r="C13" s="5">
        <v>2876.37</v>
      </c>
      <c r="D13" s="5">
        <v>1362.61</v>
      </c>
      <c r="E13" s="5">
        <v>28</v>
      </c>
      <c r="F13" s="5">
        <v>21</v>
      </c>
      <c r="G13" s="5">
        <v>50</v>
      </c>
      <c r="H13" s="5">
        <f t="shared" si="4"/>
        <v>4417.9799999999996</v>
      </c>
      <c r="I13" s="5">
        <v>1379.13</v>
      </c>
      <c r="J13" s="5">
        <v>3038.85</v>
      </c>
      <c r="K13" s="5">
        <v>0</v>
      </c>
      <c r="L13" s="5">
        <v>54.03</v>
      </c>
      <c r="M13" s="5">
        <v>0</v>
      </c>
      <c r="N13" s="5">
        <v>80</v>
      </c>
      <c r="O13" s="5">
        <v>17</v>
      </c>
      <c r="P13" s="5">
        <v>1282.92</v>
      </c>
      <c r="Q13" s="5">
        <v>300</v>
      </c>
      <c r="R13" s="1">
        <f t="shared" si="2"/>
        <v>0.78999999999996362</v>
      </c>
      <c r="S13" s="3">
        <f t="shared" si="3"/>
        <v>0</v>
      </c>
      <c r="T13" s="6">
        <f t="shared" si="0"/>
        <v>50</v>
      </c>
      <c r="U13" s="5">
        <v>0</v>
      </c>
    </row>
    <row r="14" spans="1:21" ht="18.75">
      <c r="A14" s="9">
        <v>44146</v>
      </c>
      <c r="B14" s="10" t="s">
        <v>25</v>
      </c>
      <c r="C14" s="5">
        <v>3055.27</v>
      </c>
      <c r="D14" s="5">
        <v>1655.51</v>
      </c>
      <c r="E14" s="5">
        <v>5</v>
      </c>
      <c r="F14" s="5">
        <v>33</v>
      </c>
      <c r="G14" s="5">
        <v>0</v>
      </c>
      <c r="H14" s="5">
        <f t="shared" si="4"/>
        <v>4808.78</v>
      </c>
      <c r="I14" s="5">
        <v>1482.86</v>
      </c>
      <c r="J14" s="5">
        <v>3325.92</v>
      </c>
      <c r="K14" s="5">
        <v>0</v>
      </c>
      <c r="L14" s="5">
        <v>65.41</v>
      </c>
      <c r="M14" s="5">
        <v>169.85</v>
      </c>
      <c r="N14" s="5">
        <v>60</v>
      </c>
      <c r="O14" s="5">
        <v>12</v>
      </c>
      <c r="P14" s="5">
        <v>1240.57</v>
      </c>
      <c r="Q14" s="5">
        <v>400</v>
      </c>
      <c r="R14" s="3">
        <f t="shared" si="2"/>
        <v>-0.44000000000005457</v>
      </c>
      <c r="S14" s="3">
        <f t="shared" si="3"/>
        <v>0</v>
      </c>
      <c r="T14" s="6">
        <f t="shared" si="0"/>
        <v>0</v>
      </c>
      <c r="U14" s="5">
        <v>0</v>
      </c>
    </row>
    <row r="15" spans="1:21" ht="18.75">
      <c r="A15" s="9">
        <v>44147</v>
      </c>
      <c r="B15" s="10" t="s">
        <v>26</v>
      </c>
      <c r="C15" s="5">
        <v>3638.78</v>
      </c>
      <c r="D15" s="5">
        <v>1602.73</v>
      </c>
      <c r="E15" s="5">
        <v>11.5</v>
      </c>
      <c r="F15" s="5">
        <v>35</v>
      </c>
      <c r="G15" s="5">
        <v>0</v>
      </c>
      <c r="H15" s="5">
        <f t="shared" si="4"/>
        <v>5358.01</v>
      </c>
      <c r="I15" s="5">
        <v>1118.58</v>
      </c>
      <c r="J15" s="5">
        <v>4239.43</v>
      </c>
      <c r="K15" s="5">
        <v>0</v>
      </c>
      <c r="L15" s="5">
        <v>131</v>
      </c>
      <c r="M15" s="5">
        <v>0</v>
      </c>
      <c r="N15" s="5">
        <v>70</v>
      </c>
      <c r="O15" s="5">
        <v>37</v>
      </c>
      <c r="P15" s="5">
        <v>1012.26</v>
      </c>
      <c r="Q15" s="5">
        <v>400</v>
      </c>
      <c r="R15" s="1">
        <f t="shared" si="2"/>
        <v>0.68000000000006366</v>
      </c>
      <c r="S15" s="3">
        <f t="shared" si="3"/>
        <v>0</v>
      </c>
      <c r="T15" s="6">
        <f t="shared" si="0"/>
        <v>0</v>
      </c>
      <c r="U15" s="5">
        <v>0</v>
      </c>
    </row>
    <row r="16" spans="1:21" ht="18.75">
      <c r="A16" s="9">
        <v>44148</v>
      </c>
      <c r="B16" s="10" t="s">
        <v>20</v>
      </c>
      <c r="C16" s="5">
        <v>3552.7</v>
      </c>
      <c r="D16" s="5">
        <v>2334.71</v>
      </c>
      <c r="E16" s="5">
        <v>29.5</v>
      </c>
      <c r="F16" s="5">
        <v>32</v>
      </c>
      <c r="G16" s="5">
        <v>60</v>
      </c>
      <c r="H16" s="5">
        <f t="shared" si="4"/>
        <v>6103.91</v>
      </c>
      <c r="I16" s="5">
        <v>1631.01</v>
      </c>
      <c r="J16" s="5">
        <v>4432.8999999999996</v>
      </c>
      <c r="K16" s="5">
        <v>0</v>
      </c>
      <c r="L16" s="5">
        <v>70.92</v>
      </c>
      <c r="M16" s="5">
        <v>0</v>
      </c>
      <c r="N16" s="5">
        <v>95</v>
      </c>
      <c r="O16" s="5">
        <v>10</v>
      </c>
      <c r="P16" s="5">
        <v>1526.09</v>
      </c>
      <c r="Q16" s="5">
        <v>400</v>
      </c>
      <c r="R16" s="3">
        <f t="shared" si="2"/>
        <v>7.999999999992724E-2</v>
      </c>
      <c r="S16" s="3">
        <f t="shared" si="3"/>
        <v>0</v>
      </c>
      <c r="T16" s="6">
        <f t="shared" si="0"/>
        <v>20</v>
      </c>
      <c r="U16" s="6">
        <v>40</v>
      </c>
    </row>
    <row r="17" spans="1:21" ht="18.75">
      <c r="A17" s="9">
        <v>44149</v>
      </c>
      <c r="B17" s="10" t="s">
        <v>21</v>
      </c>
      <c r="C17" s="5">
        <v>1758.88</v>
      </c>
      <c r="D17" s="5">
        <v>2073.13</v>
      </c>
      <c r="E17" s="5">
        <v>30</v>
      </c>
      <c r="F17" s="5">
        <v>15</v>
      </c>
      <c r="G17" s="5">
        <v>307</v>
      </c>
      <c r="H17" s="5">
        <f t="shared" si="4"/>
        <v>4284.01</v>
      </c>
      <c r="I17" s="5">
        <v>1936.05</v>
      </c>
      <c r="J17" s="5">
        <v>2347.96</v>
      </c>
      <c r="K17" s="5">
        <v>0</v>
      </c>
      <c r="L17" s="5">
        <v>62</v>
      </c>
      <c r="M17" s="5">
        <v>0</v>
      </c>
      <c r="N17" s="5">
        <v>100</v>
      </c>
      <c r="O17" s="5">
        <v>0</v>
      </c>
      <c r="P17" s="5">
        <v>1739.01</v>
      </c>
      <c r="Q17" s="5">
        <v>400</v>
      </c>
      <c r="R17" s="1">
        <f t="shared" si="2"/>
        <v>-97.039999999999964</v>
      </c>
      <c r="S17" s="3">
        <f t="shared" si="3"/>
        <v>0</v>
      </c>
      <c r="T17" s="6">
        <f t="shared" si="0"/>
        <v>307</v>
      </c>
      <c r="U17" s="6">
        <v>0</v>
      </c>
    </row>
    <row r="18" spans="1:21" ht="18.75">
      <c r="A18" s="9">
        <v>44150</v>
      </c>
      <c r="B18" s="10" t="s">
        <v>22</v>
      </c>
      <c r="C18" s="5">
        <v>2132.5700000000002</v>
      </c>
      <c r="D18" s="5">
        <v>1509.28</v>
      </c>
      <c r="E18" s="5">
        <v>0</v>
      </c>
      <c r="F18" s="5">
        <v>35</v>
      </c>
      <c r="G18" s="5">
        <v>10</v>
      </c>
      <c r="H18" s="5">
        <f t="shared" si="4"/>
        <v>3726.8500000000004</v>
      </c>
      <c r="I18" s="5">
        <v>1154.33</v>
      </c>
      <c r="J18" s="5">
        <v>2562.52</v>
      </c>
      <c r="K18" s="5">
        <v>0</v>
      </c>
      <c r="L18" s="5">
        <v>0</v>
      </c>
      <c r="M18" s="5">
        <v>0</v>
      </c>
      <c r="N18" s="5">
        <v>40</v>
      </c>
      <c r="O18" s="5">
        <v>40</v>
      </c>
      <c r="P18" s="5">
        <v>1074.81</v>
      </c>
      <c r="Q18" s="5">
        <v>400</v>
      </c>
      <c r="R18" s="3">
        <f t="shared" si="2"/>
        <v>0.48000000000001819</v>
      </c>
      <c r="S18" s="3">
        <f t="shared" si="3"/>
        <v>0</v>
      </c>
      <c r="T18" s="6">
        <f t="shared" si="0"/>
        <v>0</v>
      </c>
      <c r="U18" s="6">
        <v>10</v>
      </c>
    </row>
    <row r="19" spans="1:21" ht="37.5">
      <c r="A19" s="14" t="s">
        <v>27</v>
      </c>
      <c r="B19" s="16"/>
      <c r="C19" s="15">
        <f>SUM(C12:C18)</f>
        <v>20296.210000000003</v>
      </c>
      <c r="D19" s="15">
        <f t="shared" ref="D19:P19" si="6">SUM(D12:D18)</f>
        <v>11931.060000000003</v>
      </c>
      <c r="E19" s="15">
        <f t="shared" si="6"/>
        <v>111.5</v>
      </c>
      <c r="F19" s="15">
        <f t="shared" si="6"/>
        <v>181</v>
      </c>
      <c r="G19" s="15">
        <f t="shared" si="6"/>
        <v>432</v>
      </c>
      <c r="H19" s="15">
        <f>SUM(H12:H18)</f>
        <v>33436.769999999997</v>
      </c>
      <c r="I19" s="15">
        <f t="shared" si="6"/>
        <v>10006.9</v>
      </c>
      <c r="J19" s="15">
        <f t="shared" si="6"/>
        <v>23339.8</v>
      </c>
      <c r="K19" s="15">
        <f t="shared" si="6"/>
        <v>35.07</v>
      </c>
      <c r="L19" s="15">
        <f t="shared" si="6"/>
        <v>514.41000000000008</v>
      </c>
      <c r="M19" s="15">
        <f t="shared" si="6"/>
        <v>324.26</v>
      </c>
      <c r="N19" s="15">
        <f t="shared" si="6"/>
        <v>485</v>
      </c>
      <c r="O19" s="15">
        <f t="shared" si="6"/>
        <v>146</v>
      </c>
      <c r="P19" s="15">
        <f t="shared" si="6"/>
        <v>8956.57</v>
      </c>
      <c r="Q19" s="15">
        <f>SUM(Q12:Q18)</f>
        <v>2700</v>
      </c>
      <c r="R19" s="21">
        <f t="shared" si="2"/>
        <v>-95.069999999999709</v>
      </c>
      <c r="S19" s="20">
        <f>SUM(S12:S18)</f>
        <v>0</v>
      </c>
      <c r="T19" s="21">
        <f>SUM(T12:T18)</f>
        <v>377</v>
      </c>
      <c r="U19" s="21">
        <f>SUM(U12:U18)</f>
        <v>55</v>
      </c>
    </row>
    <row r="20" spans="1:21" ht="18.75">
      <c r="A20" s="9">
        <v>44151</v>
      </c>
      <c r="B20" s="10" t="s">
        <v>23</v>
      </c>
      <c r="C20" s="5">
        <v>3146.52</v>
      </c>
      <c r="D20" s="5">
        <v>1657.28</v>
      </c>
      <c r="E20" s="5">
        <v>15</v>
      </c>
      <c r="F20" s="5">
        <v>43</v>
      </c>
      <c r="G20" s="5">
        <v>40</v>
      </c>
      <c r="H20" s="5">
        <f t="shared" ref="H20:H26" si="7">SUM(C20:G20,N20)</f>
        <v>4971.8</v>
      </c>
      <c r="I20" s="5">
        <v>1310.5</v>
      </c>
      <c r="J20" s="5">
        <v>3651.3</v>
      </c>
      <c r="K20" s="5">
        <v>0</v>
      </c>
      <c r="L20" s="5">
        <v>86.08</v>
      </c>
      <c r="M20" s="5">
        <v>82.36</v>
      </c>
      <c r="N20" s="5">
        <v>70</v>
      </c>
      <c r="O20" s="5">
        <v>0</v>
      </c>
      <c r="P20" s="5">
        <v>1159.1400000000001</v>
      </c>
      <c r="Q20" s="5">
        <v>400</v>
      </c>
      <c r="R20" s="1">
        <f>SUM(M20,N20,O20,P20)-I20</f>
        <v>1</v>
      </c>
      <c r="S20" s="3">
        <f t="shared" si="3"/>
        <v>0</v>
      </c>
      <c r="T20" s="6">
        <f t="shared" si="0"/>
        <v>30</v>
      </c>
      <c r="U20" s="6">
        <v>10</v>
      </c>
    </row>
    <row r="21" spans="1:21" ht="18.75">
      <c r="A21" s="9">
        <v>44152</v>
      </c>
      <c r="B21" s="10" t="s">
        <v>24</v>
      </c>
      <c r="C21" s="5">
        <v>2653.41</v>
      </c>
      <c r="D21" s="5">
        <v>1798.19</v>
      </c>
      <c r="E21" s="5">
        <v>5</v>
      </c>
      <c r="F21" s="5">
        <v>15</v>
      </c>
      <c r="G21" s="5">
        <v>213</v>
      </c>
      <c r="H21" s="5">
        <f t="shared" si="7"/>
        <v>4734.6000000000004</v>
      </c>
      <c r="I21" s="5">
        <v>1147.8</v>
      </c>
      <c r="J21" s="5">
        <v>3381.8</v>
      </c>
      <c r="K21" s="5">
        <v>0</v>
      </c>
      <c r="L21" s="5">
        <v>94.59</v>
      </c>
      <c r="M21" s="5">
        <v>0</v>
      </c>
      <c r="N21" s="5">
        <v>50</v>
      </c>
      <c r="O21" s="5">
        <v>27</v>
      </c>
      <c r="P21" s="5">
        <v>1071.82</v>
      </c>
      <c r="Q21" s="5">
        <v>400</v>
      </c>
      <c r="R21" s="1">
        <f t="shared" si="2"/>
        <v>1.0199999999999818</v>
      </c>
      <c r="S21" s="3">
        <f t="shared" si="3"/>
        <v>0</v>
      </c>
      <c r="T21" s="6">
        <f t="shared" si="0"/>
        <v>8</v>
      </c>
      <c r="U21" s="6">
        <v>205</v>
      </c>
    </row>
    <row r="22" spans="1:21" ht="18.75">
      <c r="A22" s="9">
        <v>44153</v>
      </c>
      <c r="B22" s="10" t="s">
        <v>25</v>
      </c>
      <c r="C22" s="5">
        <v>2554.29</v>
      </c>
      <c r="D22" s="5">
        <v>1194.18</v>
      </c>
      <c r="E22" s="5">
        <v>4</v>
      </c>
      <c r="F22" s="5">
        <v>50</v>
      </c>
      <c r="G22" s="5">
        <v>0</v>
      </c>
      <c r="H22" s="5">
        <f t="shared" si="7"/>
        <v>3802.4700000000003</v>
      </c>
      <c r="I22" s="5">
        <v>937.27</v>
      </c>
      <c r="J22" s="5">
        <v>2865.2</v>
      </c>
      <c r="K22" s="5">
        <v>0</v>
      </c>
      <c r="L22" s="5">
        <v>0</v>
      </c>
      <c r="M22" s="5">
        <v>0</v>
      </c>
      <c r="N22" s="5">
        <v>0</v>
      </c>
      <c r="O22" s="5">
        <v>40</v>
      </c>
      <c r="P22" s="5">
        <v>892.58</v>
      </c>
      <c r="Q22" s="5">
        <v>400</v>
      </c>
      <c r="R22" s="1">
        <f t="shared" si="2"/>
        <v>-4.6899999999999409</v>
      </c>
      <c r="S22" s="3">
        <f t="shared" si="3"/>
        <v>0</v>
      </c>
      <c r="T22" s="6">
        <f t="shared" si="0"/>
        <v>0</v>
      </c>
      <c r="U22" s="6">
        <v>0</v>
      </c>
    </row>
    <row r="23" spans="1:21" ht="18.75">
      <c r="A23" s="9">
        <v>44154</v>
      </c>
      <c r="B23" s="10" t="s">
        <v>26</v>
      </c>
      <c r="C23" s="5">
        <v>2927.93</v>
      </c>
      <c r="D23" s="5">
        <v>1466.63</v>
      </c>
      <c r="E23" s="5">
        <v>24.5</v>
      </c>
      <c r="F23" s="5">
        <v>44</v>
      </c>
      <c r="G23" s="5">
        <v>10</v>
      </c>
      <c r="H23" s="5">
        <f t="shared" si="7"/>
        <v>4483.0599999999995</v>
      </c>
      <c r="I23" s="5">
        <v>994.6</v>
      </c>
      <c r="J23" s="5">
        <v>3483.46</v>
      </c>
      <c r="K23" s="5">
        <v>0</v>
      </c>
      <c r="L23" s="5">
        <v>129.22999999999999</v>
      </c>
      <c r="M23" s="5">
        <v>0</v>
      </c>
      <c r="N23" s="5">
        <v>10</v>
      </c>
      <c r="O23" s="5">
        <v>25</v>
      </c>
      <c r="P23" s="5">
        <v>962.21</v>
      </c>
      <c r="Q23" s="5">
        <v>400</v>
      </c>
      <c r="R23" s="1">
        <f t="shared" si="2"/>
        <v>2.6100000000000136</v>
      </c>
      <c r="S23" s="3">
        <f t="shared" si="3"/>
        <v>0</v>
      </c>
      <c r="T23" s="6">
        <f t="shared" si="0"/>
        <v>5</v>
      </c>
      <c r="U23" s="6">
        <v>5</v>
      </c>
    </row>
    <row r="24" spans="1:21" ht="18.75">
      <c r="A24" s="9">
        <v>44155</v>
      </c>
      <c r="B24" s="10" t="s">
        <v>20</v>
      </c>
      <c r="C24" s="5">
        <v>3553.2</v>
      </c>
      <c r="D24" s="5">
        <v>2283.75</v>
      </c>
      <c r="E24" s="5">
        <v>46.5</v>
      </c>
      <c r="F24" s="5">
        <v>69</v>
      </c>
      <c r="G24" s="5">
        <v>50</v>
      </c>
      <c r="H24" s="5">
        <f t="shared" si="7"/>
        <v>6047.45</v>
      </c>
      <c r="I24" s="5">
        <v>1699.41</v>
      </c>
      <c r="J24" s="5">
        <v>4308.04</v>
      </c>
      <c r="K24" s="5">
        <v>0</v>
      </c>
      <c r="L24" s="5">
        <v>94.44</v>
      </c>
      <c r="M24" s="5">
        <v>100.29</v>
      </c>
      <c r="N24" s="5">
        <v>45</v>
      </c>
      <c r="O24" s="5">
        <v>20</v>
      </c>
      <c r="P24" s="5">
        <v>1522.43</v>
      </c>
      <c r="Q24" s="5">
        <v>400</v>
      </c>
      <c r="R24" s="1">
        <f t="shared" si="2"/>
        <v>-11.690000000000055</v>
      </c>
      <c r="S24" s="3">
        <f t="shared" si="3"/>
        <v>0</v>
      </c>
      <c r="T24" s="6">
        <f t="shared" si="0"/>
        <v>10</v>
      </c>
      <c r="U24" s="6">
        <v>40</v>
      </c>
    </row>
    <row r="25" spans="1:21" ht="18.75">
      <c r="A25" s="9">
        <v>44156</v>
      </c>
      <c r="B25" s="10" t="s">
        <v>21</v>
      </c>
      <c r="C25" s="5">
        <v>2477.13</v>
      </c>
      <c r="D25" s="5">
        <v>1888.31</v>
      </c>
      <c r="E25" s="5">
        <v>16</v>
      </c>
      <c r="F25" s="5">
        <v>50</v>
      </c>
      <c r="G25" s="5">
        <v>5</v>
      </c>
      <c r="H25" s="5">
        <f t="shared" si="7"/>
        <v>4486.4400000000005</v>
      </c>
      <c r="I25" s="5">
        <v>1756.88</v>
      </c>
      <c r="J25" s="5">
        <v>2620.7600000000002</v>
      </c>
      <c r="K25" s="5">
        <v>23.78</v>
      </c>
      <c r="L25" s="5">
        <v>90</v>
      </c>
      <c r="M25" s="5">
        <v>449.9</v>
      </c>
      <c r="N25" s="5">
        <v>50</v>
      </c>
      <c r="O25" s="5">
        <v>22</v>
      </c>
      <c r="P25" s="5">
        <v>1243.22</v>
      </c>
      <c r="Q25" s="5">
        <v>400</v>
      </c>
      <c r="R25" s="1">
        <f t="shared" si="2"/>
        <v>8.2399999999997817</v>
      </c>
      <c r="S25" s="3">
        <f t="shared" si="3"/>
        <v>80.020000000000437</v>
      </c>
      <c r="T25" s="6">
        <f t="shared" si="0"/>
        <v>0</v>
      </c>
      <c r="U25" s="6">
        <v>5</v>
      </c>
    </row>
    <row r="26" spans="1:21" ht="18.75">
      <c r="A26" s="9">
        <v>44157</v>
      </c>
      <c r="B26" s="10" t="s">
        <v>22</v>
      </c>
      <c r="C26" s="5">
        <v>2122.9899999999998</v>
      </c>
      <c r="D26" s="5">
        <v>1761.07</v>
      </c>
      <c r="E26" s="5">
        <v>0</v>
      </c>
      <c r="F26" s="5">
        <v>36</v>
      </c>
      <c r="G26" s="5">
        <v>25</v>
      </c>
      <c r="H26" s="5">
        <f t="shared" si="7"/>
        <v>3945.0599999999995</v>
      </c>
      <c r="I26" s="5">
        <v>1523.59</v>
      </c>
      <c r="J26" s="5">
        <v>2396.4699999999998</v>
      </c>
      <c r="K26" s="5">
        <v>0</v>
      </c>
      <c r="L26" s="5">
        <v>0</v>
      </c>
      <c r="M26" s="5">
        <v>0</v>
      </c>
      <c r="N26" s="5">
        <v>0</v>
      </c>
      <c r="O26" s="5">
        <v>38</v>
      </c>
      <c r="P26" s="5">
        <v>1510.32</v>
      </c>
      <c r="Q26" s="5">
        <v>400</v>
      </c>
      <c r="R26" s="1">
        <f t="shared" si="2"/>
        <v>24.730000000000018</v>
      </c>
      <c r="S26" s="3">
        <f t="shared" si="3"/>
        <v>0</v>
      </c>
      <c r="T26" s="6">
        <f t="shared" si="0"/>
        <v>0</v>
      </c>
      <c r="U26" s="6">
        <v>25</v>
      </c>
    </row>
    <row r="27" spans="1:21" ht="37.5">
      <c r="A27" s="14" t="s">
        <v>27</v>
      </c>
      <c r="B27" s="16"/>
      <c r="C27" s="15">
        <f>SUM(C20:C26)</f>
        <v>19435.47</v>
      </c>
      <c r="D27" s="15">
        <f t="shared" ref="D27:Q27" si="8">SUM(D20:D26)</f>
        <v>12049.41</v>
      </c>
      <c r="E27" s="15">
        <f t="shared" si="8"/>
        <v>111</v>
      </c>
      <c r="F27" s="15">
        <f t="shared" si="8"/>
        <v>307</v>
      </c>
      <c r="G27" s="15">
        <f t="shared" si="8"/>
        <v>343</v>
      </c>
      <c r="H27" s="15">
        <f>SUM(H20:H26)</f>
        <v>32470.879999999997</v>
      </c>
      <c r="I27" s="15">
        <f t="shared" si="8"/>
        <v>9370.0499999999993</v>
      </c>
      <c r="J27" s="15">
        <f t="shared" si="8"/>
        <v>22707.03</v>
      </c>
      <c r="K27" s="15">
        <f t="shared" si="8"/>
        <v>23.78</v>
      </c>
      <c r="L27" s="15">
        <f t="shared" si="8"/>
        <v>494.34</v>
      </c>
      <c r="M27" s="15">
        <f t="shared" si="8"/>
        <v>632.54999999999995</v>
      </c>
      <c r="N27" s="15">
        <f t="shared" si="8"/>
        <v>225</v>
      </c>
      <c r="O27" s="15">
        <f t="shared" si="8"/>
        <v>172</v>
      </c>
      <c r="P27" s="15">
        <f t="shared" si="8"/>
        <v>8361.7200000000012</v>
      </c>
      <c r="Q27" s="15">
        <f t="shared" si="8"/>
        <v>2800</v>
      </c>
      <c r="R27" s="21">
        <f t="shared" si="2"/>
        <v>21.220000000001164</v>
      </c>
      <c r="S27" s="20">
        <f>SUM(S20:S26)</f>
        <v>80.020000000000437</v>
      </c>
      <c r="T27" s="20">
        <f>SUM(T20:T26)</f>
        <v>53</v>
      </c>
      <c r="U27" s="21">
        <f>SUM(U20:U26)</f>
        <v>290</v>
      </c>
    </row>
    <row r="28" spans="1:21" ht="18.75">
      <c r="A28" s="9">
        <v>44158</v>
      </c>
      <c r="B28" s="10" t="s">
        <v>23</v>
      </c>
      <c r="C28" s="5">
        <v>4013.47</v>
      </c>
      <c r="D28" s="5">
        <v>1529.58</v>
      </c>
      <c r="E28" s="5">
        <v>13.5</v>
      </c>
      <c r="F28" s="5">
        <v>16</v>
      </c>
      <c r="G28" s="5">
        <v>30</v>
      </c>
      <c r="H28" s="5">
        <f>SUM(C28:G28,N28)</f>
        <v>5622.5499999999993</v>
      </c>
      <c r="I28" s="5">
        <f>1249.37+1.5</f>
        <v>1250.8699999999999</v>
      </c>
      <c r="J28" s="5">
        <v>4341.68</v>
      </c>
      <c r="K28" s="5">
        <v>0</v>
      </c>
      <c r="L28" s="5">
        <v>155.62</v>
      </c>
      <c r="M28" s="5">
        <v>98.39</v>
      </c>
      <c r="N28" s="6">
        <v>20</v>
      </c>
      <c r="O28" s="6">
        <v>10</v>
      </c>
      <c r="P28" s="5">
        <v>1123.23</v>
      </c>
      <c r="Q28" s="5">
        <v>400</v>
      </c>
      <c r="R28" s="1">
        <f t="shared" si="2"/>
        <v>0.75</v>
      </c>
      <c r="S28" s="3">
        <f t="shared" si="3"/>
        <v>0</v>
      </c>
      <c r="T28" s="6">
        <f t="shared" si="0"/>
        <v>0</v>
      </c>
      <c r="U28" s="6">
        <v>30</v>
      </c>
    </row>
    <row r="29" spans="1:21" ht="18.75">
      <c r="A29" s="9">
        <v>44159</v>
      </c>
      <c r="B29" s="10" t="s">
        <v>24</v>
      </c>
      <c r="C29" s="5">
        <v>2989.35</v>
      </c>
      <c r="D29" s="5">
        <v>1450.4</v>
      </c>
      <c r="E29" s="5">
        <v>27</v>
      </c>
      <c r="F29" s="5">
        <v>26</v>
      </c>
      <c r="G29" s="5">
        <v>167.5</v>
      </c>
      <c r="H29" s="5">
        <f t="shared" ref="H29:H36" si="9">SUM(C29:G29,N29)</f>
        <v>4710.25</v>
      </c>
      <c r="I29" s="5">
        <v>1441.25</v>
      </c>
      <c r="J29" s="5">
        <v>3102</v>
      </c>
      <c r="K29" s="5">
        <v>0</v>
      </c>
      <c r="L29" s="5">
        <v>81.94</v>
      </c>
      <c r="M29" s="5">
        <v>0</v>
      </c>
      <c r="N29" s="6">
        <v>50</v>
      </c>
      <c r="O29" s="6">
        <v>28</v>
      </c>
      <c r="P29" s="5">
        <v>1354.5</v>
      </c>
      <c r="Q29" s="5">
        <v>400</v>
      </c>
      <c r="R29" s="1">
        <f t="shared" si="2"/>
        <v>-8.75</v>
      </c>
      <c r="S29" s="3">
        <f t="shared" si="3"/>
        <v>-0.5</v>
      </c>
      <c r="T29" s="6">
        <f t="shared" si="0"/>
        <v>0</v>
      </c>
      <c r="U29" s="6">
        <v>167.5</v>
      </c>
    </row>
    <row r="30" spans="1:21" ht="18.75">
      <c r="A30" s="9">
        <v>44160</v>
      </c>
      <c r="B30" s="10" t="s">
        <v>25</v>
      </c>
      <c r="C30" s="5">
        <v>2758.08</v>
      </c>
      <c r="D30" s="5">
        <v>1591.49</v>
      </c>
      <c r="E30" s="5">
        <v>44</v>
      </c>
      <c r="F30" s="5">
        <v>30</v>
      </c>
      <c r="G30" s="5">
        <v>22</v>
      </c>
      <c r="H30" s="5">
        <f t="shared" si="9"/>
        <v>4455.57</v>
      </c>
      <c r="I30" s="5">
        <v>1132.8699999999999</v>
      </c>
      <c r="J30" s="5">
        <v>3322.7</v>
      </c>
      <c r="K30" s="5">
        <v>0</v>
      </c>
      <c r="L30" s="5">
        <v>0</v>
      </c>
      <c r="M30" s="5">
        <v>0</v>
      </c>
      <c r="N30" s="6">
        <v>10</v>
      </c>
      <c r="O30" s="6">
        <v>11</v>
      </c>
      <c r="P30" s="5">
        <v>1060.96</v>
      </c>
      <c r="Q30" s="5">
        <v>400</v>
      </c>
      <c r="R30" s="1">
        <f t="shared" si="2"/>
        <v>-50.909999999999854</v>
      </c>
      <c r="S30" s="3">
        <f t="shared" si="3"/>
        <v>0</v>
      </c>
      <c r="T30" s="6">
        <f t="shared" si="0"/>
        <v>22</v>
      </c>
      <c r="U30" s="6">
        <v>0</v>
      </c>
    </row>
    <row r="31" spans="1:21" ht="18.75">
      <c r="A31" s="9">
        <v>44161</v>
      </c>
      <c r="B31" s="10" t="s">
        <v>26</v>
      </c>
      <c r="C31" s="5">
        <v>2992.26</v>
      </c>
      <c r="D31" s="5">
        <v>1395.85</v>
      </c>
      <c r="E31" s="5">
        <v>4.5</v>
      </c>
      <c r="F31" s="5">
        <v>27</v>
      </c>
      <c r="G31" s="5">
        <v>80</v>
      </c>
      <c r="H31" s="5">
        <f t="shared" si="9"/>
        <v>4509.6100000000006</v>
      </c>
      <c r="I31" s="5">
        <v>1306.8499999999999</v>
      </c>
      <c r="J31" s="5">
        <v>3202.76</v>
      </c>
      <c r="K31" s="5">
        <v>0</v>
      </c>
      <c r="L31" s="5">
        <v>81.02</v>
      </c>
      <c r="M31" s="5">
        <v>45</v>
      </c>
      <c r="N31" s="6">
        <v>10</v>
      </c>
      <c r="O31" s="6">
        <v>12</v>
      </c>
      <c r="P31" s="5">
        <v>1241.3499999999999</v>
      </c>
      <c r="Q31" s="5">
        <v>400</v>
      </c>
      <c r="R31" s="1">
        <f t="shared" si="2"/>
        <v>1.5</v>
      </c>
      <c r="S31" s="3">
        <f t="shared" si="3"/>
        <v>0</v>
      </c>
      <c r="T31" s="6">
        <f t="shared" si="0"/>
        <v>80</v>
      </c>
      <c r="U31" s="6">
        <v>0</v>
      </c>
    </row>
    <row r="32" spans="1:21" ht="18.75">
      <c r="A32" s="9">
        <v>44162</v>
      </c>
      <c r="B32" s="10" t="s">
        <v>20</v>
      </c>
      <c r="C32" s="5">
        <v>3405.8</v>
      </c>
      <c r="D32" s="5">
        <v>2724.14</v>
      </c>
      <c r="E32" s="5">
        <v>35</v>
      </c>
      <c r="F32" s="5">
        <v>71</v>
      </c>
      <c r="G32" s="5">
        <v>50</v>
      </c>
      <c r="H32" s="5">
        <f t="shared" si="9"/>
        <v>6285.9400000000005</v>
      </c>
      <c r="I32" s="5">
        <v>1759.23</v>
      </c>
      <c r="J32" s="5">
        <v>4496.71</v>
      </c>
      <c r="K32" s="5">
        <v>0</v>
      </c>
      <c r="L32" s="5">
        <v>0</v>
      </c>
      <c r="M32" s="5">
        <v>0</v>
      </c>
      <c r="N32" s="6">
        <v>0</v>
      </c>
      <c r="O32" s="6">
        <v>13</v>
      </c>
      <c r="P32" s="5">
        <v>1740.87</v>
      </c>
      <c r="Q32" s="5">
        <v>400</v>
      </c>
      <c r="R32" s="1">
        <f t="shared" si="2"/>
        <v>-5.3600000000001273</v>
      </c>
      <c r="S32" s="3">
        <f t="shared" si="3"/>
        <v>0</v>
      </c>
      <c r="T32" s="6">
        <f t="shared" si="0"/>
        <v>20</v>
      </c>
      <c r="U32" s="6">
        <v>30</v>
      </c>
    </row>
    <row r="33" spans="1:21" ht="18.75">
      <c r="A33" s="9">
        <v>44163</v>
      </c>
      <c r="B33" s="10" t="s">
        <v>21</v>
      </c>
      <c r="C33" s="5">
        <v>2809.75</v>
      </c>
      <c r="D33" s="5">
        <v>1970.11</v>
      </c>
      <c r="E33" s="5">
        <v>20</v>
      </c>
      <c r="F33" s="5">
        <v>34</v>
      </c>
      <c r="G33" s="5">
        <v>165</v>
      </c>
      <c r="H33" s="5">
        <f t="shared" si="9"/>
        <v>4998.8599999999997</v>
      </c>
      <c r="I33" s="5">
        <v>1504.57</v>
      </c>
      <c r="J33" s="5">
        <v>3329.29</v>
      </c>
      <c r="K33" s="5">
        <v>0</v>
      </c>
      <c r="L33" s="5">
        <v>0</v>
      </c>
      <c r="M33" s="5">
        <v>68.86</v>
      </c>
      <c r="N33" s="6">
        <v>0</v>
      </c>
      <c r="O33" s="6">
        <v>3</v>
      </c>
      <c r="P33" s="5">
        <v>1433.8</v>
      </c>
      <c r="Q33" s="5">
        <v>400</v>
      </c>
      <c r="R33" s="1">
        <f t="shared" si="2"/>
        <v>1.0899999999999181</v>
      </c>
      <c r="S33" s="3">
        <f t="shared" si="3"/>
        <v>0</v>
      </c>
      <c r="T33" s="6">
        <f t="shared" si="0"/>
        <v>0</v>
      </c>
      <c r="U33" s="6">
        <v>165</v>
      </c>
    </row>
    <row r="34" spans="1:21" ht="18.75">
      <c r="A34" s="9">
        <v>44164</v>
      </c>
      <c r="B34" s="10" t="s">
        <v>22</v>
      </c>
      <c r="C34" s="5">
        <v>2624.66</v>
      </c>
      <c r="D34" s="5">
        <v>1504.05</v>
      </c>
      <c r="E34" s="5">
        <v>4</v>
      </c>
      <c r="F34" s="5">
        <v>44</v>
      </c>
      <c r="G34" s="5">
        <v>25</v>
      </c>
      <c r="H34" s="5">
        <f t="shared" si="9"/>
        <v>4222.71</v>
      </c>
      <c r="I34" s="5">
        <v>1578.92</v>
      </c>
      <c r="J34" s="5">
        <v>2628.79</v>
      </c>
      <c r="K34" s="5">
        <v>0</v>
      </c>
      <c r="L34" s="5">
        <v>0</v>
      </c>
      <c r="M34" s="5">
        <v>0</v>
      </c>
      <c r="N34" s="6">
        <v>21</v>
      </c>
      <c r="O34" s="6">
        <v>22</v>
      </c>
      <c r="P34" s="5">
        <v>1530.2</v>
      </c>
      <c r="Q34" s="5">
        <v>400</v>
      </c>
      <c r="R34" s="1">
        <f t="shared" si="2"/>
        <v>-5.7200000000000273</v>
      </c>
      <c r="S34" s="3">
        <f t="shared" si="3"/>
        <v>0</v>
      </c>
      <c r="T34" s="6">
        <f t="shared" si="0"/>
        <v>10</v>
      </c>
      <c r="U34" s="6">
        <v>15</v>
      </c>
    </row>
    <row r="35" spans="1:21" ht="37.5">
      <c r="A35" s="14" t="s">
        <v>27</v>
      </c>
      <c r="B35" s="16"/>
      <c r="C35" s="15">
        <f>SUM(C28:C34)</f>
        <v>21593.37</v>
      </c>
      <c r="D35" s="15">
        <f t="shared" ref="D35:Q35" si="10">SUM(D28:D34)</f>
        <v>12165.619999999999</v>
      </c>
      <c r="E35" s="15">
        <f t="shared" si="10"/>
        <v>148</v>
      </c>
      <c r="F35" s="15">
        <f t="shared" si="10"/>
        <v>248</v>
      </c>
      <c r="G35" s="15">
        <f t="shared" si="10"/>
        <v>539.5</v>
      </c>
      <c r="H35" s="15">
        <f t="shared" si="10"/>
        <v>34805.49</v>
      </c>
      <c r="I35" s="15">
        <f t="shared" si="10"/>
        <v>9974.56</v>
      </c>
      <c r="J35" s="15">
        <f t="shared" si="10"/>
        <v>24423.930000000004</v>
      </c>
      <c r="K35" s="15">
        <f t="shared" si="10"/>
        <v>0</v>
      </c>
      <c r="L35" s="15">
        <f t="shared" si="10"/>
        <v>318.58</v>
      </c>
      <c r="M35" s="15">
        <f t="shared" si="10"/>
        <v>212.25</v>
      </c>
      <c r="N35" s="15">
        <f t="shared" si="10"/>
        <v>111</v>
      </c>
      <c r="O35" s="15">
        <f t="shared" si="10"/>
        <v>99</v>
      </c>
      <c r="P35" s="15">
        <f t="shared" si="10"/>
        <v>9484.91</v>
      </c>
      <c r="Q35" s="15">
        <f t="shared" si="10"/>
        <v>2800</v>
      </c>
      <c r="R35" s="21">
        <f>SUM(R28:R34)</f>
        <v>-67.400000000000091</v>
      </c>
      <c r="S35" s="20">
        <f>SUM(S28:S34)</f>
        <v>-0.5</v>
      </c>
      <c r="T35" s="20">
        <f>SUM(T28:T34)</f>
        <v>132</v>
      </c>
      <c r="U35" s="21">
        <f>SUM(U28:U34)</f>
        <v>407.5</v>
      </c>
    </row>
    <row r="36" spans="1:21" ht="18.75">
      <c r="A36" s="9">
        <v>44165</v>
      </c>
      <c r="B36" s="10" t="s">
        <v>23</v>
      </c>
      <c r="C36" s="5">
        <v>3289.36</v>
      </c>
      <c r="D36" s="5">
        <v>1649.16</v>
      </c>
      <c r="E36" s="5">
        <v>17</v>
      </c>
      <c r="F36" s="5">
        <v>25</v>
      </c>
      <c r="G36" s="5">
        <v>30</v>
      </c>
      <c r="H36" s="5">
        <f t="shared" si="9"/>
        <v>5050.5200000000004</v>
      </c>
      <c r="I36" s="5">
        <v>1316.34</v>
      </c>
      <c r="J36" s="5">
        <v>3709.2</v>
      </c>
      <c r="K36" s="5">
        <v>0</v>
      </c>
      <c r="L36" s="5">
        <v>189.12</v>
      </c>
      <c r="M36" s="5">
        <v>240.43</v>
      </c>
      <c r="N36" s="6">
        <v>40</v>
      </c>
      <c r="O36" s="6">
        <v>36</v>
      </c>
      <c r="P36" s="5">
        <v>1012.98</v>
      </c>
      <c r="Q36" s="5">
        <v>400</v>
      </c>
      <c r="R36" s="1">
        <f t="shared" ref="R36" si="11">SUM(M36,N36,O36,P36)-I36</f>
        <v>13.070000000000164</v>
      </c>
      <c r="S36" s="3">
        <f t="shared" ref="S36" si="12">(H36)-(I36+J36+K36+U36)</f>
        <v>-1.9999999999527063E-2</v>
      </c>
      <c r="T36" s="6">
        <f t="shared" ref="T36" si="13">SUM(G36-U36)</f>
        <v>5</v>
      </c>
      <c r="U36" s="6">
        <v>25</v>
      </c>
    </row>
    <row r="37" spans="1:21" ht="37.5">
      <c r="A37" s="14" t="s">
        <v>27</v>
      </c>
      <c r="B37" s="16"/>
      <c r="C37" s="15">
        <f>SUM(C36)</f>
        <v>3289.36</v>
      </c>
      <c r="D37" s="15">
        <f t="shared" ref="D37:U37" si="14">SUM(D36)</f>
        <v>1649.16</v>
      </c>
      <c r="E37" s="15">
        <f t="shared" si="14"/>
        <v>17</v>
      </c>
      <c r="F37" s="15">
        <f t="shared" si="14"/>
        <v>25</v>
      </c>
      <c r="G37" s="15">
        <f t="shared" si="14"/>
        <v>30</v>
      </c>
      <c r="H37" s="15">
        <f t="shared" si="14"/>
        <v>5050.5200000000004</v>
      </c>
      <c r="I37" s="15">
        <f t="shared" si="14"/>
        <v>1316.34</v>
      </c>
      <c r="J37" s="15">
        <f t="shared" si="14"/>
        <v>3709.2</v>
      </c>
      <c r="K37" s="15">
        <f t="shared" si="14"/>
        <v>0</v>
      </c>
      <c r="L37" s="15">
        <f t="shared" si="14"/>
        <v>189.12</v>
      </c>
      <c r="M37" s="15">
        <f t="shared" si="14"/>
        <v>240.43</v>
      </c>
      <c r="N37" s="15">
        <f t="shared" si="14"/>
        <v>40</v>
      </c>
      <c r="O37" s="15">
        <f t="shared" si="14"/>
        <v>36</v>
      </c>
      <c r="P37" s="15">
        <f t="shared" si="14"/>
        <v>1012.98</v>
      </c>
      <c r="Q37" s="15">
        <f>SUM(Q36)</f>
        <v>400</v>
      </c>
      <c r="R37" s="15">
        <f t="shared" si="14"/>
        <v>13.070000000000164</v>
      </c>
      <c r="S37" s="20">
        <f>SUM(S36)</f>
        <v>-1.9999999999527063E-2</v>
      </c>
      <c r="T37" s="15">
        <f t="shared" si="14"/>
        <v>5</v>
      </c>
      <c r="U37" s="21">
        <f t="shared" si="14"/>
        <v>25</v>
      </c>
    </row>
    <row r="38" spans="1:21" ht="38.25" customHeight="1">
      <c r="A38" s="24" t="s">
        <v>17</v>
      </c>
      <c r="B38" s="25"/>
      <c r="C38" s="24">
        <f>SUM(C3,C11,C19,C27,C35,C37)</f>
        <v>89889.540000000008</v>
      </c>
      <c r="D38" s="24">
        <f t="shared" ref="D38:U38" si="15">SUM(D3,D11,D19,D27,D35,D37)</f>
        <v>51839.600000000006</v>
      </c>
      <c r="E38" s="24">
        <f t="shared" si="15"/>
        <v>571.5</v>
      </c>
      <c r="F38" s="24">
        <f t="shared" si="15"/>
        <v>1011</v>
      </c>
      <c r="G38" s="24">
        <f t="shared" si="15"/>
        <v>1524.5</v>
      </c>
      <c r="H38" s="24">
        <f t="shared" si="15"/>
        <v>145887.13999999998</v>
      </c>
      <c r="I38" s="24">
        <f t="shared" si="15"/>
        <v>42951.35</v>
      </c>
      <c r="J38" s="24">
        <f t="shared" si="15"/>
        <v>101840.92</v>
      </c>
      <c r="K38" s="24">
        <f t="shared" si="15"/>
        <v>117.87</v>
      </c>
      <c r="L38" s="24">
        <f t="shared" si="15"/>
        <v>2285.71</v>
      </c>
      <c r="M38" s="24">
        <f t="shared" si="15"/>
        <v>1865.68</v>
      </c>
      <c r="N38" s="24">
        <f t="shared" si="15"/>
        <v>1051</v>
      </c>
      <c r="O38" s="24">
        <f t="shared" si="15"/>
        <v>611</v>
      </c>
      <c r="P38" s="24">
        <f t="shared" si="15"/>
        <v>39282.129999999997</v>
      </c>
      <c r="Q38" s="24">
        <f t="shared" si="15"/>
        <v>11905</v>
      </c>
      <c r="R38" s="24">
        <f t="shared" si="15"/>
        <v>-136.5399999999986</v>
      </c>
      <c r="S38" s="24">
        <f t="shared" si="15"/>
        <v>79.500000000000909</v>
      </c>
      <c r="T38" s="24">
        <f t="shared" si="15"/>
        <v>627</v>
      </c>
      <c r="U38" s="24">
        <f t="shared" si="15"/>
        <v>897.5</v>
      </c>
    </row>
    <row r="42" spans="1:21">
      <c r="D42">
        <f>C35-C27</f>
        <v>2157.8999999999978</v>
      </c>
      <c r="E42">
        <f>D35-D27</f>
        <v>116.20999999999913</v>
      </c>
    </row>
  </sheetData>
  <sheetProtection password="CCFB" sheet="1" objects="1" scenarios="1"/>
  <conditionalFormatting sqref="R35:U35 S11:U11 R2:S2 R4:S18 R20:S26 R19:U19 R27:U27 R28:S36">
    <cfRule type="cellIs" dxfId="368" priority="3" operator="lessThan">
      <formula>0</formula>
    </cfRule>
    <cfRule type="cellIs" dxfId="367" priority="4" operator="greaterThan">
      <formula>0</formula>
    </cfRule>
  </conditionalFormatting>
  <conditionalFormatting sqref="S37">
    <cfRule type="cellIs" dxfId="366" priority="1" operator="lessThan">
      <formula>0</formula>
    </cfRule>
    <cfRule type="cellIs" dxfId="365" priority="2" operator="greaterThan">
      <formula>0</formula>
    </cfRule>
  </conditionalFormatting>
  <pageMargins left="0.7" right="0.7" top="0.75" bottom="0.75" header="0.3" footer="0.3"/>
  <pageSetup paperSize="256" orientation="portrait" horizontalDpi="300" verticalDpi="300" r:id="rId1"/>
  <ignoredErrors>
    <ignoredError sqref="H11 H3 R11 T11 S3:T3 R27:T27 R19:T19 H19 H27 H35 R35:T35" formula="1"/>
    <ignoredError sqref="Q27" formulaRange="1"/>
  </ignoredErrors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W38"/>
  <sheetViews>
    <sheetView zoomScale="70" zoomScaleNormal="70" workbookViewId="0">
      <pane ySplit="1" topLeftCell="A32" activePane="bottomLeft" state="frozen"/>
      <selection pane="bottomLeft" activeCell="D21" sqref="D21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5.4257812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0" width="14.7109375" customWidth="1"/>
    <col min="11" max="11" width="14" customWidth="1"/>
    <col min="12" max="12" width="16.42578125" customWidth="1"/>
    <col min="13" max="13" width="20.85546875" customWidth="1"/>
    <col min="14" max="15" width="16.7109375" customWidth="1"/>
    <col min="16" max="16" width="14.28515625" customWidth="1"/>
    <col min="17" max="17" width="13" customWidth="1"/>
    <col min="18" max="18" width="14.85546875" customWidth="1"/>
    <col min="19" max="19" width="14" customWidth="1"/>
    <col min="20" max="20" width="14.42578125" customWidth="1"/>
    <col min="21" max="22" width="15.85546875" customWidth="1"/>
    <col min="23" max="23" width="19.140625" customWidth="1"/>
    <col min="25" max="25" width="12.85546875" customWidth="1"/>
  </cols>
  <sheetData>
    <row r="1" spans="1:22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6</v>
      </c>
      <c r="K1" s="8" t="s">
        <v>7</v>
      </c>
      <c r="L1" s="8" t="s">
        <v>8</v>
      </c>
      <c r="M1" s="8" t="s">
        <v>28</v>
      </c>
      <c r="N1" s="8" t="s">
        <v>9</v>
      </c>
      <c r="O1" s="8" t="s">
        <v>10</v>
      </c>
      <c r="P1" s="8" t="s">
        <v>11</v>
      </c>
      <c r="Q1" s="8" t="s">
        <v>12</v>
      </c>
      <c r="R1" s="8" t="s">
        <v>13</v>
      </c>
      <c r="S1" s="8" t="s">
        <v>14</v>
      </c>
      <c r="T1" s="8" t="s">
        <v>34</v>
      </c>
      <c r="U1" s="23" t="s">
        <v>39</v>
      </c>
      <c r="V1" s="23" t="s">
        <v>40</v>
      </c>
    </row>
    <row r="2" spans="1:22" ht="18.75">
      <c r="A2" s="9">
        <v>44166</v>
      </c>
      <c r="B2" s="10" t="s">
        <v>24</v>
      </c>
      <c r="C2" s="11">
        <v>3274.28</v>
      </c>
      <c r="D2" s="11">
        <v>1664.47</v>
      </c>
      <c r="E2" s="11">
        <v>27.5</v>
      </c>
      <c r="F2" s="11">
        <v>27</v>
      </c>
      <c r="G2" s="34">
        <v>55</v>
      </c>
      <c r="H2" s="11">
        <f>SUM(C2:G2,O2)</f>
        <v>5098.25</v>
      </c>
      <c r="I2" s="11">
        <v>1383.51</v>
      </c>
      <c r="J2" s="11">
        <v>3704.74</v>
      </c>
      <c r="K2" s="11">
        <v>0</v>
      </c>
      <c r="L2" s="11">
        <v>0</v>
      </c>
      <c r="M2" s="11">
        <v>0</v>
      </c>
      <c r="N2" s="11">
        <v>0</v>
      </c>
      <c r="O2" s="11">
        <v>50</v>
      </c>
      <c r="P2" s="11">
        <v>10</v>
      </c>
      <c r="Q2" s="11">
        <v>1304.5</v>
      </c>
      <c r="R2" s="11">
        <v>400</v>
      </c>
      <c r="S2" s="31">
        <f t="shared" ref="S2:S7" si="0">SUM(N2,O2,P2,Q2)-I2</f>
        <v>-19.009999999999991</v>
      </c>
      <c r="T2" s="32">
        <f t="shared" ref="T2:T7" si="1">(H2)-(I2+J2+K2+V2)</f>
        <v>0</v>
      </c>
      <c r="U2" s="33">
        <f t="shared" ref="U2:U7" si="2">SUM(G2-V2)</f>
        <v>45</v>
      </c>
      <c r="V2" s="11">
        <v>10</v>
      </c>
    </row>
    <row r="3" spans="1:22" ht="18.75">
      <c r="A3" s="9">
        <v>44167</v>
      </c>
      <c r="B3" s="10" t="s">
        <v>25</v>
      </c>
      <c r="C3" s="11">
        <v>3064.36</v>
      </c>
      <c r="D3" s="11">
        <v>1862.08</v>
      </c>
      <c r="E3" s="11">
        <v>2</v>
      </c>
      <c r="F3" s="11">
        <v>58</v>
      </c>
      <c r="G3" s="34">
        <v>140</v>
      </c>
      <c r="H3" s="11">
        <f>SUM(C3:G3,O3)</f>
        <v>5206.4400000000005</v>
      </c>
      <c r="I3" s="11">
        <v>1455.74</v>
      </c>
      <c r="J3" s="11">
        <v>3700.7</v>
      </c>
      <c r="K3" s="11">
        <v>0</v>
      </c>
      <c r="L3" s="11">
        <v>0</v>
      </c>
      <c r="M3" s="11">
        <v>0</v>
      </c>
      <c r="N3" s="11">
        <v>0</v>
      </c>
      <c r="O3" s="11">
        <v>80</v>
      </c>
      <c r="P3" s="11">
        <v>15</v>
      </c>
      <c r="Q3" s="11">
        <v>1382.27</v>
      </c>
      <c r="R3" s="11">
        <v>400</v>
      </c>
      <c r="S3" s="31">
        <f t="shared" si="0"/>
        <v>21.529999999999973</v>
      </c>
      <c r="T3" s="32">
        <f t="shared" si="1"/>
        <v>0</v>
      </c>
      <c r="U3" s="33">
        <f t="shared" si="2"/>
        <v>90</v>
      </c>
      <c r="V3" s="11">
        <v>50</v>
      </c>
    </row>
    <row r="4" spans="1:22" ht="18.75">
      <c r="A4" s="9">
        <v>44168</v>
      </c>
      <c r="B4" s="10" t="s">
        <v>26</v>
      </c>
      <c r="C4" s="11">
        <v>2910.51</v>
      </c>
      <c r="D4" s="11">
        <v>1762.69</v>
      </c>
      <c r="E4" s="11">
        <v>12</v>
      </c>
      <c r="F4" s="11">
        <v>45</v>
      </c>
      <c r="G4" s="34">
        <v>0</v>
      </c>
      <c r="H4" s="11">
        <f>SUM(C4:G4,O4)</f>
        <v>4755.2000000000007</v>
      </c>
      <c r="I4" s="11">
        <v>1304.52</v>
      </c>
      <c r="J4" s="11">
        <v>3450.68</v>
      </c>
      <c r="K4" s="11">
        <v>0</v>
      </c>
      <c r="L4" s="11">
        <v>0</v>
      </c>
      <c r="M4" s="11">
        <v>0</v>
      </c>
      <c r="N4" s="11">
        <v>35</v>
      </c>
      <c r="O4" s="11">
        <v>25</v>
      </c>
      <c r="P4" s="11">
        <v>25</v>
      </c>
      <c r="Q4" s="11">
        <v>1218.21</v>
      </c>
      <c r="R4" s="11">
        <v>400</v>
      </c>
      <c r="S4" s="31">
        <f t="shared" si="0"/>
        <v>-1.3099999999999454</v>
      </c>
      <c r="T4" s="32">
        <f t="shared" si="1"/>
        <v>0</v>
      </c>
      <c r="U4" s="33">
        <f t="shared" si="2"/>
        <v>0</v>
      </c>
      <c r="V4" s="11">
        <v>0</v>
      </c>
    </row>
    <row r="5" spans="1:22" ht="18.75">
      <c r="A5" s="9">
        <v>44169</v>
      </c>
      <c r="B5" s="10" t="s">
        <v>20</v>
      </c>
      <c r="C5" s="11">
        <f>142.74+2982.75</f>
        <v>3125.49</v>
      </c>
      <c r="D5" s="11">
        <v>2568.06</v>
      </c>
      <c r="E5" s="11">
        <v>76</v>
      </c>
      <c r="F5" s="11">
        <v>83</v>
      </c>
      <c r="G5" s="34">
        <v>10</v>
      </c>
      <c r="H5" s="11">
        <f t="shared" ref="H5:H15" si="3">SUM(C5:G5,O5)</f>
        <v>6022.5499999999993</v>
      </c>
      <c r="I5" s="11">
        <v>1650.87</v>
      </c>
      <c r="J5" s="11">
        <v>4361.68</v>
      </c>
      <c r="K5" s="11">
        <v>0</v>
      </c>
      <c r="L5" s="11">
        <v>0</v>
      </c>
      <c r="M5" s="11">
        <v>142.74</v>
      </c>
      <c r="N5" s="11">
        <v>57.05</v>
      </c>
      <c r="O5" s="11">
        <v>160</v>
      </c>
      <c r="P5" s="11">
        <f>39+4</f>
        <v>43</v>
      </c>
      <c r="Q5" s="11">
        <v>1300.9100000000001</v>
      </c>
      <c r="R5" s="11">
        <v>400</v>
      </c>
      <c r="S5" s="31">
        <f t="shared" si="0"/>
        <v>-89.909999999999854</v>
      </c>
      <c r="T5" s="32">
        <f t="shared" si="1"/>
        <v>0</v>
      </c>
      <c r="U5" s="33">
        <f t="shared" si="2"/>
        <v>0</v>
      </c>
      <c r="V5" s="11">
        <v>10</v>
      </c>
    </row>
    <row r="6" spans="1:22" ht="18.75">
      <c r="A6" s="9">
        <v>44170</v>
      </c>
      <c r="B6" s="10" t="s">
        <v>21</v>
      </c>
      <c r="C6" s="11">
        <v>2801.9</v>
      </c>
      <c r="D6" s="11">
        <f>2188.6</f>
        <v>2188.6</v>
      </c>
      <c r="E6" s="11">
        <v>27</v>
      </c>
      <c r="F6" s="11">
        <v>39</v>
      </c>
      <c r="G6" s="34">
        <v>100</v>
      </c>
      <c r="H6" s="11">
        <f t="shared" si="3"/>
        <v>5276.5</v>
      </c>
      <c r="I6" s="11">
        <f>1642.47</f>
        <v>1642.47</v>
      </c>
      <c r="J6" s="11">
        <v>3563.68</v>
      </c>
      <c r="K6" s="11">
        <v>71.349999999999994</v>
      </c>
      <c r="L6" s="11">
        <v>0</v>
      </c>
      <c r="M6" s="11">
        <v>0</v>
      </c>
      <c r="N6" s="11">
        <v>113.38</v>
      </c>
      <c r="O6" s="11">
        <v>120</v>
      </c>
      <c r="P6" s="11">
        <v>30</v>
      </c>
      <c r="Q6" s="11">
        <v>1381.71</v>
      </c>
      <c r="R6" s="11">
        <v>400</v>
      </c>
      <c r="S6" s="31">
        <f t="shared" si="0"/>
        <v>2.6200000000001182</v>
      </c>
      <c r="T6" s="32">
        <f t="shared" si="1"/>
        <v>-1</v>
      </c>
      <c r="U6" s="33">
        <f t="shared" si="2"/>
        <v>100</v>
      </c>
      <c r="V6" s="11">
        <v>0</v>
      </c>
    </row>
    <row r="7" spans="1:22" ht="18.75">
      <c r="A7" s="9">
        <v>44171</v>
      </c>
      <c r="B7" s="10" t="s">
        <v>22</v>
      </c>
      <c r="C7" s="11">
        <v>2421.4</v>
      </c>
      <c r="D7" s="11">
        <v>1627.23</v>
      </c>
      <c r="E7" s="11">
        <v>39.5</v>
      </c>
      <c r="F7" s="11">
        <v>50</v>
      </c>
      <c r="G7" s="34">
        <v>15</v>
      </c>
      <c r="H7" s="11">
        <f t="shared" si="3"/>
        <v>4248.13</v>
      </c>
      <c r="I7" s="11">
        <v>1486.26</v>
      </c>
      <c r="J7" s="11">
        <v>2751.87</v>
      </c>
      <c r="K7" s="11">
        <v>0</v>
      </c>
      <c r="L7" s="11">
        <v>0</v>
      </c>
      <c r="M7" s="11">
        <v>72</v>
      </c>
      <c r="N7" s="11">
        <v>0</v>
      </c>
      <c r="O7" s="11">
        <v>95</v>
      </c>
      <c r="P7" s="11">
        <v>65</v>
      </c>
      <c r="Q7" s="11">
        <v>1325.67</v>
      </c>
      <c r="R7" s="11">
        <v>400</v>
      </c>
      <c r="S7" s="31">
        <f t="shared" si="0"/>
        <v>-0.58999999999991815</v>
      </c>
      <c r="T7" s="32">
        <f t="shared" si="1"/>
        <v>0</v>
      </c>
      <c r="U7" s="33">
        <f t="shared" si="2"/>
        <v>5</v>
      </c>
      <c r="V7" s="11">
        <v>10</v>
      </c>
    </row>
    <row r="8" spans="1:22" ht="37.5">
      <c r="A8" s="14" t="s">
        <v>27</v>
      </c>
      <c r="B8" s="16"/>
      <c r="C8" s="27">
        <f t="shared" ref="C8:V8" si="4">SUM(C2:C7)</f>
        <v>17597.940000000002</v>
      </c>
      <c r="D8" s="27">
        <f t="shared" si="4"/>
        <v>11673.13</v>
      </c>
      <c r="E8" s="27">
        <f t="shared" si="4"/>
        <v>184</v>
      </c>
      <c r="F8" s="27">
        <f t="shared" si="4"/>
        <v>302</v>
      </c>
      <c r="G8" s="27">
        <f t="shared" si="4"/>
        <v>320</v>
      </c>
      <c r="H8" s="27">
        <f t="shared" si="4"/>
        <v>30607.070000000003</v>
      </c>
      <c r="I8" s="27">
        <f t="shared" si="4"/>
        <v>8923.3700000000008</v>
      </c>
      <c r="J8" s="27">
        <f t="shared" si="4"/>
        <v>21533.35</v>
      </c>
      <c r="K8" s="27">
        <f t="shared" si="4"/>
        <v>71.349999999999994</v>
      </c>
      <c r="L8" s="27">
        <v>0</v>
      </c>
      <c r="M8" s="27">
        <f t="shared" si="4"/>
        <v>214.74</v>
      </c>
      <c r="N8" s="27">
        <f t="shared" si="4"/>
        <v>205.43</v>
      </c>
      <c r="O8" s="27">
        <f t="shared" si="4"/>
        <v>530</v>
      </c>
      <c r="P8" s="27">
        <f t="shared" si="4"/>
        <v>188</v>
      </c>
      <c r="Q8" s="27">
        <f t="shared" si="4"/>
        <v>7913.27</v>
      </c>
      <c r="R8" s="27">
        <f t="shared" si="4"/>
        <v>2400</v>
      </c>
      <c r="S8" s="27">
        <f t="shared" si="4"/>
        <v>-86.669999999999618</v>
      </c>
      <c r="T8" s="27">
        <f t="shared" si="4"/>
        <v>-1</v>
      </c>
      <c r="U8" s="27">
        <f t="shared" si="4"/>
        <v>240</v>
      </c>
      <c r="V8" s="27">
        <f t="shared" si="4"/>
        <v>80</v>
      </c>
    </row>
    <row r="9" spans="1:22" ht="18.75">
      <c r="A9" s="9">
        <v>44172</v>
      </c>
      <c r="B9" s="10" t="s">
        <v>23</v>
      </c>
      <c r="C9" s="11">
        <v>4009.07</v>
      </c>
      <c r="D9" s="11">
        <v>2042.53</v>
      </c>
      <c r="E9" s="11">
        <v>13</v>
      </c>
      <c r="F9" s="11">
        <v>23</v>
      </c>
      <c r="G9" s="11">
        <v>10</v>
      </c>
      <c r="H9" s="11">
        <f t="shared" si="3"/>
        <v>6132.6</v>
      </c>
      <c r="I9" s="11">
        <v>1561.82</v>
      </c>
      <c r="J9" s="11">
        <v>4560.78</v>
      </c>
      <c r="K9" s="11">
        <v>0</v>
      </c>
      <c r="L9" s="11">
        <v>0</v>
      </c>
      <c r="M9" s="11">
        <v>74.5</v>
      </c>
      <c r="N9" s="11">
        <v>88.4</v>
      </c>
      <c r="O9" s="11">
        <v>35</v>
      </c>
      <c r="P9" s="11">
        <v>19</v>
      </c>
      <c r="Q9" s="11">
        <v>1420.29</v>
      </c>
      <c r="R9" s="11">
        <v>400</v>
      </c>
      <c r="S9" s="31">
        <f t="shared" ref="S9:S15" si="5">SUM(N9,O9,P9,Q9)-I9</f>
        <v>0.87000000000011823</v>
      </c>
      <c r="T9" s="32">
        <f t="shared" ref="T9:T15" si="6">(H9)-(I9+J9+K9+V9)</f>
        <v>0</v>
      </c>
      <c r="U9" s="33">
        <f t="shared" ref="U9:U15" si="7">SUM(G9-V9)</f>
        <v>0</v>
      </c>
      <c r="V9" s="11">
        <v>10</v>
      </c>
    </row>
    <row r="10" spans="1:22" ht="18.75">
      <c r="A10" s="9">
        <v>44173</v>
      </c>
      <c r="B10" s="10" t="s">
        <v>24</v>
      </c>
      <c r="C10" s="11">
        <v>3298.68</v>
      </c>
      <c r="D10" s="11">
        <v>1683.07</v>
      </c>
      <c r="E10" s="11">
        <v>28</v>
      </c>
      <c r="F10" s="11">
        <v>69</v>
      </c>
      <c r="G10" s="11">
        <v>0</v>
      </c>
      <c r="H10" s="11">
        <f t="shared" si="3"/>
        <v>5078.75</v>
      </c>
      <c r="I10" s="11">
        <v>1581.99</v>
      </c>
      <c r="J10" s="11">
        <v>3496.76</v>
      </c>
      <c r="K10" s="11">
        <v>0</v>
      </c>
      <c r="L10" s="11">
        <v>0</v>
      </c>
      <c r="M10" s="11">
        <v>0</v>
      </c>
      <c r="N10" s="11">
        <v>0</v>
      </c>
      <c r="O10" s="11">
        <v>0</v>
      </c>
      <c r="P10" s="11">
        <v>64.3</v>
      </c>
      <c r="Q10" s="11">
        <v>1524.62</v>
      </c>
      <c r="R10" s="11">
        <v>400</v>
      </c>
      <c r="S10" s="31">
        <f t="shared" si="5"/>
        <v>6.9299999999998363</v>
      </c>
      <c r="T10" s="32">
        <f t="shared" si="6"/>
        <v>0</v>
      </c>
      <c r="U10" s="33">
        <f t="shared" si="7"/>
        <v>0</v>
      </c>
      <c r="V10" s="11">
        <v>0</v>
      </c>
    </row>
    <row r="11" spans="1:22" ht="18.75">
      <c r="A11" s="9">
        <v>44174</v>
      </c>
      <c r="B11" s="10" t="s">
        <v>25</v>
      </c>
      <c r="C11" s="11">
        <v>3403.38</v>
      </c>
      <c r="D11" s="11">
        <v>1511.41</v>
      </c>
      <c r="E11" s="11">
        <v>4</v>
      </c>
      <c r="F11" s="11">
        <v>42</v>
      </c>
      <c r="G11" s="11">
        <v>10</v>
      </c>
      <c r="H11" s="11">
        <f t="shared" si="3"/>
        <v>5040.79</v>
      </c>
      <c r="I11" s="11">
        <v>1274.8599999999999</v>
      </c>
      <c r="J11" s="11">
        <v>3755.93</v>
      </c>
      <c r="K11" s="11">
        <v>0</v>
      </c>
      <c r="L11" s="11">
        <v>0</v>
      </c>
      <c r="M11" s="11">
        <v>250.25</v>
      </c>
      <c r="N11" s="11">
        <v>62.82</v>
      </c>
      <c r="O11" s="11">
        <v>70</v>
      </c>
      <c r="P11" s="11">
        <v>0</v>
      </c>
      <c r="Q11" s="11">
        <v>1143.8499999999999</v>
      </c>
      <c r="R11" s="11">
        <v>400</v>
      </c>
      <c r="S11" s="31">
        <f t="shared" si="5"/>
        <v>1.8099999999999454</v>
      </c>
      <c r="T11" s="32">
        <f t="shared" si="6"/>
        <v>0</v>
      </c>
      <c r="U11" s="33">
        <f t="shared" si="7"/>
        <v>0</v>
      </c>
      <c r="V11" s="11">
        <v>10</v>
      </c>
    </row>
    <row r="12" spans="1:22" ht="18.75">
      <c r="A12" s="9">
        <v>44175</v>
      </c>
      <c r="B12" s="10" t="s">
        <v>26</v>
      </c>
      <c r="C12" s="11">
        <v>2760.64</v>
      </c>
      <c r="D12" s="11">
        <v>1841.09</v>
      </c>
      <c r="E12" s="11">
        <v>25.5</v>
      </c>
      <c r="F12" s="11">
        <v>45</v>
      </c>
      <c r="G12" s="11">
        <v>35</v>
      </c>
      <c r="H12" s="11">
        <f t="shared" si="3"/>
        <v>4737.2299999999996</v>
      </c>
      <c r="I12" s="11">
        <v>1497.67</v>
      </c>
      <c r="J12" s="11">
        <v>3234.56</v>
      </c>
      <c r="K12" s="11">
        <v>0</v>
      </c>
      <c r="L12" s="11">
        <v>0</v>
      </c>
      <c r="M12" s="11">
        <v>0</v>
      </c>
      <c r="N12" s="11">
        <v>76.34</v>
      </c>
      <c r="O12" s="11">
        <v>30</v>
      </c>
      <c r="P12" s="11">
        <v>23</v>
      </c>
      <c r="Q12" s="11">
        <v>1350.13</v>
      </c>
      <c r="R12" s="11">
        <v>400</v>
      </c>
      <c r="S12" s="31">
        <f t="shared" si="5"/>
        <v>-18.200000000000045</v>
      </c>
      <c r="T12" s="32">
        <f t="shared" si="6"/>
        <v>0</v>
      </c>
      <c r="U12" s="33">
        <f t="shared" si="7"/>
        <v>30</v>
      </c>
      <c r="V12" s="11">
        <v>5</v>
      </c>
    </row>
    <row r="13" spans="1:22" ht="18.75">
      <c r="A13" s="9">
        <v>44176</v>
      </c>
      <c r="B13" s="10" t="s">
        <v>20</v>
      </c>
      <c r="C13" s="11">
        <v>3713.72</v>
      </c>
      <c r="D13" s="11">
        <v>2076.69</v>
      </c>
      <c r="E13" s="11">
        <v>50</v>
      </c>
      <c r="F13" s="11">
        <v>37</v>
      </c>
      <c r="G13" s="11">
        <v>15</v>
      </c>
      <c r="H13" s="11">
        <f t="shared" si="3"/>
        <v>5982.41</v>
      </c>
      <c r="I13" s="11">
        <v>1338.47</v>
      </c>
      <c r="J13" s="11">
        <v>4638.9399999999996</v>
      </c>
      <c r="K13" s="11">
        <v>0</v>
      </c>
      <c r="L13" s="11">
        <v>0</v>
      </c>
      <c r="M13" s="11">
        <v>0</v>
      </c>
      <c r="N13" s="11">
        <v>595</v>
      </c>
      <c r="O13" s="11">
        <v>90</v>
      </c>
      <c r="P13" s="11">
        <v>42</v>
      </c>
      <c r="Q13" s="11">
        <v>576</v>
      </c>
      <c r="R13" s="11">
        <v>400</v>
      </c>
      <c r="S13" s="31">
        <f t="shared" si="5"/>
        <v>-35.470000000000027</v>
      </c>
      <c r="T13" s="32">
        <f t="shared" si="6"/>
        <v>0</v>
      </c>
      <c r="U13" s="33">
        <f t="shared" si="7"/>
        <v>10</v>
      </c>
      <c r="V13" s="33">
        <v>5</v>
      </c>
    </row>
    <row r="14" spans="1:22" ht="18.75">
      <c r="A14" s="9">
        <v>44177</v>
      </c>
      <c r="B14" s="10" t="s">
        <v>21</v>
      </c>
      <c r="C14" s="11">
        <v>2442.98</v>
      </c>
      <c r="D14" s="11">
        <v>2717.9</v>
      </c>
      <c r="E14" s="11">
        <v>24</v>
      </c>
      <c r="F14" s="11">
        <v>40</v>
      </c>
      <c r="G14" s="11">
        <v>55</v>
      </c>
      <c r="H14" s="11">
        <f t="shared" si="3"/>
        <v>5324.88</v>
      </c>
      <c r="I14" s="11">
        <v>1747.88</v>
      </c>
      <c r="J14" s="11">
        <v>3577</v>
      </c>
      <c r="K14" s="11">
        <v>0</v>
      </c>
      <c r="L14" s="11"/>
      <c r="M14" s="11">
        <v>0</v>
      </c>
      <c r="N14" s="11">
        <v>83.83</v>
      </c>
      <c r="O14" s="11">
        <v>45</v>
      </c>
      <c r="P14" s="11">
        <v>116</v>
      </c>
      <c r="Q14" s="11">
        <v>1543.81</v>
      </c>
      <c r="R14" s="11">
        <v>400</v>
      </c>
      <c r="S14" s="31">
        <f t="shared" si="5"/>
        <v>40.759999999999764</v>
      </c>
      <c r="T14" s="32">
        <f t="shared" si="6"/>
        <v>0</v>
      </c>
      <c r="U14" s="33">
        <f t="shared" si="7"/>
        <v>55</v>
      </c>
      <c r="V14" s="33">
        <v>0</v>
      </c>
    </row>
    <row r="15" spans="1:22" ht="18.75">
      <c r="A15" s="9">
        <v>44178</v>
      </c>
      <c r="B15" s="10" t="s">
        <v>22</v>
      </c>
      <c r="C15" s="11">
        <v>2490.21</v>
      </c>
      <c r="D15" s="11">
        <v>1804.05</v>
      </c>
      <c r="E15" s="11">
        <v>0</v>
      </c>
      <c r="F15" s="11">
        <v>22</v>
      </c>
      <c r="G15" s="11">
        <v>20</v>
      </c>
      <c r="H15" s="11">
        <f t="shared" si="3"/>
        <v>4376.26</v>
      </c>
      <c r="I15" s="11">
        <v>1248.1400000000001</v>
      </c>
      <c r="J15" s="11">
        <v>3102.27</v>
      </c>
      <c r="K15" s="11">
        <v>0</v>
      </c>
      <c r="L15" s="11">
        <v>0</v>
      </c>
      <c r="M15" s="11">
        <v>0</v>
      </c>
      <c r="N15" s="11">
        <v>0</v>
      </c>
      <c r="O15" s="11">
        <v>40</v>
      </c>
      <c r="P15" s="11">
        <v>5</v>
      </c>
      <c r="Q15" s="11">
        <v>1205.18</v>
      </c>
      <c r="R15" s="11">
        <v>400</v>
      </c>
      <c r="S15" s="31">
        <f t="shared" si="5"/>
        <v>2.0399999999999636</v>
      </c>
      <c r="T15" s="32">
        <f t="shared" si="6"/>
        <v>5.8500000000003638</v>
      </c>
      <c r="U15" s="33">
        <f t="shared" si="7"/>
        <v>0</v>
      </c>
      <c r="V15" s="33">
        <v>20</v>
      </c>
    </row>
    <row r="16" spans="1:22" ht="37.5">
      <c r="A16" s="14" t="s">
        <v>27</v>
      </c>
      <c r="B16" s="16"/>
      <c r="C16" s="27">
        <f>SUM(C9:C15)</f>
        <v>22118.68</v>
      </c>
      <c r="D16" s="27">
        <f t="shared" ref="D16:V16" si="8">SUM(D9:D15)</f>
        <v>13676.74</v>
      </c>
      <c r="E16" s="27">
        <f t="shared" si="8"/>
        <v>144.5</v>
      </c>
      <c r="F16" s="27">
        <f t="shared" si="8"/>
        <v>278</v>
      </c>
      <c r="G16" s="27">
        <f t="shared" si="8"/>
        <v>145</v>
      </c>
      <c r="H16" s="27">
        <f t="shared" si="8"/>
        <v>36672.92</v>
      </c>
      <c r="I16" s="27">
        <f t="shared" si="8"/>
        <v>10250.83</v>
      </c>
      <c r="J16" s="27">
        <f t="shared" si="8"/>
        <v>26366.239999999998</v>
      </c>
      <c r="K16" s="27">
        <f t="shared" si="8"/>
        <v>0</v>
      </c>
      <c r="L16" s="27">
        <v>0</v>
      </c>
      <c r="M16" s="27">
        <f t="shared" si="8"/>
        <v>324.75</v>
      </c>
      <c r="N16" s="27">
        <f t="shared" si="8"/>
        <v>906.39</v>
      </c>
      <c r="O16" s="27">
        <f t="shared" si="8"/>
        <v>310</v>
      </c>
      <c r="P16" s="27">
        <f t="shared" si="8"/>
        <v>269.3</v>
      </c>
      <c r="Q16" s="27">
        <f t="shared" si="8"/>
        <v>8763.8799999999992</v>
      </c>
      <c r="R16" s="27">
        <f t="shared" si="8"/>
        <v>2800</v>
      </c>
      <c r="S16" s="27">
        <f t="shared" si="8"/>
        <v>-1.2600000000004457</v>
      </c>
      <c r="T16" s="27">
        <f t="shared" si="8"/>
        <v>5.8500000000003638</v>
      </c>
      <c r="U16" s="27">
        <f t="shared" si="8"/>
        <v>95</v>
      </c>
      <c r="V16" s="27">
        <f t="shared" si="8"/>
        <v>50</v>
      </c>
    </row>
    <row r="17" spans="1:23" ht="18.75">
      <c r="A17" s="9">
        <v>44179</v>
      </c>
      <c r="B17" s="10" t="s">
        <v>23</v>
      </c>
      <c r="C17" s="11">
        <v>2915.7</v>
      </c>
      <c r="D17" s="11">
        <v>1764.29</v>
      </c>
      <c r="E17" s="11">
        <v>0</v>
      </c>
      <c r="F17" s="11">
        <v>40</v>
      </c>
      <c r="G17" s="11">
        <v>30</v>
      </c>
      <c r="H17" s="11">
        <f t="shared" ref="H17:H36" si="9">SUM(C17:G17,O17)</f>
        <v>4849.99</v>
      </c>
      <c r="I17" s="11">
        <v>1192.3499999999999</v>
      </c>
      <c r="J17" s="11">
        <v>3627.64</v>
      </c>
      <c r="K17" s="11">
        <v>0</v>
      </c>
      <c r="L17" s="11">
        <v>0</v>
      </c>
      <c r="M17" s="11">
        <v>51.84</v>
      </c>
      <c r="N17" s="11">
        <v>85.83</v>
      </c>
      <c r="O17" s="11">
        <v>100</v>
      </c>
      <c r="P17" s="11">
        <v>4.2</v>
      </c>
      <c r="Q17" s="11">
        <v>993.47</v>
      </c>
      <c r="R17" s="11">
        <v>400</v>
      </c>
      <c r="S17" s="31">
        <f t="shared" ref="S17:S23" si="10">SUM(N17,O17,P17,Q17)-I17</f>
        <v>-8.8499999999999091</v>
      </c>
      <c r="T17" s="32">
        <f t="shared" ref="T17:T23" si="11">(H17)-(I17+J17+K17+V17)</f>
        <v>0</v>
      </c>
      <c r="U17" s="33">
        <f t="shared" ref="U17:U23" si="12">SUM(G17-V17)</f>
        <v>0</v>
      </c>
      <c r="V17" s="33">
        <v>30</v>
      </c>
    </row>
    <row r="18" spans="1:23" ht="18.75">
      <c r="A18" s="9">
        <v>44180</v>
      </c>
      <c r="B18" s="10" t="s">
        <v>24</v>
      </c>
      <c r="C18" s="11">
        <v>3215.93</v>
      </c>
      <c r="D18" s="11">
        <v>1500.22</v>
      </c>
      <c r="E18" s="11">
        <v>28.5</v>
      </c>
      <c r="F18" s="11">
        <v>49</v>
      </c>
      <c r="G18" s="11">
        <v>147.69999999999999</v>
      </c>
      <c r="H18" s="11">
        <f t="shared" si="9"/>
        <v>4951.3499999999995</v>
      </c>
      <c r="I18" s="11">
        <v>1344.57</v>
      </c>
      <c r="J18" s="11">
        <v>3489.08</v>
      </c>
      <c r="K18" s="11">
        <v>0</v>
      </c>
      <c r="L18" s="11">
        <v>0</v>
      </c>
      <c r="M18" s="11">
        <v>199.91</v>
      </c>
      <c r="N18" s="11">
        <v>0</v>
      </c>
      <c r="O18" s="11">
        <v>10</v>
      </c>
      <c r="P18" s="11">
        <v>56</v>
      </c>
      <c r="Q18" s="11">
        <v>1279.8</v>
      </c>
      <c r="R18" s="11">
        <v>400</v>
      </c>
      <c r="S18" s="31">
        <f t="shared" si="10"/>
        <v>1.2300000000000182</v>
      </c>
      <c r="T18" s="32">
        <f t="shared" si="11"/>
        <v>0</v>
      </c>
      <c r="U18" s="33">
        <f t="shared" si="12"/>
        <v>29.999999999999986</v>
      </c>
      <c r="V18" s="33">
        <v>117.7</v>
      </c>
    </row>
    <row r="19" spans="1:23" ht="18.75">
      <c r="A19" s="9">
        <v>44181</v>
      </c>
      <c r="B19" s="10" t="s">
        <v>25</v>
      </c>
      <c r="C19" s="11">
        <v>3360.01</v>
      </c>
      <c r="D19" s="11">
        <v>1846.46</v>
      </c>
      <c r="E19" s="11">
        <v>14</v>
      </c>
      <c r="F19" s="11">
        <v>53</v>
      </c>
      <c r="G19" s="11">
        <v>55</v>
      </c>
      <c r="H19" s="11">
        <f t="shared" si="9"/>
        <v>5473.47</v>
      </c>
      <c r="I19" s="11">
        <v>1695.63</v>
      </c>
      <c r="J19" s="11">
        <v>3732.84</v>
      </c>
      <c r="K19" s="11">
        <v>0</v>
      </c>
      <c r="L19" s="11">
        <v>0</v>
      </c>
      <c r="M19" s="11">
        <v>0</v>
      </c>
      <c r="N19" s="11">
        <v>0</v>
      </c>
      <c r="O19" s="11">
        <v>145</v>
      </c>
      <c r="P19" s="11">
        <v>5</v>
      </c>
      <c r="Q19" s="11">
        <v>1546.05</v>
      </c>
      <c r="R19" s="11">
        <v>400</v>
      </c>
      <c r="S19" s="31">
        <f t="shared" si="10"/>
        <v>0.41999999999984539</v>
      </c>
      <c r="T19" s="32">
        <f t="shared" si="11"/>
        <v>0</v>
      </c>
      <c r="U19" s="33">
        <f t="shared" si="12"/>
        <v>10</v>
      </c>
      <c r="V19" s="33">
        <v>45</v>
      </c>
    </row>
    <row r="20" spans="1:23" ht="18.75">
      <c r="A20" s="9">
        <v>44182</v>
      </c>
      <c r="B20" s="10" t="s">
        <v>26</v>
      </c>
      <c r="C20" s="11">
        <v>2839.22</v>
      </c>
      <c r="D20" s="11">
        <v>1847.36</v>
      </c>
      <c r="E20" s="11">
        <v>7.5</v>
      </c>
      <c r="F20" s="11">
        <v>34</v>
      </c>
      <c r="G20" s="11">
        <v>20</v>
      </c>
      <c r="H20" s="11">
        <f t="shared" si="9"/>
        <v>4748.08</v>
      </c>
      <c r="I20" s="11">
        <v>1830.27</v>
      </c>
      <c r="J20" s="11">
        <v>2897.81</v>
      </c>
      <c r="K20" s="11">
        <v>0</v>
      </c>
      <c r="L20" s="11">
        <v>0</v>
      </c>
      <c r="M20" s="11">
        <v>20</v>
      </c>
      <c r="N20" s="11">
        <v>40</v>
      </c>
      <c r="O20" s="11">
        <v>0</v>
      </c>
      <c r="P20" s="11">
        <v>44</v>
      </c>
      <c r="Q20" s="11">
        <v>1753.28</v>
      </c>
      <c r="R20" s="11">
        <v>400</v>
      </c>
      <c r="S20" s="31">
        <f t="shared" si="10"/>
        <v>7.0099999999999909</v>
      </c>
      <c r="T20" s="32">
        <f t="shared" si="11"/>
        <v>0</v>
      </c>
      <c r="U20" s="33">
        <f t="shared" si="12"/>
        <v>0</v>
      </c>
      <c r="V20" s="33">
        <v>20</v>
      </c>
    </row>
    <row r="21" spans="1:23" ht="18.75">
      <c r="A21" s="9">
        <v>44183</v>
      </c>
      <c r="B21" s="10" t="s">
        <v>20</v>
      </c>
      <c r="C21" s="11">
        <v>3570.51</v>
      </c>
      <c r="D21" s="11">
        <v>2403.3000000000002</v>
      </c>
      <c r="E21" s="11">
        <v>20.5</v>
      </c>
      <c r="F21" s="11">
        <v>67</v>
      </c>
      <c r="G21" s="11">
        <v>433.91</v>
      </c>
      <c r="H21" s="11">
        <f t="shared" si="9"/>
        <v>6495.22</v>
      </c>
      <c r="I21" s="11">
        <v>2115.0700000000002</v>
      </c>
      <c r="J21" s="11">
        <v>3946.24</v>
      </c>
      <c r="K21" s="11">
        <v>0</v>
      </c>
      <c r="L21" s="11">
        <v>0</v>
      </c>
      <c r="M21" s="11">
        <v>0</v>
      </c>
      <c r="N21" s="11">
        <v>140.9</v>
      </c>
      <c r="O21" s="11">
        <v>0</v>
      </c>
      <c r="P21" s="11">
        <v>22.6</v>
      </c>
      <c r="Q21" s="11">
        <v>1952.7</v>
      </c>
      <c r="R21" s="11">
        <v>400</v>
      </c>
      <c r="S21" s="31">
        <f t="shared" si="10"/>
        <v>1.1299999999996544</v>
      </c>
      <c r="T21" s="32">
        <f t="shared" si="11"/>
        <v>0</v>
      </c>
      <c r="U21" s="33">
        <f t="shared" si="12"/>
        <v>0</v>
      </c>
      <c r="V21" s="33">
        <v>433.91</v>
      </c>
      <c r="W21" s="28" t="s">
        <v>41</v>
      </c>
    </row>
    <row r="22" spans="1:23" ht="18.75">
      <c r="A22" s="9">
        <v>44184</v>
      </c>
      <c r="B22" s="10" t="s">
        <v>21</v>
      </c>
      <c r="C22" s="11">
        <v>2321.64</v>
      </c>
      <c r="D22" s="11">
        <v>2157.7199999999998</v>
      </c>
      <c r="E22" s="11">
        <v>26</v>
      </c>
      <c r="F22" s="11">
        <v>37</v>
      </c>
      <c r="G22" s="11">
        <v>0</v>
      </c>
      <c r="H22" s="11">
        <f t="shared" si="9"/>
        <v>4652.3599999999997</v>
      </c>
      <c r="I22" s="11">
        <v>1482.65</v>
      </c>
      <c r="J22" s="11">
        <v>3169.71</v>
      </c>
      <c r="K22" s="11">
        <v>0</v>
      </c>
      <c r="L22" s="11">
        <v>0</v>
      </c>
      <c r="M22" s="11">
        <v>0</v>
      </c>
      <c r="N22" s="11">
        <v>188.69</v>
      </c>
      <c r="O22" s="11">
        <v>110</v>
      </c>
      <c r="P22" s="11">
        <v>2</v>
      </c>
      <c r="Q22" s="11">
        <v>1184.83</v>
      </c>
      <c r="R22" s="11">
        <v>400</v>
      </c>
      <c r="S22" s="31">
        <f t="shared" si="10"/>
        <v>2.8699999999998909</v>
      </c>
      <c r="T22" s="32">
        <f t="shared" si="11"/>
        <v>0</v>
      </c>
      <c r="U22" s="33">
        <f t="shared" si="12"/>
        <v>0</v>
      </c>
      <c r="V22" s="33">
        <v>0</v>
      </c>
    </row>
    <row r="23" spans="1:23" ht="18.75">
      <c r="A23" s="9">
        <v>44185</v>
      </c>
      <c r="B23" s="10" t="s">
        <v>22</v>
      </c>
      <c r="C23" s="11">
        <v>2595.7199999999998</v>
      </c>
      <c r="D23" s="11">
        <v>1725.5</v>
      </c>
      <c r="E23" s="11">
        <v>0</v>
      </c>
      <c r="F23" s="11">
        <v>38</v>
      </c>
      <c r="G23" s="11">
        <v>95</v>
      </c>
      <c r="H23" s="11">
        <f t="shared" si="9"/>
        <v>4494.2199999999993</v>
      </c>
      <c r="I23" s="11">
        <v>1629.95</v>
      </c>
      <c r="J23" s="11">
        <v>2824.27</v>
      </c>
      <c r="K23" s="11">
        <v>0</v>
      </c>
      <c r="L23" s="11">
        <v>0</v>
      </c>
      <c r="M23" s="11">
        <v>0</v>
      </c>
      <c r="N23" s="11">
        <v>0</v>
      </c>
      <c r="O23" s="11">
        <v>40</v>
      </c>
      <c r="P23" s="11">
        <v>70</v>
      </c>
      <c r="Q23" s="11">
        <v>1521.47</v>
      </c>
      <c r="R23" s="11">
        <v>400</v>
      </c>
      <c r="S23" s="31">
        <f t="shared" si="10"/>
        <v>1.5199999999999818</v>
      </c>
      <c r="T23" s="32">
        <f t="shared" si="11"/>
        <v>0</v>
      </c>
      <c r="U23" s="33">
        <f t="shared" si="12"/>
        <v>55</v>
      </c>
      <c r="V23" s="33">
        <v>40</v>
      </c>
    </row>
    <row r="24" spans="1:23" ht="37.5">
      <c r="A24" s="14" t="s">
        <v>27</v>
      </c>
      <c r="B24" s="16"/>
      <c r="C24" s="27">
        <f>SUM(C17:C23)</f>
        <v>20818.73</v>
      </c>
      <c r="D24" s="27">
        <f t="shared" ref="D24:V24" si="13">SUM(D17:D23)</f>
        <v>13244.85</v>
      </c>
      <c r="E24" s="27">
        <f t="shared" si="13"/>
        <v>96.5</v>
      </c>
      <c r="F24" s="27">
        <f t="shared" si="13"/>
        <v>318</v>
      </c>
      <c r="G24" s="27">
        <f t="shared" si="13"/>
        <v>781.61</v>
      </c>
      <c r="H24" s="27">
        <f t="shared" si="13"/>
        <v>35664.69</v>
      </c>
      <c r="I24" s="27">
        <f t="shared" si="13"/>
        <v>11290.49</v>
      </c>
      <c r="J24" s="27">
        <f t="shared" si="13"/>
        <v>23687.59</v>
      </c>
      <c r="K24" s="27">
        <f t="shared" si="13"/>
        <v>0</v>
      </c>
      <c r="L24" s="27">
        <v>0</v>
      </c>
      <c r="M24" s="27">
        <f t="shared" si="13"/>
        <v>271.75</v>
      </c>
      <c r="N24" s="27">
        <f t="shared" si="13"/>
        <v>455.42</v>
      </c>
      <c r="O24" s="27">
        <f t="shared" si="13"/>
        <v>405</v>
      </c>
      <c r="P24" s="27">
        <f t="shared" si="13"/>
        <v>203.8</v>
      </c>
      <c r="Q24" s="27">
        <f t="shared" si="13"/>
        <v>10231.599999999999</v>
      </c>
      <c r="R24" s="27">
        <f t="shared" si="13"/>
        <v>2800</v>
      </c>
      <c r="S24" s="27">
        <f t="shared" si="13"/>
        <v>5.3299999999994725</v>
      </c>
      <c r="T24" s="27">
        <f t="shared" si="13"/>
        <v>0</v>
      </c>
      <c r="U24" s="27">
        <f t="shared" si="13"/>
        <v>94.999999999999986</v>
      </c>
      <c r="V24" s="27">
        <f t="shared" si="13"/>
        <v>686.61</v>
      </c>
      <c r="W24" s="29">
        <f>SUM(V24-378.91)</f>
        <v>307.7</v>
      </c>
    </row>
    <row r="25" spans="1:23" ht="18.75">
      <c r="A25" s="9">
        <v>44186</v>
      </c>
      <c r="B25" s="10" t="s">
        <v>23</v>
      </c>
      <c r="C25" s="11">
        <v>3001.55</v>
      </c>
      <c r="D25" s="11">
        <v>1957.04</v>
      </c>
      <c r="E25" s="11">
        <v>15</v>
      </c>
      <c r="F25" s="11">
        <v>48</v>
      </c>
      <c r="G25" s="11">
        <v>30</v>
      </c>
      <c r="H25" s="11">
        <f t="shared" si="9"/>
        <v>5111.59</v>
      </c>
      <c r="I25" s="11">
        <v>1377.14</v>
      </c>
      <c r="J25" s="11">
        <v>3724.45</v>
      </c>
      <c r="K25" s="11">
        <v>0</v>
      </c>
      <c r="L25" s="11">
        <v>30.88</v>
      </c>
      <c r="M25" s="11">
        <v>0</v>
      </c>
      <c r="N25" s="11">
        <v>43.53</v>
      </c>
      <c r="O25" s="33">
        <v>60</v>
      </c>
      <c r="P25" s="33">
        <v>0</v>
      </c>
      <c r="Q25" s="11">
        <v>1272.1099999999999</v>
      </c>
      <c r="R25" s="11">
        <v>400</v>
      </c>
      <c r="S25" s="31">
        <f t="shared" ref="S25:S31" si="14">SUM(N25,O25,P25,Q25)-I25</f>
        <v>-1.5000000000002274</v>
      </c>
      <c r="T25" s="32">
        <f t="shared" ref="T25:T31" si="15">(H25)-(I25+J25+K25+V25)</f>
        <v>0</v>
      </c>
      <c r="U25" s="33">
        <f t="shared" ref="U25:U31" si="16">SUM(G25-V25)</f>
        <v>20</v>
      </c>
      <c r="V25" s="33">
        <v>10</v>
      </c>
    </row>
    <row r="26" spans="1:23" ht="18.75">
      <c r="A26" s="9">
        <v>44187</v>
      </c>
      <c r="B26" s="10" t="s">
        <v>24</v>
      </c>
      <c r="C26" s="11">
        <v>3435.14</v>
      </c>
      <c r="D26" s="11">
        <v>1961.12</v>
      </c>
      <c r="E26" s="11">
        <v>32.5</v>
      </c>
      <c r="F26" s="11">
        <v>126</v>
      </c>
      <c r="G26" s="11">
        <v>65</v>
      </c>
      <c r="H26" s="11">
        <f t="shared" si="9"/>
        <v>5669.76</v>
      </c>
      <c r="I26" s="11">
        <v>1891.25</v>
      </c>
      <c r="J26" s="11">
        <v>3713.51</v>
      </c>
      <c r="K26" s="11">
        <v>0</v>
      </c>
      <c r="L26" s="11">
        <v>160.34</v>
      </c>
      <c r="M26" s="11">
        <v>0</v>
      </c>
      <c r="N26" s="11">
        <v>107.96</v>
      </c>
      <c r="O26" s="33">
        <v>50</v>
      </c>
      <c r="P26" s="33">
        <v>207</v>
      </c>
      <c r="Q26" s="11">
        <v>1468.01</v>
      </c>
      <c r="R26" s="11">
        <v>400</v>
      </c>
      <c r="S26" s="31">
        <f t="shared" si="14"/>
        <v>-58.279999999999973</v>
      </c>
      <c r="T26" s="32">
        <f t="shared" si="15"/>
        <v>0</v>
      </c>
      <c r="U26" s="33">
        <f t="shared" si="16"/>
        <v>0</v>
      </c>
      <c r="V26" s="33">
        <v>65</v>
      </c>
    </row>
    <row r="27" spans="1:23" ht="18.75">
      <c r="A27" s="9">
        <v>44188</v>
      </c>
      <c r="B27" s="10" t="s">
        <v>25</v>
      </c>
      <c r="C27" s="11">
        <v>3772.67</v>
      </c>
      <c r="D27" s="11">
        <v>2021.34</v>
      </c>
      <c r="E27" s="11">
        <v>25</v>
      </c>
      <c r="F27" s="11">
        <v>45</v>
      </c>
      <c r="G27" s="11">
        <v>85</v>
      </c>
      <c r="H27" s="11">
        <f t="shared" si="9"/>
        <v>6139.01</v>
      </c>
      <c r="I27" s="11">
        <v>1757.09</v>
      </c>
      <c r="J27" s="11">
        <v>4366.92</v>
      </c>
      <c r="K27" s="11">
        <v>0</v>
      </c>
      <c r="L27" s="11">
        <v>35.06</v>
      </c>
      <c r="M27" s="11">
        <v>46.33</v>
      </c>
      <c r="N27" s="11">
        <v>166.52</v>
      </c>
      <c r="O27" s="33">
        <v>190</v>
      </c>
      <c r="P27" s="33">
        <v>26</v>
      </c>
      <c r="Q27" s="11">
        <v>1398.72</v>
      </c>
      <c r="R27" s="11">
        <v>400</v>
      </c>
      <c r="S27" s="31">
        <f t="shared" si="14"/>
        <v>24.150000000000091</v>
      </c>
      <c r="T27" s="32">
        <f t="shared" si="15"/>
        <v>0</v>
      </c>
      <c r="U27" s="33">
        <f t="shared" si="16"/>
        <v>70</v>
      </c>
      <c r="V27" s="33">
        <v>15</v>
      </c>
    </row>
    <row r="28" spans="1:23" ht="18.75">
      <c r="A28" s="9">
        <v>44189</v>
      </c>
      <c r="B28" s="10" t="s">
        <v>26</v>
      </c>
      <c r="C28" s="11">
        <v>3565.37</v>
      </c>
      <c r="D28" s="11">
        <v>4314.9399999999996</v>
      </c>
      <c r="E28" s="11">
        <v>32.5</v>
      </c>
      <c r="F28" s="11">
        <v>84</v>
      </c>
      <c r="G28" s="11">
        <v>101</v>
      </c>
      <c r="H28" s="11">
        <f t="shared" si="9"/>
        <v>8257.81</v>
      </c>
      <c r="I28" s="11">
        <v>2221.9499999999998</v>
      </c>
      <c r="J28" s="11">
        <v>6004.86</v>
      </c>
      <c r="K28" s="11">
        <v>0</v>
      </c>
      <c r="L28" s="11">
        <v>69.569999999999993</v>
      </c>
      <c r="M28" s="11">
        <v>0</v>
      </c>
      <c r="N28" s="11">
        <v>15.17</v>
      </c>
      <c r="O28" s="33">
        <v>160</v>
      </c>
      <c r="P28" s="33">
        <v>5</v>
      </c>
      <c r="Q28" s="11">
        <v>2032</v>
      </c>
      <c r="R28" s="11">
        <v>400</v>
      </c>
      <c r="S28" s="31">
        <f t="shared" si="14"/>
        <v>-9.7799999999997453</v>
      </c>
      <c r="T28" s="32">
        <f t="shared" si="15"/>
        <v>0</v>
      </c>
      <c r="U28" s="33">
        <f t="shared" si="16"/>
        <v>70</v>
      </c>
      <c r="V28" s="33">
        <v>31</v>
      </c>
    </row>
    <row r="29" spans="1:23" ht="18.75">
      <c r="A29" s="9">
        <v>44190</v>
      </c>
      <c r="B29" s="10" t="s">
        <v>20</v>
      </c>
      <c r="C29" s="11">
        <v>2536.73</v>
      </c>
      <c r="D29" s="11">
        <v>4753.32</v>
      </c>
      <c r="E29" s="11">
        <v>11.5</v>
      </c>
      <c r="F29" s="11">
        <v>127</v>
      </c>
      <c r="G29" s="11">
        <v>230</v>
      </c>
      <c r="H29" s="11">
        <f t="shared" si="9"/>
        <v>7968.5499999999993</v>
      </c>
      <c r="I29" s="11">
        <v>2706.16</v>
      </c>
      <c r="J29" s="11">
        <v>5152.3900000000003</v>
      </c>
      <c r="K29" s="11">
        <v>0</v>
      </c>
      <c r="L29" s="11">
        <v>0</v>
      </c>
      <c r="M29" s="11">
        <v>0</v>
      </c>
      <c r="N29" s="11">
        <v>0</v>
      </c>
      <c r="O29" s="33">
        <v>310</v>
      </c>
      <c r="P29" s="33">
        <v>91</v>
      </c>
      <c r="Q29" s="11">
        <v>2322.5</v>
      </c>
      <c r="R29" s="11">
        <v>400</v>
      </c>
      <c r="S29" s="31">
        <f t="shared" si="14"/>
        <v>17.340000000000146</v>
      </c>
      <c r="T29" s="32">
        <f t="shared" si="15"/>
        <v>0</v>
      </c>
      <c r="U29" s="33">
        <f t="shared" si="16"/>
        <v>120</v>
      </c>
      <c r="V29" s="33">
        <v>110</v>
      </c>
    </row>
    <row r="30" spans="1:23" ht="18.75">
      <c r="A30" s="9">
        <v>44191</v>
      </c>
      <c r="B30" s="10" t="s">
        <v>21</v>
      </c>
      <c r="C30" s="11">
        <v>2399.09</v>
      </c>
      <c r="D30" s="11">
        <v>2323.94</v>
      </c>
      <c r="E30" s="11">
        <v>12</v>
      </c>
      <c r="F30" s="11">
        <v>28</v>
      </c>
      <c r="G30" s="11">
        <v>30</v>
      </c>
      <c r="H30" s="11">
        <f t="shared" si="9"/>
        <v>4833.0300000000007</v>
      </c>
      <c r="I30" s="11">
        <v>1700.4</v>
      </c>
      <c r="J30" s="11">
        <v>3122.63</v>
      </c>
      <c r="K30" s="11">
        <v>0</v>
      </c>
      <c r="L30" s="11">
        <v>0</v>
      </c>
      <c r="M30" s="11">
        <v>0</v>
      </c>
      <c r="N30" s="11">
        <v>0</v>
      </c>
      <c r="O30" s="33">
        <v>40</v>
      </c>
      <c r="P30" s="33">
        <v>33</v>
      </c>
      <c r="Q30" s="11">
        <v>1627.97</v>
      </c>
      <c r="R30" s="11">
        <v>400</v>
      </c>
      <c r="S30" s="31">
        <f t="shared" si="14"/>
        <v>0.56999999999993634</v>
      </c>
      <c r="T30" s="32">
        <f t="shared" si="15"/>
        <v>0</v>
      </c>
      <c r="U30" s="33">
        <f t="shared" si="16"/>
        <v>20</v>
      </c>
      <c r="V30" s="33">
        <v>10</v>
      </c>
    </row>
    <row r="31" spans="1:23" ht="18.75">
      <c r="A31" s="9">
        <v>44192</v>
      </c>
      <c r="B31" s="10" t="s">
        <v>22</v>
      </c>
      <c r="C31" s="11">
        <v>2076.14</v>
      </c>
      <c r="D31" s="11">
        <v>1779.28</v>
      </c>
      <c r="E31" s="11">
        <v>0</v>
      </c>
      <c r="F31" s="11">
        <v>22</v>
      </c>
      <c r="G31" s="11">
        <v>10</v>
      </c>
      <c r="H31" s="11">
        <f t="shared" si="9"/>
        <v>3967.42</v>
      </c>
      <c r="I31" s="11">
        <v>1452.96</v>
      </c>
      <c r="J31" s="11">
        <v>2514.46</v>
      </c>
      <c r="K31" s="11">
        <v>0</v>
      </c>
      <c r="L31" s="11">
        <v>0</v>
      </c>
      <c r="M31" s="11">
        <v>0</v>
      </c>
      <c r="N31" s="11">
        <v>0</v>
      </c>
      <c r="O31" s="33">
        <v>80</v>
      </c>
      <c r="P31" s="33">
        <v>76</v>
      </c>
      <c r="Q31" s="11">
        <v>1299.8699999999999</v>
      </c>
      <c r="R31" s="11">
        <v>400</v>
      </c>
      <c r="S31" s="31">
        <f t="shared" si="14"/>
        <v>2.9099999999998545</v>
      </c>
      <c r="T31" s="32">
        <f t="shared" si="15"/>
        <v>0</v>
      </c>
      <c r="U31" s="33">
        <f t="shared" si="16"/>
        <v>10</v>
      </c>
      <c r="V31" s="33">
        <v>0</v>
      </c>
    </row>
    <row r="32" spans="1:23" ht="37.5">
      <c r="A32" s="14" t="s">
        <v>27</v>
      </c>
      <c r="B32" s="16"/>
      <c r="C32" s="27">
        <f>SUM(C25:C31)</f>
        <v>20786.689999999999</v>
      </c>
      <c r="D32" s="27">
        <f t="shared" ref="D32:V32" si="17">SUM(D25:D31)</f>
        <v>19110.979999999996</v>
      </c>
      <c r="E32" s="27">
        <f t="shared" si="17"/>
        <v>128.5</v>
      </c>
      <c r="F32" s="27">
        <f t="shared" si="17"/>
        <v>480</v>
      </c>
      <c r="G32" s="27">
        <f t="shared" si="17"/>
        <v>551</v>
      </c>
      <c r="H32" s="27">
        <f t="shared" si="17"/>
        <v>41947.17</v>
      </c>
      <c r="I32" s="27">
        <f t="shared" si="17"/>
        <v>13106.95</v>
      </c>
      <c r="J32" s="27">
        <f t="shared" si="17"/>
        <v>28599.22</v>
      </c>
      <c r="K32" s="27">
        <f t="shared" si="17"/>
        <v>0</v>
      </c>
      <c r="L32" s="27">
        <f t="shared" si="17"/>
        <v>295.85000000000002</v>
      </c>
      <c r="M32" s="27">
        <f t="shared" si="17"/>
        <v>46.33</v>
      </c>
      <c r="N32" s="27">
        <f t="shared" si="17"/>
        <v>333.18</v>
      </c>
      <c r="O32" s="27">
        <f t="shared" si="17"/>
        <v>890</v>
      </c>
      <c r="P32" s="27">
        <f t="shared" si="17"/>
        <v>438</v>
      </c>
      <c r="Q32" s="27">
        <f t="shared" si="17"/>
        <v>11421.18</v>
      </c>
      <c r="R32" s="27">
        <f t="shared" si="17"/>
        <v>2800</v>
      </c>
      <c r="S32" s="27">
        <f t="shared" si="17"/>
        <v>-24.589999999999918</v>
      </c>
      <c r="T32" s="27">
        <f t="shared" si="17"/>
        <v>0</v>
      </c>
      <c r="U32" s="27">
        <f t="shared" si="17"/>
        <v>310</v>
      </c>
      <c r="V32" s="27">
        <f t="shared" si="17"/>
        <v>241</v>
      </c>
    </row>
    <row r="33" spans="1:22" ht="18.75">
      <c r="A33" s="9">
        <v>44193</v>
      </c>
      <c r="B33" s="10" t="s">
        <v>23</v>
      </c>
      <c r="C33" s="11">
        <v>2186.86</v>
      </c>
      <c r="D33" s="11">
        <v>1643.66</v>
      </c>
      <c r="E33" s="11">
        <v>24.5</v>
      </c>
      <c r="F33" s="11">
        <v>124</v>
      </c>
      <c r="G33" s="11">
        <v>25</v>
      </c>
      <c r="H33" s="11">
        <f t="shared" si="9"/>
        <v>4024.0200000000004</v>
      </c>
      <c r="I33" s="11">
        <v>1698.71</v>
      </c>
      <c r="J33" s="11">
        <v>2300.31</v>
      </c>
      <c r="K33" s="11">
        <v>0</v>
      </c>
      <c r="L33" s="11">
        <v>73.19</v>
      </c>
      <c r="M33" s="11">
        <v>0</v>
      </c>
      <c r="N33" s="11">
        <v>137.49</v>
      </c>
      <c r="O33" s="33">
        <v>20</v>
      </c>
      <c r="P33" s="33">
        <v>12</v>
      </c>
      <c r="Q33" s="11">
        <v>1530.58</v>
      </c>
      <c r="R33" s="11">
        <v>400</v>
      </c>
      <c r="S33" s="31">
        <f t="shared" ref="S33:S36" si="18">SUM(N33,O33,P33,Q33)-I33</f>
        <v>1.3599999999999</v>
      </c>
      <c r="T33" s="32">
        <f t="shared" ref="T33:T36" si="19">(H33)-(I33+J33+K33+V33)</f>
        <v>0</v>
      </c>
      <c r="U33" s="33">
        <f t="shared" ref="U33:U36" si="20">SUM(G33-V33)</f>
        <v>0</v>
      </c>
      <c r="V33" s="33">
        <v>25</v>
      </c>
    </row>
    <row r="34" spans="1:22" ht="18.75">
      <c r="A34" s="9">
        <v>44194</v>
      </c>
      <c r="B34" s="10" t="s">
        <v>24</v>
      </c>
      <c r="C34" s="11">
        <f>1945.67</f>
        <v>1945.67</v>
      </c>
      <c r="D34" s="11">
        <v>1388.48</v>
      </c>
      <c r="E34" s="11">
        <v>15</v>
      </c>
      <c r="F34" s="11">
        <v>15</v>
      </c>
      <c r="G34" s="11">
        <v>40</v>
      </c>
      <c r="H34" s="11">
        <f t="shared" si="9"/>
        <v>3404.15</v>
      </c>
      <c r="I34" s="11">
        <v>1085.33</v>
      </c>
      <c r="J34" s="11">
        <f>2380.82-72</f>
        <v>2308.8200000000002</v>
      </c>
      <c r="K34" s="11">
        <v>0</v>
      </c>
      <c r="L34" s="11">
        <v>111.65</v>
      </c>
      <c r="M34" s="11">
        <v>89.03</v>
      </c>
      <c r="N34" s="11">
        <f>78.86+18</f>
        <v>96.86</v>
      </c>
      <c r="O34" s="33">
        <v>0</v>
      </c>
      <c r="P34" s="33">
        <v>2</v>
      </c>
      <c r="Q34" s="11">
        <v>989.24</v>
      </c>
      <c r="R34" s="11">
        <v>400</v>
      </c>
      <c r="S34" s="31">
        <f t="shared" si="18"/>
        <v>2.7699999999999818</v>
      </c>
      <c r="T34" s="32">
        <f t="shared" si="19"/>
        <v>0</v>
      </c>
      <c r="U34" s="33">
        <f t="shared" si="20"/>
        <v>30</v>
      </c>
      <c r="V34" s="33">
        <v>10</v>
      </c>
    </row>
    <row r="35" spans="1:22" ht="18.75">
      <c r="A35" s="9">
        <v>44195</v>
      </c>
      <c r="B35" s="10" t="s">
        <v>25</v>
      </c>
      <c r="C35" s="11">
        <v>2218.41</v>
      </c>
      <c r="D35" s="11">
        <v>1503.94</v>
      </c>
      <c r="E35" s="11">
        <v>15</v>
      </c>
      <c r="F35" s="11">
        <v>10</v>
      </c>
      <c r="G35" s="11">
        <v>10</v>
      </c>
      <c r="H35" s="11">
        <f t="shared" si="9"/>
        <v>3837.35</v>
      </c>
      <c r="I35" s="11">
        <v>1331.97</v>
      </c>
      <c r="J35" s="11">
        <v>2447.41</v>
      </c>
      <c r="K35" s="11">
        <v>47.97</v>
      </c>
      <c r="L35" s="11">
        <v>94.18</v>
      </c>
      <c r="M35" s="11">
        <v>0</v>
      </c>
      <c r="N35" s="11">
        <v>120</v>
      </c>
      <c r="O35" s="33">
        <v>80</v>
      </c>
      <c r="P35" s="33">
        <v>0</v>
      </c>
      <c r="Q35" s="11">
        <v>1132.6300000000001</v>
      </c>
      <c r="R35" s="11">
        <v>400</v>
      </c>
      <c r="S35" s="31">
        <f t="shared" si="18"/>
        <v>0.66000000000008185</v>
      </c>
      <c r="T35" s="32">
        <f t="shared" si="19"/>
        <v>0</v>
      </c>
      <c r="U35" s="33">
        <f t="shared" si="20"/>
        <v>0</v>
      </c>
      <c r="V35" s="33">
        <v>10</v>
      </c>
    </row>
    <row r="36" spans="1:22" ht="18.75">
      <c r="A36" s="9">
        <v>44196</v>
      </c>
      <c r="B36" s="10" t="s">
        <v>26</v>
      </c>
      <c r="C36" s="11">
        <f>2153.94+69.99</f>
        <v>2223.9299999999998</v>
      </c>
      <c r="D36" s="11">
        <v>2791.15</v>
      </c>
      <c r="E36" s="11">
        <v>12</v>
      </c>
      <c r="F36" s="11">
        <v>45</v>
      </c>
      <c r="G36" s="11">
        <v>50</v>
      </c>
      <c r="H36" s="11">
        <f t="shared" si="9"/>
        <v>5152.08</v>
      </c>
      <c r="I36" s="11">
        <v>1650.67</v>
      </c>
      <c r="J36" s="11">
        <v>3406.42</v>
      </c>
      <c r="K36" s="11">
        <v>0</v>
      </c>
      <c r="L36" s="11">
        <v>202.53</v>
      </c>
      <c r="M36" s="11">
        <v>0</v>
      </c>
      <c r="N36" s="11">
        <v>315</v>
      </c>
      <c r="O36" s="33">
        <v>30</v>
      </c>
      <c r="P36" s="33">
        <v>20</v>
      </c>
      <c r="Q36" s="11">
        <v>1305.54</v>
      </c>
      <c r="R36" s="11">
        <v>400</v>
      </c>
      <c r="S36" s="31">
        <f t="shared" si="18"/>
        <v>19.869999999999891</v>
      </c>
      <c r="T36" s="32">
        <f t="shared" si="19"/>
        <v>69.989999999999782</v>
      </c>
      <c r="U36" s="33">
        <f t="shared" si="20"/>
        <v>25</v>
      </c>
      <c r="V36" s="33">
        <v>25</v>
      </c>
    </row>
    <row r="37" spans="1:22" ht="37.5">
      <c r="A37" s="14" t="s">
        <v>27</v>
      </c>
      <c r="B37" s="16"/>
      <c r="C37" s="27">
        <f>SUM(C33:C36)</f>
        <v>8574.8700000000008</v>
      </c>
      <c r="D37" s="27">
        <f t="shared" ref="D37:V37" si="21">SUM(D33:D36)</f>
        <v>7327.23</v>
      </c>
      <c r="E37" s="27">
        <f t="shared" si="21"/>
        <v>66.5</v>
      </c>
      <c r="F37" s="27">
        <f t="shared" si="21"/>
        <v>194</v>
      </c>
      <c r="G37" s="27">
        <f t="shared" si="21"/>
        <v>125</v>
      </c>
      <c r="H37" s="27">
        <f t="shared" si="21"/>
        <v>16417.599999999999</v>
      </c>
      <c r="I37" s="27">
        <f t="shared" si="21"/>
        <v>5766.68</v>
      </c>
      <c r="J37" s="27">
        <f t="shared" si="21"/>
        <v>10462.959999999999</v>
      </c>
      <c r="K37" s="27">
        <f t="shared" si="21"/>
        <v>47.97</v>
      </c>
      <c r="L37" s="27">
        <f t="shared" si="21"/>
        <v>481.54999999999995</v>
      </c>
      <c r="M37" s="27">
        <f t="shared" si="21"/>
        <v>89.03</v>
      </c>
      <c r="N37" s="27">
        <f t="shared" si="21"/>
        <v>669.35</v>
      </c>
      <c r="O37" s="27">
        <f t="shared" si="21"/>
        <v>130</v>
      </c>
      <c r="P37" s="27">
        <f t="shared" si="21"/>
        <v>34</v>
      </c>
      <c r="Q37" s="27">
        <f t="shared" si="21"/>
        <v>4957.99</v>
      </c>
      <c r="R37" s="27">
        <f t="shared" si="21"/>
        <v>1600</v>
      </c>
      <c r="S37" s="27">
        <f t="shared" si="21"/>
        <v>24.659999999999854</v>
      </c>
      <c r="T37" s="27">
        <f t="shared" si="21"/>
        <v>69.989999999999782</v>
      </c>
      <c r="U37" s="27">
        <f t="shared" si="21"/>
        <v>55</v>
      </c>
      <c r="V37" s="27">
        <f t="shared" si="21"/>
        <v>70</v>
      </c>
    </row>
    <row r="38" spans="1:22" ht="51.75" customHeight="1">
      <c r="A38" s="24" t="s">
        <v>17</v>
      </c>
      <c r="B38" s="25"/>
      <c r="C38" s="30">
        <f>SUM(C37,C32,C24,C16,C8)</f>
        <v>89896.91</v>
      </c>
      <c r="D38" s="30">
        <f t="shared" ref="D38:V38" si="22">SUM(D37,D32,D24,D16,D8)</f>
        <v>65032.929999999993</v>
      </c>
      <c r="E38" s="30">
        <f t="shared" si="22"/>
        <v>620</v>
      </c>
      <c r="F38" s="30">
        <f t="shared" si="22"/>
        <v>1572</v>
      </c>
      <c r="G38" s="30">
        <f t="shared" si="22"/>
        <v>1922.6100000000001</v>
      </c>
      <c r="H38" s="30">
        <f t="shared" si="22"/>
        <v>161309.44999999998</v>
      </c>
      <c r="I38" s="30">
        <f t="shared" si="22"/>
        <v>49338.320000000007</v>
      </c>
      <c r="J38" s="30">
        <f t="shared" si="22"/>
        <v>110649.36000000002</v>
      </c>
      <c r="K38" s="30">
        <f t="shared" si="22"/>
        <v>119.32</v>
      </c>
      <c r="L38" s="30">
        <f t="shared" si="22"/>
        <v>777.4</v>
      </c>
      <c r="M38" s="30">
        <f t="shared" si="22"/>
        <v>946.6</v>
      </c>
      <c r="N38" s="30">
        <f t="shared" si="22"/>
        <v>2569.77</v>
      </c>
      <c r="O38" s="30">
        <f t="shared" si="22"/>
        <v>2265</v>
      </c>
      <c r="P38" s="30">
        <f t="shared" si="22"/>
        <v>1133.0999999999999</v>
      </c>
      <c r="Q38" s="30">
        <f t="shared" si="22"/>
        <v>43287.92</v>
      </c>
      <c r="R38" s="30">
        <f t="shared" si="22"/>
        <v>12400</v>
      </c>
      <c r="S38" s="30">
        <f t="shared" si="22"/>
        <v>-82.530000000000655</v>
      </c>
      <c r="T38" s="30">
        <f t="shared" si="22"/>
        <v>74.840000000000146</v>
      </c>
      <c r="U38" s="30">
        <f t="shared" si="22"/>
        <v>795</v>
      </c>
      <c r="V38" s="30">
        <f t="shared" si="22"/>
        <v>1127.6100000000001</v>
      </c>
    </row>
  </sheetData>
  <sheetProtection password="CCFB" sheet="1" objects="1" scenarios="1"/>
  <conditionalFormatting sqref="S9:T15 S17:T23 S25:T31 S33:T36 S2:T7">
    <cfRule type="cellIs" dxfId="364" priority="19" operator="lessThan">
      <formula>0</formula>
    </cfRule>
    <cfRule type="cellIs" dxfId="363" priority="20" operator="greaterThan">
      <formula>0</formula>
    </cfRule>
  </conditionalFormatting>
  <pageMargins left="0.7" right="0.7" top="0.75" bottom="0.75" header="0.3" footer="0.3"/>
  <pageSetup paperSize="256" orientation="portrait" horizontalDpi="300" verticalDpi="300" r:id="rId1"/>
  <ignoredErrors>
    <ignoredError sqref="S16:U16 S24:U24 S32:U32 H24 H16 H32 H8 S8:U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>
  <dimension ref="A1:Z52"/>
  <sheetViews>
    <sheetView topLeftCell="A12" zoomScale="70" zoomScaleNormal="70" workbookViewId="0">
      <selection activeCell="R29" sqref="R29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5.4257812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20.85546875" customWidth="1"/>
    <col min="15" max="16" width="16.7109375" customWidth="1"/>
    <col min="17" max="17" width="14.28515625" customWidth="1"/>
    <col min="18" max="18" width="13" customWidth="1"/>
    <col min="19" max="19" width="14.85546875" customWidth="1"/>
    <col min="20" max="20" width="14" customWidth="1"/>
    <col min="21" max="21" width="15.28515625" customWidth="1"/>
    <col min="22" max="23" width="15.85546875" customWidth="1"/>
    <col min="24" max="24" width="23.140625" style="28" customWidth="1"/>
    <col min="25" max="25" width="12.42578125" style="36" customWidth="1"/>
    <col min="26" max="26" width="11.85546875" customWidth="1"/>
  </cols>
  <sheetData>
    <row r="1" spans="1:26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</row>
    <row r="2" spans="1:26" ht="18.75">
      <c r="A2" s="9">
        <v>44470</v>
      </c>
      <c r="B2" s="10" t="s">
        <v>20</v>
      </c>
      <c r="C2" s="11"/>
      <c r="D2" s="11"/>
      <c r="E2" s="11"/>
      <c r="F2" s="11"/>
      <c r="G2" s="11"/>
      <c r="H2" s="11">
        <f>SUM(C2:G2,P2)</f>
        <v>0</v>
      </c>
      <c r="I2" s="11"/>
      <c r="J2" s="11">
        <f>SUM(K2:N2)</f>
        <v>0</v>
      </c>
      <c r="K2" s="11"/>
      <c r="L2" s="11"/>
      <c r="M2" s="11"/>
      <c r="N2" s="11"/>
      <c r="O2" s="11"/>
      <c r="P2" s="11"/>
      <c r="Q2" s="11"/>
      <c r="R2" s="11"/>
      <c r="S2" s="11">
        <v>100</v>
      </c>
      <c r="T2" s="31">
        <f>SUM(O2,P2,Q2,R2)-I2</f>
        <v>0</v>
      </c>
      <c r="U2" s="32"/>
      <c r="V2" s="33">
        <f>SUM(G2-W2)</f>
        <v>0</v>
      </c>
      <c r="W2" s="33"/>
    </row>
    <row r="3" spans="1:26" ht="18.75">
      <c r="A3" s="9">
        <v>44471</v>
      </c>
      <c r="B3" s="10" t="s">
        <v>21</v>
      </c>
      <c r="C3" s="11"/>
      <c r="D3" s="11"/>
      <c r="E3" s="11"/>
      <c r="F3" s="11"/>
      <c r="G3" s="11"/>
      <c r="H3" s="11">
        <f>SUM(C3:G3,P3)</f>
        <v>0</v>
      </c>
      <c r="I3" s="11"/>
      <c r="J3" s="11">
        <f t="shared" ref="J3:J4" si="0">SUM(K3:N3)</f>
        <v>0</v>
      </c>
      <c r="K3" s="11"/>
      <c r="L3" s="11"/>
      <c r="M3" s="11"/>
      <c r="N3" s="11"/>
      <c r="O3" s="11"/>
      <c r="P3" s="11"/>
      <c r="Q3" s="11"/>
      <c r="R3" s="11"/>
      <c r="S3" s="11">
        <v>100</v>
      </c>
      <c r="T3" s="31">
        <f>SUM(O3,P3,Q3,R3)-I3</f>
        <v>0</v>
      </c>
      <c r="U3" s="32"/>
      <c r="V3" s="33">
        <f>SUM(G3-W3)</f>
        <v>0</v>
      </c>
      <c r="W3" s="33"/>
    </row>
    <row r="4" spans="1:26" ht="18.75">
      <c r="A4" s="9">
        <v>44472</v>
      </c>
      <c r="B4" s="10" t="s">
        <v>22</v>
      </c>
      <c r="C4" s="11"/>
      <c r="D4" s="11"/>
      <c r="E4" s="11"/>
      <c r="F4" s="11"/>
      <c r="G4" s="11"/>
      <c r="H4" s="11">
        <f>SUM(C4:G4,P4)</f>
        <v>0</v>
      </c>
      <c r="I4" s="11"/>
      <c r="J4" s="11">
        <f t="shared" si="0"/>
        <v>0</v>
      </c>
      <c r="K4" s="11"/>
      <c r="L4" s="11"/>
      <c r="M4" s="11"/>
      <c r="N4" s="11"/>
      <c r="O4" s="11"/>
      <c r="P4" s="11"/>
      <c r="Q4" s="11"/>
      <c r="R4" s="11"/>
      <c r="S4" s="11">
        <v>100</v>
      </c>
      <c r="T4" s="31">
        <f>SUM(O4,P4,Q4,R4)-I4</f>
        <v>0</v>
      </c>
      <c r="U4" s="32"/>
      <c r="V4" s="33">
        <f>SUM(G4-W4)</f>
        <v>0</v>
      </c>
      <c r="W4" s="33"/>
    </row>
    <row r="5" spans="1:26" ht="37.5">
      <c r="A5" s="14" t="s">
        <v>27</v>
      </c>
      <c r="B5" s="16"/>
      <c r="C5" s="27">
        <f t="shared" ref="C5:W5" si="1">SUM(C2:C4)</f>
        <v>0</v>
      </c>
      <c r="D5" s="27">
        <f t="shared" si="1"/>
        <v>0</v>
      </c>
      <c r="E5" s="27">
        <f t="shared" si="1"/>
        <v>0</v>
      </c>
      <c r="F5" s="27">
        <f t="shared" si="1"/>
        <v>0</v>
      </c>
      <c r="G5" s="27">
        <f t="shared" si="1"/>
        <v>0</v>
      </c>
      <c r="H5" s="27">
        <f t="shared" si="1"/>
        <v>0</v>
      </c>
      <c r="I5" s="27">
        <f t="shared" si="1"/>
        <v>0</v>
      </c>
      <c r="J5" s="27" t="s">
        <v>36</v>
      </c>
      <c r="K5" s="27"/>
      <c r="L5" s="27">
        <f t="shared" si="1"/>
        <v>0</v>
      </c>
      <c r="M5" s="27">
        <f t="shared" si="1"/>
        <v>0</v>
      </c>
      <c r="N5" s="27">
        <f t="shared" si="1"/>
        <v>0</v>
      </c>
      <c r="O5" s="27">
        <f t="shared" si="1"/>
        <v>0</v>
      </c>
      <c r="P5" s="27">
        <f t="shared" si="1"/>
        <v>0</v>
      </c>
      <c r="Q5" s="27">
        <f t="shared" si="1"/>
        <v>0</v>
      </c>
      <c r="R5" s="27">
        <f t="shared" si="1"/>
        <v>0</v>
      </c>
      <c r="S5" s="27">
        <f t="shared" si="1"/>
        <v>300</v>
      </c>
      <c r="T5" s="27">
        <f t="shared" si="1"/>
        <v>0</v>
      </c>
      <c r="U5" s="27">
        <f t="shared" si="1"/>
        <v>0</v>
      </c>
      <c r="V5" s="27">
        <f t="shared" si="1"/>
        <v>0</v>
      </c>
      <c r="W5" s="27">
        <f t="shared" si="1"/>
        <v>0</v>
      </c>
    </row>
    <row r="6" spans="1:26" ht="18.75">
      <c r="A6" s="9">
        <v>44473</v>
      </c>
      <c r="B6" s="10" t="s">
        <v>23</v>
      </c>
      <c r="C6" s="11"/>
      <c r="D6" s="11"/>
      <c r="E6" s="11"/>
      <c r="F6" s="11"/>
      <c r="G6" s="11"/>
      <c r="H6" s="11">
        <f t="shared" ref="H6:H12" si="2">SUM(C6:G6,P6)</f>
        <v>0</v>
      </c>
      <c r="I6" s="11"/>
      <c r="J6" s="11">
        <f>SUM(K6:N6)</f>
        <v>0</v>
      </c>
      <c r="K6" s="11"/>
      <c r="L6" s="11"/>
      <c r="M6" s="11"/>
      <c r="N6" s="11"/>
      <c r="O6" s="11"/>
      <c r="P6" s="33"/>
      <c r="Q6" s="33"/>
      <c r="R6" s="11"/>
      <c r="S6" s="11">
        <v>100</v>
      </c>
      <c r="T6" s="31"/>
      <c r="U6" s="32"/>
      <c r="V6" s="33"/>
      <c r="W6" s="33"/>
    </row>
    <row r="7" spans="1:26" ht="18.75">
      <c r="A7" s="9">
        <v>44474</v>
      </c>
      <c r="B7" s="10" t="s">
        <v>24</v>
      </c>
      <c r="C7" s="11"/>
      <c r="D7" s="11"/>
      <c r="E7" s="11"/>
      <c r="F7" s="11"/>
      <c r="G7" s="11"/>
      <c r="H7" s="11">
        <f t="shared" si="2"/>
        <v>0</v>
      </c>
      <c r="I7" s="11"/>
      <c r="J7" s="11">
        <f t="shared" ref="J7:J12" si="3">SUM(K7:N7)</f>
        <v>0</v>
      </c>
      <c r="K7" s="11"/>
      <c r="L7" s="11"/>
      <c r="M7" s="11"/>
      <c r="N7" s="11"/>
      <c r="O7" s="11"/>
      <c r="P7" s="33"/>
      <c r="Q7" s="33"/>
      <c r="R7" s="11"/>
      <c r="S7" s="11">
        <v>100</v>
      </c>
      <c r="T7" s="31"/>
      <c r="U7" s="32"/>
      <c r="V7" s="33"/>
      <c r="W7" s="33"/>
    </row>
    <row r="8" spans="1:26" ht="18.75">
      <c r="A8" s="9">
        <v>44475</v>
      </c>
      <c r="B8" s="10" t="s">
        <v>25</v>
      </c>
      <c r="C8" s="11"/>
      <c r="D8" s="11"/>
      <c r="E8" s="11"/>
      <c r="F8" s="11"/>
      <c r="G8" s="11"/>
      <c r="H8" s="11">
        <f t="shared" si="2"/>
        <v>0</v>
      </c>
      <c r="I8" s="11"/>
      <c r="J8" s="11">
        <f t="shared" si="3"/>
        <v>0</v>
      </c>
      <c r="K8" s="11"/>
      <c r="L8" s="11"/>
      <c r="M8" s="11"/>
      <c r="N8" s="11"/>
      <c r="O8" s="11"/>
      <c r="P8" s="33"/>
      <c r="Q8" s="33"/>
      <c r="R8" s="11"/>
      <c r="S8" s="11">
        <v>100</v>
      </c>
      <c r="T8" s="31"/>
      <c r="U8" s="32"/>
      <c r="V8" s="33"/>
      <c r="W8" s="33"/>
    </row>
    <row r="9" spans="1:26" ht="18.75">
      <c r="A9" s="9">
        <v>44476</v>
      </c>
      <c r="B9" s="10" t="s">
        <v>26</v>
      </c>
      <c r="C9" s="11"/>
      <c r="D9" s="11"/>
      <c r="E9" s="11"/>
      <c r="F9" s="11"/>
      <c r="G9" s="11"/>
      <c r="H9" s="11">
        <f t="shared" si="2"/>
        <v>0</v>
      </c>
      <c r="I9" s="11"/>
      <c r="J9" s="11">
        <f t="shared" si="3"/>
        <v>0</v>
      </c>
      <c r="K9" s="11"/>
      <c r="L9" s="11"/>
      <c r="M9" s="11"/>
      <c r="N9" s="11"/>
      <c r="O9" s="11"/>
      <c r="P9" s="33"/>
      <c r="Q9" s="33"/>
      <c r="R9" s="11"/>
      <c r="S9" s="11">
        <v>100</v>
      </c>
      <c r="T9" s="31"/>
      <c r="U9" s="32"/>
      <c r="V9" s="33"/>
      <c r="W9" s="33"/>
    </row>
    <row r="10" spans="1:26" ht="18.75">
      <c r="A10" s="9">
        <v>44477</v>
      </c>
      <c r="B10" s="10" t="s">
        <v>20</v>
      </c>
      <c r="C10" s="11"/>
      <c r="D10" s="11"/>
      <c r="E10" s="11"/>
      <c r="F10" s="11"/>
      <c r="G10" s="11"/>
      <c r="H10" s="11">
        <f t="shared" si="2"/>
        <v>0</v>
      </c>
      <c r="I10" s="11"/>
      <c r="J10" s="11">
        <f t="shared" si="3"/>
        <v>0</v>
      </c>
      <c r="K10" s="11"/>
      <c r="L10" s="11"/>
      <c r="M10" s="11"/>
      <c r="N10" s="11"/>
      <c r="O10" s="11"/>
      <c r="P10" s="33"/>
      <c r="Q10" s="33"/>
      <c r="R10" s="11"/>
      <c r="S10" s="11">
        <v>100</v>
      </c>
      <c r="T10" s="31"/>
      <c r="U10" s="32"/>
      <c r="V10" s="33"/>
      <c r="W10" s="33"/>
    </row>
    <row r="11" spans="1:26" ht="18.75">
      <c r="A11" s="9">
        <v>44478</v>
      </c>
      <c r="B11" s="10" t="s">
        <v>21</v>
      </c>
      <c r="C11" s="11"/>
      <c r="D11" s="11"/>
      <c r="E11" s="11"/>
      <c r="F11" s="11"/>
      <c r="G11" s="11"/>
      <c r="H11" s="11">
        <f t="shared" si="2"/>
        <v>0</v>
      </c>
      <c r="I11" s="11"/>
      <c r="J11" s="11">
        <f t="shared" si="3"/>
        <v>0</v>
      </c>
      <c r="K11" s="11"/>
      <c r="L11" s="11"/>
      <c r="M11" s="11"/>
      <c r="N11" s="11"/>
      <c r="O11" s="11"/>
      <c r="P11" s="33"/>
      <c r="Q11" s="33"/>
      <c r="R11" s="11"/>
      <c r="S11" s="11">
        <v>100</v>
      </c>
      <c r="T11" s="31"/>
      <c r="U11" s="32"/>
      <c r="V11" s="33"/>
      <c r="W11" s="33"/>
    </row>
    <row r="12" spans="1:26" ht="18.75">
      <c r="A12" s="9">
        <v>44479</v>
      </c>
      <c r="B12" s="10" t="s">
        <v>22</v>
      </c>
      <c r="C12" s="11"/>
      <c r="D12" s="11"/>
      <c r="E12" s="11"/>
      <c r="F12" s="11"/>
      <c r="G12" s="11"/>
      <c r="H12" s="11">
        <f t="shared" si="2"/>
        <v>0</v>
      </c>
      <c r="I12" s="11"/>
      <c r="J12" s="11">
        <f t="shared" si="3"/>
        <v>0</v>
      </c>
      <c r="K12" s="11"/>
      <c r="L12" s="11"/>
      <c r="M12" s="11"/>
      <c r="N12" s="11"/>
      <c r="O12" s="11"/>
      <c r="P12" s="33"/>
      <c r="Q12" s="33"/>
      <c r="R12" s="11"/>
      <c r="S12" s="11">
        <v>100</v>
      </c>
      <c r="T12" s="31"/>
      <c r="U12" s="32"/>
      <c r="V12" s="33"/>
      <c r="W12" s="33"/>
    </row>
    <row r="13" spans="1:26" ht="37.5">
      <c r="A13" s="14" t="s">
        <v>27</v>
      </c>
      <c r="B13" s="16"/>
      <c r="C13" s="27">
        <f>SUM(C6:C12)</f>
        <v>0</v>
      </c>
      <c r="D13" s="27">
        <f t="shared" ref="D13:V13" si="4">SUM(D6:D12)</f>
        <v>0</v>
      </c>
      <c r="E13" s="27">
        <f t="shared" si="4"/>
        <v>0</v>
      </c>
      <c r="F13" s="27">
        <f t="shared" si="4"/>
        <v>0</v>
      </c>
      <c r="G13" s="27">
        <f t="shared" si="4"/>
        <v>0</v>
      </c>
      <c r="H13" s="27">
        <f t="shared" si="4"/>
        <v>0</v>
      </c>
      <c r="I13" s="27">
        <f t="shared" si="4"/>
        <v>0</v>
      </c>
      <c r="J13" s="27">
        <f t="shared" si="4"/>
        <v>0</v>
      </c>
      <c r="K13" s="27"/>
      <c r="L13" s="27">
        <f t="shared" si="4"/>
        <v>0</v>
      </c>
      <c r="M13" s="27">
        <f t="shared" si="4"/>
        <v>0</v>
      </c>
      <c r="N13" s="27">
        <f t="shared" si="4"/>
        <v>0</v>
      </c>
      <c r="O13" s="27">
        <f t="shared" si="4"/>
        <v>0</v>
      </c>
      <c r="P13" s="27">
        <f t="shared" si="4"/>
        <v>0</v>
      </c>
      <c r="Q13" s="27">
        <f t="shared" si="4"/>
        <v>0</v>
      </c>
      <c r="R13" s="27">
        <f t="shared" si="4"/>
        <v>0</v>
      </c>
      <c r="S13" s="27">
        <f t="shared" si="4"/>
        <v>700</v>
      </c>
      <c r="T13" s="27">
        <f t="shared" si="4"/>
        <v>0</v>
      </c>
      <c r="U13" s="27">
        <f t="shared" si="4"/>
        <v>0</v>
      </c>
      <c r="V13" s="27">
        <f t="shared" si="4"/>
        <v>0</v>
      </c>
      <c r="W13" s="27">
        <f>SUM(W6:W12)</f>
        <v>0</v>
      </c>
      <c r="Z13">
        <v>3086123001053</v>
      </c>
    </row>
    <row r="14" spans="1:26" ht="18.75">
      <c r="A14" s="9">
        <v>44480</v>
      </c>
      <c r="B14" s="10" t="s">
        <v>23</v>
      </c>
      <c r="C14" s="11"/>
      <c r="D14" s="11"/>
      <c r="E14" s="11"/>
      <c r="F14" s="11"/>
      <c r="G14" s="11"/>
      <c r="H14" s="11">
        <f t="shared" ref="H14:H20" si="5">SUM(C14:G14,P14)</f>
        <v>0</v>
      </c>
      <c r="I14" s="11"/>
      <c r="J14" s="11">
        <f>SUM(K14:N14)</f>
        <v>0</v>
      </c>
      <c r="K14" s="11"/>
      <c r="L14" s="11"/>
      <c r="M14" s="11"/>
      <c r="N14" s="11"/>
      <c r="O14" s="11"/>
      <c r="P14" s="33"/>
      <c r="Q14" s="33"/>
      <c r="R14" s="11"/>
      <c r="S14" s="11">
        <v>100</v>
      </c>
      <c r="T14" s="31"/>
      <c r="U14" s="32"/>
      <c r="V14" s="33"/>
      <c r="W14" s="33"/>
      <c r="Z14" s="40">
        <v>1113</v>
      </c>
    </row>
    <row r="15" spans="1:26" ht="18.75">
      <c r="A15" s="9">
        <v>44481</v>
      </c>
      <c r="B15" s="10" t="s">
        <v>24</v>
      </c>
      <c r="C15" s="11"/>
      <c r="D15" s="11"/>
      <c r="E15" s="11"/>
      <c r="F15" s="11"/>
      <c r="G15" s="11"/>
      <c r="H15" s="11">
        <f t="shared" si="5"/>
        <v>0</v>
      </c>
      <c r="I15" s="11"/>
      <c r="J15" s="11">
        <f t="shared" ref="J15:J20" si="6">SUM(K15:N15)</f>
        <v>0</v>
      </c>
      <c r="K15" s="11"/>
      <c r="L15" s="11"/>
      <c r="M15" s="11"/>
      <c r="N15" s="11"/>
      <c r="O15" s="11"/>
      <c r="P15" s="33"/>
      <c r="Q15" s="33"/>
      <c r="R15" s="11"/>
      <c r="S15" s="11">
        <v>100</v>
      </c>
      <c r="T15" s="31"/>
      <c r="U15" s="32"/>
      <c r="V15" s="33"/>
      <c r="W15" s="33"/>
      <c r="Z15">
        <v>1855.5</v>
      </c>
    </row>
    <row r="16" spans="1:26" ht="18.75">
      <c r="A16" s="9">
        <v>44482</v>
      </c>
      <c r="B16" s="10" t="s">
        <v>25</v>
      </c>
      <c r="C16" s="11"/>
      <c r="D16" s="11"/>
      <c r="E16" s="11"/>
      <c r="F16" s="11"/>
      <c r="G16" s="11"/>
      <c r="H16" s="11">
        <f t="shared" si="5"/>
        <v>0</v>
      </c>
      <c r="I16" s="11"/>
      <c r="J16" s="11">
        <f t="shared" si="6"/>
        <v>0</v>
      </c>
      <c r="K16" s="11"/>
      <c r="L16" s="11"/>
      <c r="M16" s="11"/>
      <c r="N16" s="11"/>
      <c r="O16" s="11"/>
      <c r="P16" s="33"/>
      <c r="Q16" s="33"/>
      <c r="R16" s="11"/>
      <c r="S16" s="11">
        <v>100</v>
      </c>
      <c r="T16" s="31"/>
      <c r="U16" s="32"/>
      <c r="V16" s="33"/>
      <c r="W16" s="33"/>
      <c r="Z16">
        <v>2049</v>
      </c>
    </row>
    <row r="17" spans="1:26" ht="18.75">
      <c r="A17" s="9">
        <v>44483</v>
      </c>
      <c r="B17" s="10" t="s">
        <v>26</v>
      </c>
      <c r="C17" s="11"/>
      <c r="D17" s="11"/>
      <c r="E17" s="11"/>
      <c r="F17" s="11"/>
      <c r="G17" s="11"/>
      <c r="H17" s="11">
        <f t="shared" si="5"/>
        <v>0</v>
      </c>
      <c r="I17" s="11"/>
      <c r="J17" s="11">
        <f t="shared" si="6"/>
        <v>0</v>
      </c>
      <c r="K17" s="11"/>
      <c r="L17" s="11"/>
      <c r="M17" s="11"/>
      <c r="N17" s="11"/>
      <c r="O17" s="11"/>
      <c r="P17" s="33"/>
      <c r="Q17" s="33"/>
      <c r="R17" s="11"/>
      <c r="S17" s="11">
        <v>100</v>
      </c>
      <c r="T17" s="31"/>
      <c r="U17" s="32"/>
      <c r="V17" s="33"/>
      <c r="W17" s="33"/>
      <c r="Z17">
        <v>1967</v>
      </c>
    </row>
    <row r="18" spans="1:26" ht="18.75">
      <c r="A18" s="9">
        <v>44484</v>
      </c>
      <c r="B18" s="10" t="s">
        <v>20</v>
      </c>
      <c r="C18" s="11"/>
      <c r="D18" s="11"/>
      <c r="E18" s="11"/>
      <c r="F18" s="11"/>
      <c r="G18" s="11"/>
      <c r="H18" s="11">
        <f t="shared" si="5"/>
        <v>0</v>
      </c>
      <c r="I18" s="11"/>
      <c r="J18" s="11">
        <f t="shared" si="6"/>
        <v>0</v>
      </c>
      <c r="K18" s="11"/>
      <c r="L18" s="11"/>
      <c r="M18" s="11"/>
      <c r="N18" s="11"/>
      <c r="O18" s="11"/>
      <c r="P18" s="33"/>
      <c r="Q18" s="33"/>
      <c r="R18" s="11"/>
      <c r="S18" s="11">
        <v>100</v>
      </c>
      <c r="T18" s="31"/>
      <c r="U18" s="32"/>
      <c r="V18" s="33"/>
      <c r="W18" s="33"/>
      <c r="Z18">
        <v>2471.5</v>
      </c>
    </row>
    <row r="19" spans="1:26" ht="18.75">
      <c r="A19" s="9">
        <v>44485</v>
      </c>
      <c r="B19" s="10" t="s">
        <v>21</v>
      </c>
      <c r="C19" s="11"/>
      <c r="D19" s="11"/>
      <c r="E19" s="11"/>
      <c r="F19" s="11"/>
      <c r="G19" s="11"/>
      <c r="H19" s="11">
        <f t="shared" si="5"/>
        <v>0</v>
      </c>
      <c r="I19" s="11"/>
      <c r="J19" s="11">
        <f t="shared" si="6"/>
        <v>0</v>
      </c>
      <c r="K19" s="11"/>
      <c r="L19" s="11"/>
      <c r="M19" s="11"/>
      <c r="N19" s="11"/>
      <c r="O19" s="11"/>
      <c r="P19" s="33"/>
      <c r="Q19" s="33"/>
      <c r="R19" s="11"/>
      <c r="S19" s="11">
        <v>100</v>
      </c>
      <c r="T19" s="31"/>
      <c r="U19" s="32"/>
      <c r="V19" s="33"/>
      <c r="W19" s="33"/>
      <c r="Z19">
        <v>2277</v>
      </c>
    </row>
    <row r="20" spans="1:26" ht="18.75">
      <c r="A20" s="9">
        <v>44486</v>
      </c>
      <c r="B20" s="10" t="s">
        <v>22</v>
      </c>
      <c r="C20" s="11"/>
      <c r="D20" s="11"/>
      <c r="E20" s="11"/>
      <c r="F20" s="11"/>
      <c r="G20" s="11"/>
      <c r="H20" s="11">
        <f t="shared" si="5"/>
        <v>0</v>
      </c>
      <c r="I20" s="11"/>
      <c r="J20" s="11">
        <f t="shared" si="6"/>
        <v>0</v>
      </c>
      <c r="K20" s="11"/>
      <c r="L20" s="11"/>
      <c r="M20" s="11"/>
      <c r="N20" s="11"/>
      <c r="O20" s="11"/>
      <c r="P20" s="33"/>
      <c r="Q20" s="33"/>
      <c r="R20" s="11"/>
      <c r="S20" s="11">
        <v>100</v>
      </c>
      <c r="T20" s="31"/>
      <c r="U20" s="32"/>
      <c r="V20" s="33"/>
      <c r="W20" s="33"/>
      <c r="Z20">
        <v>460</v>
      </c>
    </row>
    <row r="21" spans="1:26" ht="37.5">
      <c r="A21" s="14" t="s">
        <v>27</v>
      </c>
      <c r="B21" s="16"/>
      <c r="C21" s="27">
        <f t="shared" ref="C21:W21" si="7">SUM(C14:C20)</f>
        <v>0</v>
      </c>
      <c r="D21" s="27">
        <f t="shared" si="7"/>
        <v>0</v>
      </c>
      <c r="E21" s="27">
        <f t="shared" si="7"/>
        <v>0</v>
      </c>
      <c r="F21" s="27">
        <f t="shared" si="7"/>
        <v>0</v>
      </c>
      <c r="G21" s="27">
        <f t="shared" si="7"/>
        <v>0</v>
      </c>
      <c r="H21" s="27">
        <f t="shared" si="7"/>
        <v>0</v>
      </c>
      <c r="I21" s="27">
        <f t="shared" si="7"/>
        <v>0</v>
      </c>
      <c r="J21" s="27">
        <f t="shared" si="7"/>
        <v>0</v>
      </c>
      <c r="K21" s="27"/>
      <c r="L21" s="27">
        <f t="shared" si="7"/>
        <v>0</v>
      </c>
      <c r="M21" s="27">
        <f t="shared" si="7"/>
        <v>0</v>
      </c>
      <c r="N21" s="27">
        <f t="shared" si="7"/>
        <v>0</v>
      </c>
      <c r="O21" s="27">
        <f t="shared" si="7"/>
        <v>0</v>
      </c>
      <c r="P21" s="27">
        <f t="shared" si="7"/>
        <v>0</v>
      </c>
      <c r="Q21" s="27">
        <f t="shared" si="7"/>
        <v>0</v>
      </c>
      <c r="R21" s="27">
        <f t="shared" si="7"/>
        <v>0</v>
      </c>
      <c r="S21" s="27">
        <f t="shared" si="7"/>
        <v>700</v>
      </c>
      <c r="T21" s="27">
        <f t="shared" si="7"/>
        <v>0</v>
      </c>
      <c r="U21" s="27">
        <f t="shared" si="7"/>
        <v>0</v>
      </c>
      <c r="V21" s="27">
        <f t="shared" si="7"/>
        <v>0</v>
      </c>
      <c r="W21" s="27">
        <f t="shared" si="7"/>
        <v>0</v>
      </c>
      <c r="X21" s="37"/>
    </row>
    <row r="22" spans="1:26" s="35" customFormat="1" ht="18.75">
      <c r="A22" s="9">
        <v>44487</v>
      </c>
      <c r="B22" s="10" t="s">
        <v>23</v>
      </c>
      <c r="C22" s="11">
        <v>4515.3900000000003</v>
      </c>
      <c r="D22" s="11">
        <v>2367.84</v>
      </c>
      <c r="E22" s="11">
        <v>1.5</v>
      </c>
      <c r="F22" s="11">
        <v>18</v>
      </c>
      <c r="G22" s="11">
        <v>1300</v>
      </c>
      <c r="H22" s="11">
        <f t="shared" ref="H22:H28" si="8">SUM(C22:G22,P22)</f>
        <v>8232.73</v>
      </c>
      <c r="I22" s="11">
        <v>1812.16</v>
      </c>
      <c r="J22" s="11">
        <f t="shared" ref="J22:J28" si="9">SUM(K22:N22)</f>
        <v>5036.37</v>
      </c>
      <c r="K22" s="11">
        <f>5036.37-203</f>
        <v>4833.37</v>
      </c>
      <c r="L22" s="11">
        <v>0</v>
      </c>
      <c r="M22" s="11">
        <v>203</v>
      </c>
      <c r="N22" s="11">
        <v>0</v>
      </c>
      <c r="O22" s="11">
        <v>103.04</v>
      </c>
      <c r="P22" s="33">
        <v>30</v>
      </c>
      <c r="Q22" s="33">
        <v>0</v>
      </c>
      <c r="R22" s="11">
        <v>1680.8</v>
      </c>
      <c r="S22" s="11">
        <v>100</v>
      </c>
      <c r="T22" s="31">
        <f t="shared" ref="T22:T28" si="10">SUM(O22,P22,Q22,R22)-I22</f>
        <v>1.6799999999998363</v>
      </c>
      <c r="U22" s="32">
        <f t="shared" ref="U22:U28" si="11">SUM(I22+J22+W22)-(H22)</f>
        <v>-134.19999999999982</v>
      </c>
      <c r="V22" s="33">
        <f t="shared" ref="V22:V28" si="12">SUM(G22-W22)</f>
        <v>50</v>
      </c>
      <c r="W22" s="33">
        <v>1250</v>
      </c>
      <c r="X22" s="38"/>
      <c r="Y22" s="39"/>
    </row>
    <row r="23" spans="1:26" s="35" customFormat="1" ht="18.75">
      <c r="A23" s="9">
        <v>44488</v>
      </c>
      <c r="B23" s="10" t="s">
        <v>24</v>
      </c>
      <c r="C23" s="11">
        <v>5109.21</v>
      </c>
      <c r="D23" s="11">
        <v>2261.58</v>
      </c>
      <c r="E23" s="11">
        <v>12.5</v>
      </c>
      <c r="F23" s="11">
        <v>26</v>
      </c>
      <c r="G23" s="11">
        <v>232.8</v>
      </c>
      <c r="H23" s="11">
        <f t="shared" si="8"/>
        <v>7707.09</v>
      </c>
      <c r="I23" s="11">
        <v>1856.41</v>
      </c>
      <c r="J23" s="11">
        <f t="shared" si="9"/>
        <v>5737.88</v>
      </c>
      <c r="K23" s="11">
        <f>5737.88-(371.57+63.97)</f>
        <v>5302.34</v>
      </c>
      <c r="L23" s="11">
        <v>0</v>
      </c>
      <c r="M23" s="11">
        <v>371.57</v>
      </c>
      <c r="N23" s="11">
        <v>63.97</v>
      </c>
      <c r="O23" s="11">
        <v>541.46</v>
      </c>
      <c r="P23" s="33">
        <v>65</v>
      </c>
      <c r="Q23" s="33">
        <v>6</v>
      </c>
      <c r="R23" s="11">
        <v>1238.27</v>
      </c>
      <c r="S23" s="11">
        <v>100</v>
      </c>
      <c r="T23" s="31">
        <f t="shared" si="10"/>
        <v>-5.6800000000000637</v>
      </c>
      <c r="U23" s="32">
        <f t="shared" si="11"/>
        <v>-112.80000000000018</v>
      </c>
      <c r="V23" s="33">
        <f t="shared" si="12"/>
        <v>232.8</v>
      </c>
      <c r="W23" s="33"/>
      <c r="X23" s="38"/>
      <c r="Y23" s="39"/>
    </row>
    <row r="24" spans="1:26" s="35" customFormat="1" ht="18.75">
      <c r="A24" s="9">
        <v>44489</v>
      </c>
      <c r="B24" s="10" t="s">
        <v>25</v>
      </c>
      <c r="C24" s="11">
        <v>5546.03</v>
      </c>
      <c r="D24" s="11">
        <v>2549.9</v>
      </c>
      <c r="E24" s="11">
        <v>13</v>
      </c>
      <c r="F24" s="11">
        <v>18</v>
      </c>
      <c r="G24" s="11">
        <v>27</v>
      </c>
      <c r="H24" s="11">
        <f t="shared" si="8"/>
        <v>8223.93</v>
      </c>
      <c r="I24" s="11">
        <v>1796.7</v>
      </c>
      <c r="J24" s="11">
        <f t="shared" si="9"/>
        <v>6400.23</v>
      </c>
      <c r="K24" s="11">
        <f>6400.23-(335.63+169.71)</f>
        <v>5894.8899999999994</v>
      </c>
      <c r="L24" s="11">
        <v>0</v>
      </c>
      <c r="M24" s="11">
        <v>335.63</v>
      </c>
      <c r="N24" s="11">
        <v>169.71</v>
      </c>
      <c r="O24" s="11">
        <v>389.45</v>
      </c>
      <c r="P24" s="33">
        <v>70</v>
      </c>
      <c r="Q24" s="33">
        <v>5</v>
      </c>
      <c r="R24" s="11">
        <v>1363.64</v>
      </c>
      <c r="S24" s="11">
        <v>100</v>
      </c>
      <c r="T24" s="31">
        <f t="shared" si="10"/>
        <v>31.3900000000001</v>
      </c>
      <c r="U24" s="32">
        <f t="shared" si="11"/>
        <v>-27</v>
      </c>
      <c r="V24" s="33">
        <f t="shared" si="12"/>
        <v>27</v>
      </c>
      <c r="W24" s="33"/>
      <c r="X24" s="38"/>
      <c r="Y24" s="39"/>
    </row>
    <row r="25" spans="1:26" s="35" customFormat="1" ht="18.75">
      <c r="A25" s="9">
        <v>44490</v>
      </c>
      <c r="B25" s="10" t="s">
        <v>26</v>
      </c>
      <c r="C25" s="11">
        <v>5345.13</v>
      </c>
      <c r="D25" s="11">
        <v>2414.17</v>
      </c>
      <c r="E25" s="11">
        <v>3</v>
      </c>
      <c r="F25" s="11">
        <v>19</v>
      </c>
      <c r="G25" s="11">
        <v>120</v>
      </c>
      <c r="H25" s="11">
        <f t="shared" si="8"/>
        <v>7951.31</v>
      </c>
      <c r="I25" s="11">
        <v>1791.34</v>
      </c>
      <c r="J25" s="11">
        <f t="shared" si="9"/>
        <v>6119.9700000000012</v>
      </c>
      <c r="K25" s="11">
        <f>6119.97-(363.51+45.43+41.43)</f>
        <v>5669.6</v>
      </c>
      <c r="L25" s="11">
        <v>41.43</v>
      </c>
      <c r="M25" s="11">
        <v>363.51</v>
      </c>
      <c r="N25" s="11">
        <v>45.43</v>
      </c>
      <c r="O25" s="11">
        <v>0</v>
      </c>
      <c r="P25" s="33">
        <v>50.01</v>
      </c>
      <c r="Q25" s="33">
        <v>0</v>
      </c>
      <c r="R25" s="11">
        <v>1746.35</v>
      </c>
      <c r="S25" s="11">
        <v>100</v>
      </c>
      <c r="T25" s="31">
        <f t="shared" si="10"/>
        <v>5.0199999999999818</v>
      </c>
      <c r="U25" s="32">
        <f t="shared" si="11"/>
        <v>-39.999999999999091</v>
      </c>
      <c r="V25" s="33">
        <f t="shared" si="12"/>
        <v>120</v>
      </c>
      <c r="W25" s="33"/>
      <c r="X25" s="38"/>
      <c r="Y25" s="39"/>
    </row>
    <row r="26" spans="1:26" s="35" customFormat="1" ht="18.75">
      <c r="A26" s="9">
        <v>44491</v>
      </c>
      <c r="B26" s="10" t="s">
        <v>20</v>
      </c>
      <c r="C26" s="11">
        <v>6566.99</v>
      </c>
      <c r="D26" s="11">
        <v>3922.56</v>
      </c>
      <c r="E26" s="11">
        <v>7</v>
      </c>
      <c r="F26" s="11">
        <v>54</v>
      </c>
      <c r="G26" s="11">
        <v>208.96</v>
      </c>
      <c r="H26" s="11">
        <f t="shared" si="8"/>
        <v>10919.499999999998</v>
      </c>
      <c r="I26" s="43">
        <v>2561.65</v>
      </c>
      <c r="J26" s="11">
        <f t="shared" si="9"/>
        <v>8182.71</v>
      </c>
      <c r="K26" s="11">
        <f>8182.71-(48.99+10)</f>
        <v>8123.72</v>
      </c>
      <c r="L26" s="11">
        <v>10</v>
      </c>
      <c r="M26" s="11">
        <v>48.99</v>
      </c>
      <c r="N26" s="11">
        <v>0</v>
      </c>
      <c r="O26" s="11">
        <v>0</v>
      </c>
      <c r="P26" s="33">
        <v>159.99</v>
      </c>
      <c r="Q26" s="33">
        <v>15</v>
      </c>
      <c r="R26" s="11">
        <v>2323.1</v>
      </c>
      <c r="S26" s="11">
        <v>100</v>
      </c>
      <c r="T26" s="31">
        <f t="shared" si="10"/>
        <v>-63.559999999999945</v>
      </c>
      <c r="U26" s="32">
        <f t="shared" si="11"/>
        <v>-175.1399999999976</v>
      </c>
      <c r="V26" s="33">
        <f t="shared" si="12"/>
        <v>208.96</v>
      </c>
      <c r="W26" s="33"/>
      <c r="X26" s="38"/>
      <c r="Y26" s="39"/>
    </row>
    <row r="27" spans="1:26" s="35" customFormat="1" ht="18.75">
      <c r="A27" s="9">
        <v>44492</v>
      </c>
      <c r="B27" s="10" t="s">
        <v>21</v>
      </c>
      <c r="C27" s="11">
        <v>6179.5</v>
      </c>
      <c r="D27" s="11">
        <v>3769.15</v>
      </c>
      <c r="E27" s="11">
        <v>10</v>
      </c>
      <c r="F27" s="11">
        <v>33</v>
      </c>
      <c r="G27" s="11">
        <v>48</v>
      </c>
      <c r="H27" s="11">
        <f t="shared" si="8"/>
        <v>10193.469999999999</v>
      </c>
      <c r="I27" s="11">
        <v>2407.5100000000002</v>
      </c>
      <c r="J27" s="11">
        <f t="shared" si="9"/>
        <v>8587.01</v>
      </c>
      <c r="K27" s="11">
        <f>8587.01</f>
        <v>8587.01</v>
      </c>
      <c r="L27" s="11">
        <v>0</v>
      </c>
      <c r="M27" s="11">
        <v>0</v>
      </c>
      <c r="N27" s="11">
        <v>0</v>
      </c>
      <c r="O27" s="11">
        <v>0</v>
      </c>
      <c r="P27" s="33">
        <v>153.82</v>
      </c>
      <c r="Q27" s="33">
        <v>10</v>
      </c>
      <c r="R27" s="11">
        <v>2296.3000000000002</v>
      </c>
      <c r="S27" s="11">
        <v>100</v>
      </c>
      <c r="T27" s="31">
        <f t="shared" si="10"/>
        <v>52.610000000000127</v>
      </c>
      <c r="U27" s="32">
        <f t="shared" si="11"/>
        <v>801.05000000000109</v>
      </c>
      <c r="V27" s="33">
        <f t="shared" si="12"/>
        <v>48</v>
      </c>
      <c r="W27" s="33"/>
      <c r="X27" s="38"/>
      <c r="Y27" s="39"/>
    </row>
    <row r="28" spans="1:26" s="35" customFormat="1" ht="18.75">
      <c r="A28" s="9">
        <v>44493</v>
      </c>
      <c r="B28" s="10" t="s">
        <v>22</v>
      </c>
      <c r="C28" s="11">
        <v>4307.3900000000003</v>
      </c>
      <c r="D28" s="11">
        <v>2606.06</v>
      </c>
      <c r="E28" s="11">
        <v>0</v>
      </c>
      <c r="F28" s="11">
        <v>30</v>
      </c>
      <c r="G28" s="11">
        <v>87.44</v>
      </c>
      <c r="H28" s="11">
        <f t="shared" si="8"/>
        <v>7045.89</v>
      </c>
      <c r="I28" s="11">
        <v>1920.98</v>
      </c>
      <c r="J28" s="11">
        <f t="shared" si="9"/>
        <v>5047.47</v>
      </c>
      <c r="K28" s="11">
        <f>5047.47-(59.33+70.42+72.08)</f>
        <v>4845.6400000000003</v>
      </c>
      <c r="L28" s="11">
        <v>72.08</v>
      </c>
      <c r="M28" s="11">
        <v>59.33</v>
      </c>
      <c r="N28" s="11">
        <v>70.42</v>
      </c>
      <c r="O28" s="11">
        <v>0</v>
      </c>
      <c r="P28" s="33">
        <v>15</v>
      </c>
      <c r="Q28" s="33">
        <v>0</v>
      </c>
      <c r="R28" s="11">
        <v>1896.66</v>
      </c>
      <c r="S28" s="11">
        <v>100</v>
      </c>
      <c r="T28" s="31">
        <f t="shared" si="10"/>
        <v>-9.3199999999999363</v>
      </c>
      <c r="U28" s="32">
        <f t="shared" si="11"/>
        <v>-77.4399999999996</v>
      </c>
      <c r="V28" s="33">
        <f t="shared" si="12"/>
        <v>87.44</v>
      </c>
      <c r="W28" s="33"/>
      <c r="X28" s="38"/>
      <c r="Y28" s="39"/>
    </row>
    <row r="29" spans="1:26" ht="37.5">
      <c r="A29" s="14" t="s">
        <v>27</v>
      </c>
      <c r="B29" s="16"/>
      <c r="C29" s="27">
        <f t="shared" ref="C29:W29" si="13">SUM(C22:C28)</f>
        <v>37569.64</v>
      </c>
      <c r="D29" s="27">
        <f t="shared" si="13"/>
        <v>19891.260000000002</v>
      </c>
      <c r="E29" s="27">
        <f t="shared" si="13"/>
        <v>47</v>
      </c>
      <c r="F29" s="27">
        <f t="shared" si="13"/>
        <v>198</v>
      </c>
      <c r="G29" s="27">
        <f t="shared" si="13"/>
        <v>2024.2</v>
      </c>
      <c r="H29" s="27">
        <f t="shared" si="13"/>
        <v>60273.919999999998</v>
      </c>
      <c r="I29" s="27">
        <f t="shared" si="13"/>
        <v>14146.75</v>
      </c>
      <c r="J29" s="27">
        <f t="shared" si="13"/>
        <v>45111.64</v>
      </c>
      <c r="K29" s="27">
        <f t="shared" si="13"/>
        <v>43256.57</v>
      </c>
      <c r="L29" s="27">
        <f t="shared" si="13"/>
        <v>123.50999999999999</v>
      </c>
      <c r="M29" s="27">
        <f t="shared" si="13"/>
        <v>1382.03</v>
      </c>
      <c r="N29" s="27">
        <f t="shared" si="13"/>
        <v>349.53000000000003</v>
      </c>
      <c r="O29" s="27">
        <f t="shared" si="13"/>
        <v>1033.95</v>
      </c>
      <c r="P29" s="27">
        <f t="shared" si="13"/>
        <v>543.81999999999994</v>
      </c>
      <c r="Q29" s="27">
        <f t="shared" si="13"/>
        <v>36</v>
      </c>
      <c r="R29" s="27">
        <f t="shared" si="13"/>
        <v>12545.119999999999</v>
      </c>
      <c r="S29" s="27">
        <f t="shared" si="13"/>
        <v>700</v>
      </c>
      <c r="T29" s="27">
        <f t="shared" si="13"/>
        <v>12.1400000000001</v>
      </c>
      <c r="U29" s="27">
        <f t="shared" si="13"/>
        <v>234.4700000000048</v>
      </c>
      <c r="V29" s="27">
        <f t="shared" si="13"/>
        <v>774.2</v>
      </c>
      <c r="W29" s="27">
        <f t="shared" si="13"/>
        <v>1250</v>
      </c>
      <c r="X29" s="37"/>
    </row>
    <row r="30" spans="1:26" s="35" customFormat="1" ht="18.75">
      <c r="A30" s="9">
        <v>44494</v>
      </c>
      <c r="B30" s="10" t="s">
        <v>23</v>
      </c>
      <c r="C30" s="11">
        <v>5571.34</v>
      </c>
      <c r="D30" s="11">
        <v>2361.4699999999998</v>
      </c>
      <c r="E30" s="11">
        <v>0</v>
      </c>
      <c r="F30" s="11">
        <v>20</v>
      </c>
      <c r="G30" s="11">
        <v>146</v>
      </c>
      <c r="H30" s="11">
        <f t="shared" ref="H30:H36" si="14">SUM(C30:G30,P30)</f>
        <v>8198.81</v>
      </c>
      <c r="I30" s="11">
        <f>1897.08</f>
        <v>1897.08</v>
      </c>
      <c r="J30" s="11">
        <f>SUM(K30:N30)</f>
        <v>6200.73</v>
      </c>
      <c r="K30" s="11">
        <f>6200.73-(131.55)</f>
        <v>6069.1799999999994</v>
      </c>
      <c r="L30" s="11">
        <v>0</v>
      </c>
      <c r="M30" s="11">
        <v>131.55000000000001</v>
      </c>
      <c r="N30" s="11">
        <v>0</v>
      </c>
      <c r="O30" s="11">
        <f>(120.23+74.25)-5</f>
        <v>189.48000000000002</v>
      </c>
      <c r="P30" s="33">
        <v>100</v>
      </c>
      <c r="Q30" s="33">
        <v>5</v>
      </c>
      <c r="R30" s="11">
        <v>2035.96</v>
      </c>
      <c r="S30" s="11">
        <v>100</v>
      </c>
      <c r="T30" s="31">
        <f t="shared" ref="T30:T31" si="15">SUM(O30,P30,Q30,R30)-I30</f>
        <v>433.36000000000013</v>
      </c>
      <c r="U30" s="32">
        <f>SUM(I30+J30+W30)-(H30)</f>
        <v>5</v>
      </c>
      <c r="V30" s="33">
        <f t="shared" ref="V30:V31" si="16">SUM(G30-W30)</f>
        <v>40</v>
      </c>
      <c r="W30" s="33">
        <v>106</v>
      </c>
      <c r="X30" s="38"/>
      <c r="Y30" s="39"/>
    </row>
    <row r="31" spans="1:26" s="35" customFormat="1" ht="18.75">
      <c r="A31" s="9">
        <v>44495</v>
      </c>
      <c r="B31" s="10" t="s">
        <v>24</v>
      </c>
      <c r="C31" s="11">
        <f>81.19+4765.67</f>
        <v>4846.8599999999997</v>
      </c>
      <c r="D31" s="11">
        <v>2479.1799999999998</v>
      </c>
      <c r="E31" s="11">
        <v>5</v>
      </c>
      <c r="F31" s="11">
        <v>39</v>
      </c>
      <c r="G31" s="11">
        <v>160</v>
      </c>
      <c r="H31" s="11">
        <f t="shared" si="14"/>
        <v>7537.0399999999991</v>
      </c>
      <c r="I31" s="11">
        <v>1968.89</v>
      </c>
      <c r="J31" s="11">
        <f t="shared" ref="J31:J36" si="17">SUM(K31:N31)</f>
        <v>5508.15</v>
      </c>
      <c r="K31" s="11">
        <v>5369.41</v>
      </c>
      <c r="L31" s="11">
        <v>0</v>
      </c>
      <c r="M31" s="11">
        <v>57.55</v>
      </c>
      <c r="N31" s="11">
        <v>81.19</v>
      </c>
      <c r="O31" s="11">
        <v>0</v>
      </c>
      <c r="P31" s="33">
        <v>7</v>
      </c>
      <c r="Q31" s="33">
        <v>4</v>
      </c>
      <c r="R31" s="11">
        <v>1520.4</v>
      </c>
      <c r="S31" s="11">
        <v>100</v>
      </c>
      <c r="T31" s="31">
        <f t="shared" si="15"/>
        <v>-437.49</v>
      </c>
      <c r="U31" s="32">
        <f>SUM(I31+J31+W31)-(H31)</f>
        <v>0</v>
      </c>
      <c r="V31" s="33">
        <f t="shared" si="16"/>
        <v>100</v>
      </c>
      <c r="W31" s="33">
        <v>60</v>
      </c>
      <c r="X31" s="38"/>
      <c r="Y31" s="39"/>
    </row>
    <row r="32" spans="1:26" s="35" customFormat="1" ht="18.75">
      <c r="A32" s="9">
        <v>44496</v>
      </c>
      <c r="B32" s="10" t="s">
        <v>25</v>
      </c>
      <c r="C32" s="11">
        <v>4961.32</v>
      </c>
      <c r="D32" s="11">
        <v>2713.65</v>
      </c>
      <c r="E32" s="11">
        <v>4</v>
      </c>
      <c r="F32" s="11">
        <v>49</v>
      </c>
      <c r="G32" s="11">
        <v>140</v>
      </c>
      <c r="H32" s="11">
        <f t="shared" si="14"/>
        <v>7867.9699999999993</v>
      </c>
      <c r="I32" s="11">
        <f>1964.48-8.4</f>
        <v>1956.08</v>
      </c>
      <c r="J32" s="11">
        <f t="shared" si="17"/>
        <v>5831.8899999999994</v>
      </c>
      <c r="K32" s="11">
        <v>5785.71</v>
      </c>
      <c r="L32" s="11">
        <v>0</v>
      </c>
      <c r="M32" s="11">
        <v>26.11</v>
      </c>
      <c r="N32" s="11">
        <v>20.07</v>
      </c>
      <c r="O32" s="11">
        <f>40+154.18</f>
        <v>194.18</v>
      </c>
      <c r="P32" s="33">
        <v>0</v>
      </c>
      <c r="Q32" s="33">
        <v>0</v>
      </c>
      <c r="R32" s="11">
        <v>1764.19</v>
      </c>
      <c r="S32" s="11">
        <v>100</v>
      </c>
      <c r="T32" s="31">
        <f t="shared" ref="T32:T36" si="18">SUM(O32,P32,Q32,R32)-I32</f>
        <v>2.290000000000191</v>
      </c>
      <c r="U32" s="32">
        <f t="shared" ref="U32:U36" si="19">SUM(I32+J32+W32)-(H32)</f>
        <v>0</v>
      </c>
      <c r="V32" s="33">
        <f t="shared" ref="V32:V36" si="20">SUM(G32-W32)</f>
        <v>60</v>
      </c>
      <c r="W32" s="33">
        <v>80</v>
      </c>
      <c r="X32" s="38"/>
      <c r="Y32" s="39"/>
    </row>
    <row r="33" spans="1:25" s="35" customFormat="1" ht="18.75">
      <c r="A33" s="9">
        <v>44497</v>
      </c>
      <c r="B33" s="10" t="s">
        <v>26</v>
      </c>
      <c r="C33" s="11">
        <v>5053.33</v>
      </c>
      <c r="D33" s="11">
        <v>2417.0100000000002</v>
      </c>
      <c r="E33" s="11">
        <v>4</v>
      </c>
      <c r="F33" s="11">
        <v>38</v>
      </c>
      <c r="G33" s="11">
        <v>220.44</v>
      </c>
      <c r="H33" s="11">
        <f t="shared" si="14"/>
        <v>7732.78</v>
      </c>
      <c r="I33" s="11">
        <v>2024.5</v>
      </c>
      <c r="J33" s="11">
        <v>5648.28</v>
      </c>
      <c r="K33" s="11">
        <v>5443.13</v>
      </c>
      <c r="L33" s="11">
        <v>0</v>
      </c>
      <c r="M33" s="11">
        <v>114.37</v>
      </c>
      <c r="N33" s="11">
        <v>90.78</v>
      </c>
      <c r="O33" s="11">
        <v>263.77999999999997</v>
      </c>
      <c r="P33" s="33">
        <v>0</v>
      </c>
      <c r="Q33" s="33">
        <v>30</v>
      </c>
      <c r="R33" s="11">
        <v>1722.23</v>
      </c>
      <c r="S33" s="11">
        <v>100</v>
      </c>
      <c r="T33" s="31">
        <f t="shared" si="18"/>
        <v>-8.4900000000000091</v>
      </c>
      <c r="U33" s="32">
        <f t="shared" si="19"/>
        <v>0</v>
      </c>
      <c r="V33" s="33">
        <f t="shared" si="20"/>
        <v>160.44</v>
      </c>
      <c r="W33" s="33">
        <v>60</v>
      </c>
      <c r="X33" s="38"/>
      <c r="Y33" s="39"/>
    </row>
    <row r="34" spans="1:25" s="35" customFormat="1" ht="18.75">
      <c r="A34" s="9">
        <v>44498</v>
      </c>
      <c r="B34" s="10" t="s">
        <v>20</v>
      </c>
      <c r="C34" s="11">
        <v>5650.12</v>
      </c>
      <c r="D34" s="11">
        <v>4228.24</v>
      </c>
      <c r="E34" s="11">
        <v>38</v>
      </c>
      <c r="F34" s="11">
        <v>49</v>
      </c>
      <c r="G34" s="11">
        <v>160</v>
      </c>
      <c r="H34" s="11">
        <f t="shared" si="14"/>
        <v>10396.36</v>
      </c>
      <c r="I34" s="11">
        <v>2380.14</v>
      </c>
      <c r="J34" s="11">
        <v>7946.22</v>
      </c>
      <c r="K34" s="11">
        <v>7946.22</v>
      </c>
      <c r="L34" s="11">
        <v>0</v>
      </c>
      <c r="M34" s="11">
        <v>0</v>
      </c>
      <c r="N34" s="11">
        <v>0</v>
      </c>
      <c r="O34" s="11">
        <v>0</v>
      </c>
      <c r="P34" s="33">
        <v>271</v>
      </c>
      <c r="Q34" s="33">
        <v>21</v>
      </c>
      <c r="R34" s="11">
        <v>2094.52</v>
      </c>
      <c r="S34" s="11">
        <v>100</v>
      </c>
      <c r="T34" s="31">
        <f t="shared" si="18"/>
        <v>6.3800000000001091</v>
      </c>
      <c r="U34" s="32">
        <f t="shared" si="19"/>
        <v>0</v>
      </c>
      <c r="V34" s="33">
        <f t="shared" si="20"/>
        <v>90</v>
      </c>
      <c r="W34" s="33">
        <v>70</v>
      </c>
      <c r="X34" s="38"/>
      <c r="Y34" s="39"/>
    </row>
    <row r="35" spans="1:25" s="35" customFormat="1" ht="18.75">
      <c r="A35" s="9">
        <v>44499</v>
      </c>
      <c r="B35" s="10" t="s">
        <v>21</v>
      </c>
      <c r="C35" s="11">
        <f>4496.7</f>
        <v>4496.7</v>
      </c>
      <c r="D35" s="11">
        <v>4053.04</v>
      </c>
      <c r="E35" s="11">
        <v>6</v>
      </c>
      <c r="F35" s="11">
        <v>46</v>
      </c>
      <c r="G35" s="11">
        <v>116.5</v>
      </c>
      <c r="H35" s="11">
        <f t="shared" si="14"/>
        <v>9103.24</v>
      </c>
      <c r="I35" s="11">
        <f>1776.59-13.7</f>
        <v>1762.8899999999999</v>
      </c>
      <c r="J35" s="11">
        <v>7198.36</v>
      </c>
      <c r="K35" s="11">
        <v>7151.35</v>
      </c>
      <c r="L35" s="11">
        <v>47.01</v>
      </c>
      <c r="M35" s="11">
        <v>0</v>
      </c>
      <c r="N35" s="11">
        <v>0</v>
      </c>
      <c r="O35" s="11">
        <v>0</v>
      </c>
      <c r="P35" s="33">
        <v>385</v>
      </c>
      <c r="Q35" s="33">
        <v>20</v>
      </c>
      <c r="R35" s="11">
        <v>1350.83</v>
      </c>
      <c r="S35" s="11">
        <v>100</v>
      </c>
      <c r="T35" s="31">
        <f t="shared" si="18"/>
        <v>-7.0599999999999454</v>
      </c>
      <c r="U35" s="32">
        <f t="shared" si="19"/>
        <v>-71.989999999999782</v>
      </c>
      <c r="V35" s="33">
        <f t="shared" si="20"/>
        <v>46.5</v>
      </c>
      <c r="W35" s="33">
        <v>70</v>
      </c>
      <c r="X35" s="38" t="s">
        <v>45</v>
      </c>
      <c r="Y35" s="39"/>
    </row>
    <row r="36" spans="1:25" s="35" customFormat="1" ht="18.75">
      <c r="A36" s="9">
        <v>44500</v>
      </c>
      <c r="B36" s="10" t="s">
        <v>22</v>
      </c>
      <c r="C36" s="11">
        <v>4669.29</v>
      </c>
      <c r="D36" s="11">
        <v>3254.37</v>
      </c>
      <c r="E36" s="11">
        <v>0</v>
      </c>
      <c r="F36" s="11">
        <v>33</v>
      </c>
      <c r="G36" s="11">
        <v>40</v>
      </c>
      <c r="H36" s="11">
        <f t="shared" si="14"/>
        <v>8172.46</v>
      </c>
      <c r="I36" s="11">
        <v>2129.27</v>
      </c>
      <c r="J36" s="11">
        <f t="shared" si="17"/>
        <v>6013.2499999999991</v>
      </c>
      <c r="K36" s="11">
        <f>6013.19-(61.15+161.23)</f>
        <v>5790.8099999999995</v>
      </c>
      <c r="L36" s="11">
        <v>0</v>
      </c>
      <c r="M36" s="11">
        <v>61.15</v>
      </c>
      <c r="N36" s="11">
        <v>161.29</v>
      </c>
      <c r="O36" s="11">
        <v>0</v>
      </c>
      <c r="P36" s="33">
        <v>175.8</v>
      </c>
      <c r="Q36" s="33">
        <v>2</v>
      </c>
      <c r="R36" s="11">
        <v>1941.72</v>
      </c>
      <c r="S36" s="11">
        <v>100</v>
      </c>
      <c r="T36" s="31">
        <f t="shared" si="18"/>
        <v>-9.75</v>
      </c>
      <c r="U36" s="32">
        <f t="shared" si="19"/>
        <v>-29.940000000001419</v>
      </c>
      <c r="V36" s="33">
        <f t="shared" si="20"/>
        <v>40</v>
      </c>
      <c r="W36" s="33"/>
      <c r="X36" s="38"/>
      <c r="Y36" s="39"/>
    </row>
    <row r="37" spans="1:25" ht="37.5">
      <c r="A37" s="14" t="s">
        <v>27</v>
      </c>
      <c r="B37" s="16"/>
      <c r="C37" s="27">
        <f t="shared" ref="C37:W37" si="21">SUM(C30:C36)</f>
        <v>35248.959999999999</v>
      </c>
      <c r="D37" s="27">
        <f t="shared" si="21"/>
        <v>21506.959999999999</v>
      </c>
      <c r="E37" s="27">
        <f t="shared" si="21"/>
        <v>57</v>
      </c>
      <c r="F37" s="27">
        <f t="shared" si="21"/>
        <v>274</v>
      </c>
      <c r="G37" s="27">
        <f t="shared" si="21"/>
        <v>982.94</v>
      </c>
      <c r="H37" s="27">
        <f t="shared" si="21"/>
        <v>59008.659999999996</v>
      </c>
      <c r="I37" s="27">
        <f t="shared" si="21"/>
        <v>14118.85</v>
      </c>
      <c r="J37" s="27">
        <f t="shared" si="21"/>
        <v>44346.879999999997</v>
      </c>
      <c r="K37" s="27">
        <f t="shared" ref="K37" si="22">SUM(K30:K36)</f>
        <v>43555.81</v>
      </c>
      <c r="L37" s="27">
        <f t="shared" si="21"/>
        <v>47.01</v>
      </c>
      <c r="M37" s="27">
        <f t="shared" si="21"/>
        <v>390.73</v>
      </c>
      <c r="N37" s="27">
        <f t="shared" si="21"/>
        <v>353.33</v>
      </c>
      <c r="O37" s="27">
        <f t="shared" si="21"/>
        <v>647.44000000000005</v>
      </c>
      <c r="P37" s="27">
        <f t="shared" si="21"/>
        <v>938.8</v>
      </c>
      <c r="Q37" s="27">
        <f t="shared" si="21"/>
        <v>82</v>
      </c>
      <c r="R37" s="27">
        <f t="shared" si="21"/>
        <v>12429.85</v>
      </c>
      <c r="S37" s="27">
        <f t="shared" si="21"/>
        <v>700</v>
      </c>
      <c r="T37" s="27">
        <f t="shared" si="21"/>
        <v>-20.759999999999536</v>
      </c>
      <c r="U37" s="27">
        <f t="shared" si="21"/>
        <v>-96.930000000001201</v>
      </c>
      <c r="V37" s="27">
        <f t="shared" si="21"/>
        <v>536.94000000000005</v>
      </c>
      <c r="W37" s="27">
        <f t="shared" si="21"/>
        <v>446</v>
      </c>
      <c r="X37" s="37"/>
    </row>
    <row r="38" spans="1:25" ht="51.75" customHeight="1">
      <c r="A38" s="24" t="s">
        <v>17</v>
      </c>
      <c r="B38" s="25"/>
      <c r="C38" s="30">
        <f t="shared" ref="C38:K38" si="23">SUM(C5,C13,C21,C29,C30:C36)</f>
        <v>72818.599999999991</v>
      </c>
      <c r="D38" s="30">
        <f t="shared" si="23"/>
        <v>41398.220000000008</v>
      </c>
      <c r="E38" s="30">
        <f t="shared" si="23"/>
        <v>104</v>
      </c>
      <c r="F38" s="30">
        <f t="shared" si="23"/>
        <v>472</v>
      </c>
      <c r="G38" s="30">
        <f t="shared" si="23"/>
        <v>3007.14</v>
      </c>
      <c r="H38" s="30">
        <f t="shared" si="23"/>
        <v>119282.58</v>
      </c>
      <c r="I38" s="30">
        <f t="shared" si="23"/>
        <v>28265.600000000002</v>
      </c>
      <c r="J38" s="30">
        <f t="shared" si="23"/>
        <v>89458.52</v>
      </c>
      <c r="K38" s="30">
        <f t="shared" si="23"/>
        <v>86812.38</v>
      </c>
      <c r="L38" s="30">
        <f t="shared" ref="L38:W38" si="24">SUM(L5,L13,L21,L29,L30:L36)</f>
        <v>170.51999999999998</v>
      </c>
      <c r="M38" s="30">
        <f t="shared" si="24"/>
        <v>1772.7599999999998</v>
      </c>
      <c r="N38" s="30">
        <f t="shared" si="24"/>
        <v>702.86</v>
      </c>
      <c r="O38" s="30">
        <f t="shared" si="24"/>
        <v>1681.39</v>
      </c>
      <c r="P38" s="30">
        <f t="shared" si="24"/>
        <v>1482.62</v>
      </c>
      <c r="Q38" s="30">
        <f t="shared" si="24"/>
        <v>118</v>
      </c>
      <c r="R38" s="30">
        <f t="shared" si="24"/>
        <v>24974.97</v>
      </c>
      <c r="S38" s="30">
        <f t="shared" si="24"/>
        <v>3100</v>
      </c>
      <c r="T38" s="30">
        <f t="shared" si="24"/>
        <v>-8.6199999999994361</v>
      </c>
      <c r="U38" s="30">
        <f t="shared" si="24"/>
        <v>137.5400000000036</v>
      </c>
      <c r="V38" s="30">
        <f t="shared" si="24"/>
        <v>1311.14</v>
      </c>
      <c r="W38" s="30">
        <f t="shared" si="24"/>
        <v>1696</v>
      </c>
    </row>
    <row r="40" spans="1:25"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</row>
    <row r="41" spans="1:25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</row>
    <row r="42" spans="1:25">
      <c r="C42" s="42"/>
      <c r="D42" s="42"/>
      <c r="E42" s="42"/>
      <c r="F42" s="42"/>
      <c r="G42" s="42"/>
      <c r="H42" s="42"/>
      <c r="I42" s="42"/>
      <c r="J42" s="42"/>
      <c r="K42" s="42"/>
      <c r="L42" s="42"/>
      <c r="M42" s="42"/>
      <c r="N42" s="42"/>
      <c r="O42" s="42"/>
      <c r="P42" s="42"/>
      <c r="Q42" s="42"/>
      <c r="R42" s="42"/>
      <c r="S42" s="42"/>
      <c r="T42" s="42"/>
      <c r="U42" s="42"/>
      <c r="V42" s="42"/>
      <c r="W42" s="42"/>
    </row>
    <row r="43" spans="1:25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5">
      <c r="C44" s="41"/>
      <c r="D44" s="41"/>
      <c r="E44" s="41"/>
      <c r="F44" s="41"/>
      <c r="G44" s="41"/>
      <c r="H44" s="41"/>
      <c r="I44" s="41"/>
      <c r="J44" s="41"/>
      <c r="K44" s="41"/>
      <c r="L44" s="41"/>
      <c r="M44" s="41"/>
      <c r="N44" s="41"/>
      <c r="O44" s="41"/>
      <c r="P44" s="41"/>
      <c r="Q44" s="41"/>
      <c r="R44" s="41"/>
      <c r="S44" s="41"/>
      <c r="T44" s="41"/>
      <c r="U44" s="41"/>
      <c r="V44" s="41"/>
      <c r="W44" s="41"/>
    </row>
    <row r="46" spans="1:25" hidden="1"/>
    <row r="47" spans="1:25" ht="18.75" hidden="1"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3"/>
      <c r="Q47" s="33"/>
      <c r="R47" s="11"/>
      <c r="S47" s="11"/>
      <c r="T47" s="31"/>
      <c r="U47" s="32"/>
      <c r="V47" s="33"/>
      <c r="W47" s="33"/>
    </row>
    <row r="48" spans="1:25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3"/>
      <c r="Q48" s="33"/>
      <c r="R48" s="11"/>
      <c r="S48" s="11"/>
      <c r="T48" s="31"/>
      <c r="U48" s="32"/>
      <c r="V48" s="33"/>
      <c r="W48" s="33"/>
    </row>
    <row r="49" spans="1:26" s="28" customFormat="1" ht="18.75" hidden="1">
      <c r="A49"/>
      <c r="B49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3"/>
      <c r="Q49" s="33"/>
      <c r="R49" s="11"/>
      <c r="S49" s="11"/>
      <c r="T49" s="31"/>
      <c r="U49" s="32"/>
      <c r="V49" s="33"/>
      <c r="W49" s="33"/>
      <c r="Y49" s="36"/>
      <c r="Z49"/>
    </row>
    <row r="50" spans="1:26" s="28" customFormat="1" hidden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Y50" s="36"/>
      <c r="Z50"/>
    </row>
    <row r="51" spans="1:26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Y51" s="36"/>
      <c r="Z51"/>
    </row>
    <row r="52" spans="1:26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Y52" s="36"/>
      <c r="Z52"/>
    </row>
  </sheetData>
  <conditionalFormatting sqref="T6:U12 T14:U20 T47:U49 T2:U4 T22:U28 T30:U36">
    <cfRule type="cellIs" dxfId="362" priority="29" operator="lessThan">
      <formula>0</formula>
    </cfRule>
    <cfRule type="cellIs" dxfId="361" priority="30" operator="greaterThan">
      <formula>0</formula>
    </cfRule>
  </conditionalFormatting>
  <conditionalFormatting sqref="W13 T47:V49 T2:V20 T22:V28 T30:V36">
    <cfRule type="cellIs" dxfId="360" priority="26" operator="equal">
      <formula>0</formula>
    </cfRule>
    <cfRule type="cellIs" dxfId="359" priority="27" operator="lessThan">
      <formula>0</formula>
    </cfRule>
    <cfRule type="cellIs" dxfId="358" priority="28" operator="greaterThan">
      <formula>0</formula>
    </cfRule>
  </conditionalFormatting>
  <conditionalFormatting sqref="T2:U4">
    <cfRule type="cellIs" dxfId="357" priority="24" operator="lessThan">
      <formula>0</formula>
    </cfRule>
    <cfRule type="cellIs" dxfId="356" priority="25" operator="greaterThan">
      <formula>0</formula>
    </cfRule>
  </conditionalFormatting>
  <conditionalFormatting sqref="T2:V4">
    <cfRule type="cellIs" dxfId="355" priority="21" operator="equal">
      <formula>0</formula>
    </cfRule>
    <cfRule type="cellIs" dxfId="354" priority="22" operator="lessThan">
      <formula>0</formula>
    </cfRule>
    <cfRule type="cellIs" dxfId="353" priority="23" operator="greaterThan">
      <formula>0</formula>
    </cfRule>
  </conditionalFormatting>
  <conditionalFormatting sqref="T27:U28">
    <cfRule type="cellIs" dxfId="352" priority="19" operator="lessThan">
      <formula>0</formula>
    </cfRule>
    <cfRule type="cellIs" dxfId="351" priority="20" operator="greaterThan">
      <formula>0</formula>
    </cfRule>
  </conditionalFormatting>
  <conditionalFormatting sqref="T27:V28">
    <cfRule type="cellIs" dxfId="350" priority="16" operator="equal">
      <formula>0</formula>
    </cfRule>
    <cfRule type="cellIs" dxfId="349" priority="17" operator="lessThan">
      <formula>0</formula>
    </cfRule>
    <cfRule type="cellIs" dxfId="348" priority="18" operator="greaterThan">
      <formula>0</formula>
    </cfRule>
  </conditionalFormatting>
  <conditionalFormatting sqref="T30:U30">
    <cfRule type="cellIs" dxfId="347" priority="14" operator="lessThan">
      <formula>0</formula>
    </cfRule>
    <cfRule type="cellIs" dxfId="346" priority="15" operator="greaterThan">
      <formula>0</formula>
    </cfRule>
  </conditionalFormatting>
  <conditionalFormatting sqref="T30:V30">
    <cfRule type="cellIs" dxfId="345" priority="11" operator="equal">
      <formula>0</formula>
    </cfRule>
    <cfRule type="cellIs" dxfId="344" priority="12" operator="lessThan">
      <formula>0</formula>
    </cfRule>
    <cfRule type="cellIs" dxfId="343" priority="13" operator="greaterThan">
      <formula>0</formula>
    </cfRule>
  </conditionalFormatting>
  <conditionalFormatting sqref="T31:U36">
    <cfRule type="cellIs" dxfId="342" priority="9" operator="lessThan">
      <formula>0</formula>
    </cfRule>
    <cfRule type="cellIs" dxfId="341" priority="10" operator="greaterThan">
      <formula>0</formula>
    </cfRule>
  </conditionalFormatting>
  <conditionalFormatting sqref="T31:V36">
    <cfRule type="cellIs" dxfId="340" priority="6" operator="equal">
      <formula>0</formula>
    </cfRule>
    <cfRule type="cellIs" dxfId="339" priority="7" operator="lessThan">
      <formula>0</formula>
    </cfRule>
    <cfRule type="cellIs" dxfId="338" priority="8" operator="greaterThan">
      <formula>0</formula>
    </cfRule>
  </conditionalFormatting>
  <conditionalFormatting sqref="T22:U28">
    <cfRule type="cellIs" dxfId="337" priority="4" operator="lessThan">
      <formula>0</formula>
    </cfRule>
    <cfRule type="cellIs" dxfId="336" priority="5" operator="greaterThan">
      <formula>0</formula>
    </cfRule>
  </conditionalFormatting>
  <conditionalFormatting sqref="T22:V28">
    <cfRule type="cellIs" dxfId="335" priority="1" operator="equal">
      <formula>0</formula>
    </cfRule>
    <cfRule type="cellIs" dxfId="334" priority="2" operator="lessThan">
      <formula>0</formula>
    </cfRule>
    <cfRule type="cellIs" dxfId="333" priority="3" operator="greaterThan">
      <formula>0</formula>
    </cfRule>
  </conditionalFormatting>
  <pageMargins left="0.7" right="0.7" top="0.75" bottom="0.75" header="0.3" footer="0.3"/>
  <ignoredErrors>
    <ignoredError sqref="H29 H21 H13 H5 J29 K37" formula="1"/>
    <ignoredError sqref="J31" formulaRange="1"/>
  </ignoredErrors>
</worksheet>
</file>

<file path=xl/worksheets/sheet7.xml><?xml version="1.0" encoding="utf-8"?>
<worksheet xmlns="http://schemas.openxmlformats.org/spreadsheetml/2006/main" xmlns:r="http://schemas.openxmlformats.org/officeDocument/2006/relationships">
  <dimension ref="A1:Z50"/>
  <sheetViews>
    <sheetView topLeftCell="A13" zoomScale="70" zoomScaleNormal="70" workbookViewId="0">
      <selection activeCell="C36" sqref="C36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5.4257812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20.85546875" customWidth="1"/>
    <col min="15" max="16" width="16.7109375" customWidth="1"/>
    <col min="17" max="17" width="14.28515625" customWidth="1"/>
    <col min="18" max="18" width="13" customWidth="1"/>
    <col min="19" max="19" width="14.85546875" customWidth="1"/>
    <col min="20" max="20" width="14" customWidth="1"/>
    <col min="21" max="21" width="15.28515625" customWidth="1"/>
    <col min="22" max="23" width="15.85546875" customWidth="1"/>
    <col min="24" max="24" width="23.140625" style="28" customWidth="1"/>
    <col min="25" max="25" width="12.42578125" style="36" customWidth="1"/>
    <col min="26" max="26" width="11.85546875" customWidth="1"/>
  </cols>
  <sheetData>
    <row r="1" spans="1:26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</row>
    <row r="2" spans="1:26" ht="18.75">
      <c r="A2" s="9">
        <v>44501</v>
      </c>
      <c r="B2" s="10" t="s">
        <v>23</v>
      </c>
      <c r="C2" s="11">
        <v>5397.36</v>
      </c>
      <c r="D2" s="11">
        <v>2871.09</v>
      </c>
      <c r="E2" s="11">
        <v>1.5</v>
      </c>
      <c r="F2" s="11">
        <v>23</v>
      </c>
      <c r="G2" s="11">
        <v>185.65</v>
      </c>
      <c r="H2" s="11">
        <f t="shared" ref="H2:H8" si="0">SUM(C2:G2,P2)</f>
        <v>8558.6</v>
      </c>
      <c r="I2" s="11">
        <v>2051.87</v>
      </c>
      <c r="J2" s="11">
        <v>6401.25</v>
      </c>
      <c r="K2" s="11">
        <v>6105.51</v>
      </c>
      <c r="L2" s="11">
        <v>73.349999999999994</v>
      </c>
      <c r="M2" s="11">
        <v>99.38</v>
      </c>
      <c r="N2" s="11">
        <v>123.01</v>
      </c>
      <c r="O2" s="11">
        <v>65.150000000000006</v>
      </c>
      <c r="P2" s="33">
        <v>80</v>
      </c>
      <c r="Q2" s="33">
        <v>65.150000000000006</v>
      </c>
      <c r="R2" s="11">
        <v>1881.48</v>
      </c>
      <c r="S2" s="11">
        <v>100</v>
      </c>
      <c r="T2" s="31">
        <f t="shared" ref="T2:T8" si="1">SUM(O2,P2,Q2,R2)-I2</f>
        <v>39.910000000000309</v>
      </c>
      <c r="U2" s="32">
        <f t="shared" ref="U2:U8" si="2">SUM(I2+J2+W2)-(H2)</f>
        <v>24.169999999998254</v>
      </c>
      <c r="V2" s="33">
        <f t="shared" ref="V2:V8" si="3">SUM(G2-W2)</f>
        <v>56</v>
      </c>
      <c r="W2" s="33">
        <v>129.65</v>
      </c>
    </row>
    <row r="3" spans="1:26" ht="18.75">
      <c r="A3" s="9">
        <v>44502</v>
      </c>
      <c r="B3" s="10" t="s">
        <v>24</v>
      </c>
      <c r="C3" s="11">
        <v>6073.15</v>
      </c>
      <c r="D3" s="11">
        <v>2617.58</v>
      </c>
      <c r="E3" s="11">
        <v>3.5</v>
      </c>
      <c r="F3" s="11">
        <v>19</v>
      </c>
      <c r="G3" s="11">
        <v>133</v>
      </c>
      <c r="H3" s="11">
        <f t="shared" si="0"/>
        <v>8945.7199999999993</v>
      </c>
      <c r="I3" s="11">
        <v>2316.9499999999998</v>
      </c>
      <c r="J3" s="11">
        <f t="shared" ref="J3:J8" si="4">SUM(K3:N3)</f>
        <v>6561.7699999999995</v>
      </c>
      <c r="K3" s="11">
        <v>6378.44</v>
      </c>
      <c r="L3" s="11">
        <v>0</v>
      </c>
      <c r="M3" s="11">
        <v>183.33</v>
      </c>
      <c r="N3" s="11">
        <v>0</v>
      </c>
      <c r="O3" s="11">
        <v>454.7</v>
      </c>
      <c r="P3" s="33">
        <v>99.49</v>
      </c>
      <c r="Q3" s="33">
        <v>3</v>
      </c>
      <c r="R3" s="11">
        <v>1656.67</v>
      </c>
      <c r="S3" s="11">
        <v>200</v>
      </c>
      <c r="T3" s="31">
        <f t="shared" si="1"/>
        <v>-103.08999999999969</v>
      </c>
      <c r="U3" s="32">
        <f t="shared" si="2"/>
        <v>0</v>
      </c>
      <c r="V3" s="33">
        <f t="shared" si="3"/>
        <v>66</v>
      </c>
      <c r="W3" s="33">
        <v>67</v>
      </c>
    </row>
    <row r="4" spans="1:26" ht="18.75">
      <c r="A4" s="9">
        <v>44503</v>
      </c>
      <c r="B4" s="10" t="s">
        <v>25</v>
      </c>
      <c r="C4" s="11">
        <v>5144.33</v>
      </c>
      <c r="D4" s="11">
        <v>3020.78</v>
      </c>
      <c r="E4" s="11">
        <v>8</v>
      </c>
      <c r="F4" s="11">
        <v>67</v>
      </c>
      <c r="G4" s="11">
        <v>80</v>
      </c>
      <c r="H4" s="11">
        <f t="shared" si="0"/>
        <v>8410.11</v>
      </c>
      <c r="I4" s="11">
        <v>2064.88</v>
      </c>
      <c r="J4" s="11">
        <f t="shared" si="4"/>
        <v>6315.23</v>
      </c>
      <c r="K4" s="11">
        <v>6012.36</v>
      </c>
      <c r="L4" s="11">
        <v>0</v>
      </c>
      <c r="M4" s="11">
        <v>175.63</v>
      </c>
      <c r="N4" s="11">
        <v>127.24</v>
      </c>
      <c r="O4" s="11">
        <v>492.82</v>
      </c>
      <c r="P4" s="33">
        <v>90</v>
      </c>
      <c r="Q4" s="33">
        <v>56</v>
      </c>
      <c r="R4" s="11">
        <v>1528.99</v>
      </c>
      <c r="S4" s="11">
        <v>200</v>
      </c>
      <c r="T4" s="31">
        <f t="shared" si="1"/>
        <v>102.92999999999984</v>
      </c>
      <c r="U4" s="32">
        <f t="shared" si="2"/>
        <v>0</v>
      </c>
      <c r="V4" s="33">
        <f t="shared" si="3"/>
        <v>50</v>
      </c>
      <c r="W4" s="33">
        <v>30</v>
      </c>
    </row>
    <row r="5" spans="1:26" ht="18.75">
      <c r="A5" s="9">
        <v>44504</v>
      </c>
      <c r="B5" s="10" t="s">
        <v>26</v>
      </c>
      <c r="C5" s="11">
        <v>5453.52</v>
      </c>
      <c r="D5" s="11">
        <v>2618.34</v>
      </c>
      <c r="E5" s="11">
        <v>0</v>
      </c>
      <c r="F5" s="11">
        <v>37</v>
      </c>
      <c r="G5" s="11">
        <v>138</v>
      </c>
      <c r="H5" s="11">
        <f t="shared" si="0"/>
        <v>8276.86</v>
      </c>
      <c r="I5" s="11">
        <v>1601.1</v>
      </c>
      <c r="J5" s="11">
        <f t="shared" si="4"/>
        <v>6645.76</v>
      </c>
      <c r="K5" s="11">
        <v>6478.41</v>
      </c>
      <c r="L5" s="11">
        <v>0</v>
      </c>
      <c r="M5" s="11">
        <v>117.35</v>
      </c>
      <c r="N5" s="11">
        <v>50</v>
      </c>
      <c r="O5" s="11">
        <v>0</v>
      </c>
      <c r="P5" s="33">
        <v>30</v>
      </c>
      <c r="Q5" s="33">
        <v>7.4</v>
      </c>
      <c r="R5" s="11">
        <v>1467.35</v>
      </c>
      <c r="S5" s="11">
        <v>200</v>
      </c>
      <c r="T5" s="31">
        <f t="shared" si="1"/>
        <v>-96.349999999999909</v>
      </c>
      <c r="U5" s="32">
        <f t="shared" si="2"/>
        <v>0</v>
      </c>
      <c r="V5" s="33">
        <f t="shared" si="3"/>
        <v>108</v>
      </c>
      <c r="W5" s="33">
        <v>30</v>
      </c>
    </row>
    <row r="6" spans="1:26" ht="18.75">
      <c r="A6" s="9">
        <v>44505</v>
      </c>
      <c r="B6" s="10" t="s">
        <v>20</v>
      </c>
      <c r="C6" s="11">
        <v>5897.07</v>
      </c>
      <c r="D6" s="11">
        <v>3894.62</v>
      </c>
      <c r="E6" s="11">
        <v>16</v>
      </c>
      <c r="F6" s="11">
        <v>41</v>
      </c>
      <c r="G6" s="11">
        <v>64.89</v>
      </c>
      <c r="H6" s="11">
        <f t="shared" si="0"/>
        <v>9913.5799999999981</v>
      </c>
      <c r="I6" s="11">
        <v>2058.3000000000002</v>
      </c>
      <c r="J6" s="11">
        <f t="shared" si="4"/>
        <v>7790.39</v>
      </c>
      <c r="K6" s="11">
        <v>7447.72</v>
      </c>
      <c r="L6" s="11">
        <v>0</v>
      </c>
      <c r="M6" s="11">
        <v>63.86</v>
      </c>
      <c r="N6" s="11">
        <v>278.81</v>
      </c>
      <c r="O6" s="11">
        <v>0</v>
      </c>
      <c r="P6" s="33">
        <v>0</v>
      </c>
      <c r="Q6" s="33">
        <v>9.9</v>
      </c>
      <c r="R6" s="11">
        <v>2049.1</v>
      </c>
      <c r="S6" s="11">
        <v>200</v>
      </c>
      <c r="T6" s="31">
        <f t="shared" si="1"/>
        <v>0.6999999999998181</v>
      </c>
      <c r="U6" s="32">
        <f t="shared" si="2"/>
        <v>0</v>
      </c>
      <c r="V6" s="33">
        <f t="shared" si="3"/>
        <v>0</v>
      </c>
      <c r="W6" s="33">
        <v>64.89</v>
      </c>
    </row>
    <row r="7" spans="1:26" ht="18.75">
      <c r="A7" s="9">
        <v>44506</v>
      </c>
      <c r="B7" s="10" t="s">
        <v>21</v>
      </c>
      <c r="C7" s="11">
        <v>5518.68</v>
      </c>
      <c r="D7" s="11">
        <v>3131.34</v>
      </c>
      <c r="E7" s="11">
        <v>34</v>
      </c>
      <c r="F7" s="11">
        <v>42</v>
      </c>
      <c r="G7" s="11">
        <v>125</v>
      </c>
      <c r="H7" s="11">
        <f t="shared" si="0"/>
        <v>8851.02</v>
      </c>
      <c r="I7" s="11">
        <v>2168.12</v>
      </c>
      <c r="J7" s="11">
        <f t="shared" si="4"/>
        <v>6630.59</v>
      </c>
      <c r="K7" s="11">
        <v>6339.13</v>
      </c>
      <c r="L7" s="11">
        <v>0</v>
      </c>
      <c r="M7" s="11">
        <v>291.45999999999998</v>
      </c>
      <c r="N7" s="11">
        <v>0</v>
      </c>
      <c r="O7" s="11">
        <v>0</v>
      </c>
      <c r="P7" s="33">
        <v>0</v>
      </c>
      <c r="Q7" s="33">
        <v>14.1</v>
      </c>
      <c r="R7" s="11">
        <f>1737.7+416.64</f>
        <v>2154.34</v>
      </c>
      <c r="S7" s="11">
        <v>200</v>
      </c>
      <c r="T7" s="31">
        <f t="shared" si="1"/>
        <v>0.32000000000016371</v>
      </c>
      <c r="U7" s="32">
        <f t="shared" si="2"/>
        <v>12.68999999999869</v>
      </c>
      <c r="V7" s="33">
        <f t="shared" si="3"/>
        <v>60</v>
      </c>
      <c r="W7" s="33">
        <v>65</v>
      </c>
    </row>
    <row r="8" spans="1:26" ht="18.75">
      <c r="A8" s="9">
        <v>44507</v>
      </c>
      <c r="B8" s="10" t="s">
        <v>22</v>
      </c>
      <c r="C8" s="11">
        <v>5263.93</v>
      </c>
      <c r="D8" s="11">
        <v>2936.42</v>
      </c>
      <c r="E8" s="11">
        <v>0</v>
      </c>
      <c r="F8" s="11">
        <v>86</v>
      </c>
      <c r="G8" s="11">
        <v>188</v>
      </c>
      <c r="H8" s="11">
        <f t="shared" si="0"/>
        <v>8494.35</v>
      </c>
      <c r="I8" s="11">
        <v>2037.82</v>
      </c>
      <c r="J8" s="11">
        <f t="shared" si="4"/>
        <v>6324.4299999999994</v>
      </c>
      <c r="K8" s="11">
        <v>6050.24</v>
      </c>
      <c r="L8" s="11">
        <v>0</v>
      </c>
      <c r="M8" s="11">
        <v>166.7</v>
      </c>
      <c r="N8" s="11">
        <v>107.49</v>
      </c>
      <c r="O8" s="11">
        <v>75.55</v>
      </c>
      <c r="P8" s="33">
        <v>20</v>
      </c>
      <c r="Q8" s="33">
        <v>159</v>
      </c>
      <c r="R8" s="11">
        <v>1778.04</v>
      </c>
      <c r="S8" s="11">
        <v>200</v>
      </c>
      <c r="T8" s="31">
        <f t="shared" si="1"/>
        <v>-5.2300000000000182</v>
      </c>
      <c r="U8" s="32">
        <f t="shared" si="2"/>
        <v>-77.100000000000364</v>
      </c>
      <c r="V8" s="33">
        <f t="shared" si="3"/>
        <v>133</v>
      </c>
      <c r="W8" s="33">
        <v>55</v>
      </c>
      <c r="X8" s="28" t="s">
        <v>46</v>
      </c>
    </row>
    <row r="9" spans="1:26" ht="37.5">
      <c r="A9" s="14" t="s">
        <v>27</v>
      </c>
      <c r="B9" s="16"/>
      <c r="C9" s="27">
        <f>SUM(C2:C8)</f>
        <v>38748.04</v>
      </c>
      <c r="D9" s="27">
        <f t="shared" ref="D9:W9" si="5">SUM(D2:D8)</f>
        <v>21090.17</v>
      </c>
      <c r="E9" s="27">
        <f t="shared" si="5"/>
        <v>63</v>
      </c>
      <c r="F9" s="27">
        <f t="shared" si="5"/>
        <v>315</v>
      </c>
      <c r="G9" s="27">
        <f t="shared" si="5"/>
        <v>914.54</v>
      </c>
      <c r="H9" s="27">
        <f t="shared" si="5"/>
        <v>61450.239999999998</v>
      </c>
      <c r="I9" s="27">
        <f t="shared" si="5"/>
        <v>14299.039999999997</v>
      </c>
      <c r="J9" s="27">
        <f t="shared" si="5"/>
        <v>46669.420000000006</v>
      </c>
      <c r="K9" s="27">
        <f t="shared" si="5"/>
        <v>44811.81</v>
      </c>
      <c r="L9" s="27">
        <f t="shared" si="5"/>
        <v>73.349999999999994</v>
      </c>
      <c r="M9" s="27">
        <f t="shared" si="5"/>
        <v>1097.71</v>
      </c>
      <c r="N9" s="27">
        <f t="shared" si="5"/>
        <v>686.55</v>
      </c>
      <c r="O9" s="27">
        <f t="shared" si="5"/>
        <v>1088.22</v>
      </c>
      <c r="P9" s="27">
        <f t="shared" si="5"/>
        <v>319.49</v>
      </c>
      <c r="Q9" s="27">
        <f t="shared" si="5"/>
        <v>314.55</v>
      </c>
      <c r="R9" s="27">
        <f t="shared" si="5"/>
        <v>12515.970000000001</v>
      </c>
      <c r="S9" s="27">
        <f t="shared" si="5"/>
        <v>1300</v>
      </c>
      <c r="T9" s="27">
        <f t="shared" si="5"/>
        <v>-60.809999999999491</v>
      </c>
      <c r="U9" s="27">
        <f t="shared" si="5"/>
        <v>-40.24000000000342</v>
      </c>
      <c r="V9" s="27">
        <f t="shared" si="5"/>
        <v>473</v>
      </c>
      <c r="W9" s="27">
        <f t="shared" si="5"/>
        <v>441.53999999999996</v>
      </c>
    </row>
    <row r="10" spans="1:26" ht="18.75">
      <c r="A10" s="9">
        <v>44508</v>
      </c>
      <c r="B10" s="10" t="s">
        <v>23</v>
      </c>
      <c r="C10" s="11">
        <v>5665.73</v>
      </c>
      <c r="D10" s="11">
        <v>2530.13</v>
      </c>
      <c r="E10" s="11">
        <v>0</v>
      </c>
      <c r="F10" s="11">
        <v>12</v>
      </c>
      <c r="G10" s="11">
        <v>162.21</v>
      </c>
      <c r="H10" s="11">
        <f t="shared" ref="H10:H16" si="6">SUM(C10:G10,P10)</f>
        <v>8370.07</v>
      </c>
      <c r="I10" s="11">
        <v>1902.22</v>
      </c>
      <c r="J10" s="11">
        <f>SUM(K10:N10)</f>
        <v>6371.6399999999994</v>
      </c>
      <c r="K10" s="11">
        <v>6271.82</v>
      </c>
      <c r="L10" s="11">
        <v>0</v>
      </c>
      <c r="M10" s="11">
        <v>99.82</v>
      </c>
      <c r="N10" s="11">
        <v>0</v>
      </c>
      <c r="O10" s="11">
        <v>520.87</v>
      </c>
      <c r="P10" s="33">
        <v>0</v>
      </c>
      <c r="Q10" s="33">
        <v>0</v>
      </c>
      <c r="R10" s="11">
        <v>1382.02</v>
      </c>
      <c r="S10" s="11">
        <v>200</v>
      </c>
      <c r="T10" s="31">
        <f t="shared" ref="T10:T16" si="7">SUM(O10,P10,Q10,R10)-I10</f>
        <v>0.66999999999984539</v>
      </c>
      <c r="U10" s="32">
        <f t="shared" ref="U10:U16" si="8">SUM(I10+J10+W10)-(H10)</f>
        <v>0</v>
      </c>
      <c r="V10" s="33">
        <f t="shared" ref="V10:V16" si="9">SUM(G10-W10)</f>
        <v>66.000000000000014</v>
      </c>
      <c r="W10" s="33">
        <v>96.21</v>
      </c>
      <c r="Z10" s="40"/>
    </row>
    <row r="11" spans="1:26" ht="18.75">
      <c r="A11" s="9">
        <v>44509</v>
      </c>
      <c r="B11" s="10" t="s">
        <v>24</v>
      </c>
      <c r="C11" s="11">
        <v>5173.42</v>
      </c>
      <c r="D11" s="11">
        <v>2474.81</v>
      </c>
      <c r="E11" s="11">
        <v>6.5</v>
      </c>
      <c r="F11" s="11">
        <v>36</v>
      </c>
      <c r="G11" s="11">
        <v>239</v>
      </c>
      <c r="H11" s="11">
        <f t="shared" si="6"/>
        <v>7929.73</v>
      </c>
      <c r="I11" s="11">
        <v>1766.82</v>
      </c>
      <c r="J11" s="11">
        <f t="shared" ref="J11:J16" si="10">SUM(K11:N11)</f>
        <v>5953.91</v>
      </c>
      <c r="K11" s="11">
        <v>5575.3</v>
      </c>
      <c r="L11" s="11">
        <v>0</v>
      </c>
      <c r="M11" s="11">
        <v>164.29</v>
      </c>
      <c r="N11" s="11">
        <v>214.32</v>
      </c>
      <c r="O11" s="11">
        <v>177.5</v>
      </c>
      <c r="P11" s="33">
        <v>0</v>
      </c>
      <c r="Q11" s="33">
        <v>24</v>
      </c>
      <c r="R11" s="11">
        <v>1566.81</v>
      </c>
      <c r="S11" s="11">
        <v>200</v>
      </c>
      <c r="T11" s="31">
        <f t="shared" si="7"/>
        <v>1.4900000000000091</v>
      </c>
      <c r="U11" s="32">
        <f t="shared" si="8"/>
        <v>0</v>
      </c>
      <c r="V11" s="33">
        <f t="shared" si="9"/>
        <v>30</v>
      </c>
      <c r="W11" s="33">
        <v>209</v>
      </c>
    </row>
    <row r="12" spans="1:26" ht="18.75">
      <c r="A12" s="9">
        <v>44510</v>
      </c>
      <c r="B12" s="10" t="s">
        <v>25</v>
      </c>
      <c r="C12" s="11">
        <v>5134.32</v>
      </c>
      <c r="D12" s="11">
        <v>2520.21</v>
      </c>
      <c r="E12" s="11">
        <v>8</v>
      </c>
      <c r="F12" s="11">
        <v>21</v>
      </c>
      <c r="G12" s="11">
        <v>75</v>
      </c>
      <c r="H12" s="11">
        <f t="shared" si="6"/>
        <v>7758.53</v>
      </c>
      <c r="I12" s="11">
        <v>1617.38</v>
      </c>
      <c r="J12" s="11">
        <f t="shared" si="10"/>
        <v>6086.15</v>
      </c>
      <c r="K12" s="11">
        <v>5960.46</v>
      </c>
      <c r="L12" s="11">
        <v>0</v>
      </c>
      <c r="M12" s="11">
        <v>0</v>
      </c>
      <c r="N12" s="11">
        <v>125.69</v>
      </c>
      <c r="O12" s="11">
        <v>0</v>
      </c>
      <c r="P12" s="33">
        <v>0</v>
      </c>
      <c r="Q12" s="33">
        <v>26</v>
      </c>
      <c r="R12" s="11">
        <v>1592.2</v>
      </c>
      <c r="S12" s="11">
        <v>200</v>
      </c>
      <c r="T12" s="31">
        <f t="shared" si="7"/>
        <v>0.81999999999993634</v>
      </c>
      <c r="U12" s="32">
        <f t="shared" si="8"/>
        <v>0</v>
      </c>
      <c r="V12" s="33">
        <f t="shared" si="9"/>
        <v>20</v>
      </c>
      <c r="W12" s="33">
        <v>55</v>
      </c>
    </row>
    <row r="13" spans="1:26" ht="18.75">
      <c r="A13" s="9">
        <v>44511</v>
      </c>
      <c r="B13" s="10" t="s">
        <v>26</v>
      </c>
      <c r="C13" s="11">
        <v>5518.15</v>
      </c>
      <c r="D13" s="11">
        <v>2934.51</v>
      </c>
      <c r="E13" s="11">
        <v>4</v>
      </c>
      <c r="F13" s="11">
        <v>77</v>
      </c>
      <c r="G13" s="11">
        <v>297.77</v>
      </c>
      <c r="H13" s="11">
        <f t="shared" si="6"/>
        <v>8894.43</v>
      </c>
      <c r="I13" s="11">
        <v>2155.1</v>
      </c>
      <c r="J13" s="11">
        <f t="shared" si="10"/>
        <v>6521.5599999999995</v>
      </c>
      <c r="K13" s="11">
        <v>6213.71</v>
      </c>
      <c r="L13" s="11">
        <v>0</v>
      </c>
      <c r="M13" s="11">
        <v>105.87</v>
      </c>
      <c r="N13" s="11">
        <v>201.98</v>
      </c>
      <c r="O13" s="11">
        <v>242.3</v>
      </c>
      <c r="P13" s="33">
        <v>63</v>
      </c>
      <c r="Q13" s="33">
        <v>35</v>
      </c>
      <c r="R13" s="11">
        <v>1818.03</v>
      </c>
      <c r="S13" s="11">
        <v>200</v>
      </c>
      <c r="T13" s="31">
        <f t="shared" si="7"/>
        <v>3.2300000000000182</v>
      </c>
      <c r="U13" s="32">
        <f t="shared" si="8"/>
        <v>0.22999999999956344</v>
      </c>
      <c r="V13" s="33">
        <v>80</v>
      </c>
      <c r="W13" s="33">
        <v>218</v>
      </c>
    </row>
    <row r="14" spans="1:26" ht="18.75">
      <c r="A14" s="9">
        <v>44512</v>
      </c>
      <c r="B14" s="10" t="s">
        <v>20</v>
      </c>
      <c r="C14" s="11">
        <v>5506.78</v>
      </c>
      <c r="D14" s="11">
        <v>3695.59</v>
      </c>
      <c r="E14" s="11">
        <v>29.5</v>
      </c>
      <c r="F14" s="11">
        <v>37</v>
      </c>
      <c r="G14" s="11">
        <v>75</v>
      </c>
      <c r="H14" s="11">
        <f t="shared" si="6"/>
        <v>9363.869999999999</v>
      </c>
      <c r="I14" s="11">
        <f>2259.21-21.28</f>
        <v>2237.9299999999998</v>
      </c>
      <c r="J14" s="11">
        <f t="shared" si="10"/>
        <v>7086.94</v>
      </c>
      <c r="K14" s="11">
        <f>(7086.94)-(119.95+146.63)</f>
        <v>6820.36</v>
      </c>
      <c r="L14" s="11">
        <v>0</v>
      </c>
      <c r="M14" s="11">
        <v>119.95</v>
      </c>
      <c r="N14" s="11">
        <v>146.63</v>
      </c>
      <c r="O14" s="11">
        <v>0</v>
      </c>
      <c r="P14" s="33">
        <v>20</v>
      </c>
      <c r="Q14" s="33">
        <v>8</v>
      </c>
      <c r="R14" s="11">
        <v>2210.36</v>
      </c>
      <c r="S14" s="11">
        <v>200</v>
      </c>
      <c r="T14" s="31">
        <f t="shared" si="7"/>
        <v>0.43000000000029104</v>
      </c>
      <c r="U14" s="32">
        <f t="shared" si="8"/>
        <v>-4</v>
      </c>
      <c r="V14" s="33">
        <f t="shared" si="9"/>
        <v>40</v>
      </c>
      <c r="W14" s="33">
        <v>35</v>
      </c>
      <c r="X14" s="28" t="s">
        <v>48</v>
      </c>
    </row>
    <row r="15" spans="1:26" ht="18.75">
      <c r="A15" s="9">
        <v>44513</v>
      </c>
      <c r="B15" s="10" t="s">
        <v>21</v>
      </c>
      <c r="C15" s="11">
        <v>4753.04</v>
      </c>
      <c r="D15" s="11">
        <v>3383.54</v>
      </c>
      <c r="E15" s="11">
        <v>12</v>
      </c>
      <c r="F15" s="11">
        <v>42</v>
      </c>
      <c r="G15" s="11">
        <v>347.96</v>
      </c>
      <c r="H15" s="11">
        <f t="shared" si="6"/>
        <v>8619.5399999999991</v>
      </c>
      <c r="I15" s="11">
        <v>2277.8000000000002</v>
      </c>
      <c r="J15" s="11">
        <f t="shared" si="10"/>
        <v>5933.77</v>
      </c>
      <c r="K15" s="11">
        <f>5933.77</f>
        <v>5933.77</v>
      </c>
      <c r="L15" s="11">
        <v>0</v>
      </c>
      <c r="M15" s="11">
        <v>0</v>
      </c>
      <c r="N15" s="11">
        <v>0</v>
      </c>
      <c r="O15" s="11">
        <v>0</v>
      </c>
      <c r="P15" s="33">
        <v>81</v>
      </c>
      <c r="Q15" s="33">
        <v>7.7</v>
      </c>
      <c r="R15" s="11">
        <v>2087.19</v>
      </c>
      <c r="S15" s="11">
        <v>300</v>
      </c>
      <c r="T15" s="31">
        <f t="shared" si="7"/>
        <v>-101.91000000000031</v>
      </c>
      <c r="U15" s="32">
        <f t="shared" si="8"/>
        <v>-75.010000000000218</v>
      </c>
      <c r="V15" s="33">
        <f t="shared" si="9"/>
        <v>15</v>
      </c>
      <c r="W15" s="33">
        <v>332.96</v>
      </c>
      <c r="X15" s="28" t="s">
        <v>47</v>
      </c>
    </row>
    <row r="16" spans="1:26" ht="18.75">
      <c r="A16" s="9">
        <v>44514</v>
      </c>
      <c r="B16" s="10" t="s">
        <v>22</v>
      </c>
      <c r="C16" s="11">
        <v>4858.41</v>
      </c>
      <c r="D16" s="11">
        <v>2655.81</v>
      </c>
      <c r="E16" s="11">
        <v>0</v>
      </c>
      <c r="F16" s="11">
        <v>35</v>
      </c>
      <c r="G16" s="11">
        <v>268.02999999999997</v>
      </c>
      <c r="H16" s="11">
        <f t="shared" si="6"/>
        <v>7938.7399999999989</v>
      </c>
      <c r="I16" s="11">
        <v>2036</v>
      </c>
      <c r="J16" s="11">
        <f t="shared" si="10"/>
        <v>5837.74</v>
      </c>
      <c r="K16" s="11">
        <v>5773.03</v>
      </c>
      <c r="L16" s="11">
        <v>0</v>
      </c>
      <c r="M16" s="11">
        <v>64.709999999999994</v>
      </c>
      <c r="N16" s="11">
        <v>0</v>
      </c>
      <c r="O16" s="11">
        <v>0</v>
      </c>
      <c r="P16" s="33">
        <v>121.49</v>
      </c>
      <c r="Q16" s="33">
        <v>52</v>
      </c>
      <c r="R16" s="11">
        <v>1885.22</v>
      </c>
      <c r="S16" s="11">
        <v>285</v>
      </c>
      <c r="T16" s="31">
        <f t="shared" si="7"/>
        <v>22.710000000000036</v>
      </c>
      <c r="U16" s="32">
        <f t="shared" si="8"/>
        <v>0</v>
      </c>
      <c r="V16" s="33">
        <f t="shared" si="9"/>
        <v>203.02999999999997</v>
      </c>
      <c r="W16" s="33">
        <v>65</v>
      </c>
    </row>
    <row r="17" spans="1:25" ht="37.5">
      <c r="A17" s="14" t="s">
        <v>27</v>
      </c>
      <c r="B17" s="16"/>
      <c r="C17" s="27">
        <f>SUM(C10:C16)</f>
        <v>36609.85</v>
      </c>
      <c r="D17" s="27">
        <f t="shared" ref="D17" si="11">SUM(D10:D16)</f>
        <v>20194.600000000002</v>
      </c>
      <c r="E17" s="27">
        <f t="shared" ref="E17" si="12">SUM(E10:E16)</f>
        <v>60</v>
      </c>
      <c r="F17" s="27">
        <f t="shared" ref="F17" si="13">SUM(F10:F16)</f>
        <v>260</v>
      </c>
      <c r="G17" s="27">
        <f t="shared" ref="G17" si="14">SUM(G10:G16)</f>
        <v>1464.97</v>
      </c>
      <c r="H17" s="27">
        <f t="shared" ref="H17" si="15">SUM(H10:H16)</f>
        <v>58874.909999999989</v>
      </c>
      <c r="I17" s="27">
        <f t="shared" ref="I17" si="16">SUM(I10:I16)</f>
        <v>13993.25</v>
      </c>
      <c r="J17" s="27">
        <f t="shared" ref="J17" si="17">SUM(J10:J16)</f>
        <v>43791.709999999992</v>
      </c>
      <c r="K17" s="27">
        <f t="shared" ref="K17" si="18">SUM(K10:K16)</f>
        <v>42548.45</v>
      </c>
      <c r="L17" s="27">
        <f t="shared" ref="L17" si="19">SUM(L10:L16)</f>
        <v>0</v>
      </c>
      <c r="M17" s="27">
        <f t="shared" ref="M17" si="20">SUM(M10:M16)</f>
        <v>554.64</v>
      </c>
      <c r="N17" s="27">
        <f t="shared" ref="N17" si="21">SUM(N10:N16)</f>
        <v>688.62</v>
      </c>
      <c r="O17" s="27">
        <f t="shared" ref="O17" si="22">SUM(O10:O16)</f>
        <v>940.67000000000007</v>
      </c>
      <c r="P17" s="27">
        <f t="shared" ref="P17" si="23">SUM(P10:P16)</f>
        <v>285.49</v>
      </c>
      <c r="Q17" s="27">
        <f t="shared" ref="Q17" si="24">SUM(Q10:Q16)</f>
        <v>152.69999999999999</v>
      </c>
      <c r="R17" s="27">
        <f t="shared" ref="R17" si="25">SUM(R10:R16)</f>
        <v>12541.83</v>
      </c>
      <c r="S17" s="27">
        <f t="shared" ref="S17" si="26">SUM(S10:S16)</f>
        <v>1585</v>
      </c>
      <c r="T17" s="27">
        <f t="shared" ref="T17" si="27">SUM(T10:T16)</f>
        <v>-72.560000000000173</v>
      </c>
      <c r="U17" s="27">
        <f t="shared" ref="U17" si="28">SUM(U10:U16)</f>
        <v>-78.780000000000655</v>
      </c>
      <c r="V17" s="27">
        <f t="shared" ref="V17" si="29">SUM(V10:V16)</f>
        <v>454.03</v>
      </c>
      <c r="W17" s="27">
        <f t="shared" ref="W17" si="30">SUM(W10:W16)</f>
        <v>1011.1700000000001</v>
      </c>
    </row>
    <row r="18" spans="1:25" s="35" customFormat="1" ht="18.75">
      <c r="A18" s="9">
        <v>44515</v>
      </c>
      <c r="B18" s="10" t="s">
        <v>23</v>
      </c>
      <c r="C18" s="11">
        <v>5507.85</v>
      </c>
      <c r="D18" s="11">
        <v>2384.88</v>
      </c>
      <c r="E18" s="11">
        <v>0</v>
      </c>
      <c r="F18" s="11">
        <v>37</v>
      </c>
      <c r="G18" s="11">
        <v>256</v>
      </c>
      <c r="H18" s="11">
        <f t="shared" ref="H18:H24" si="31">SUM(C18:G18,P18)</f>
        <v>8230.73</v>
      </c>
      <c r="I18" s="11">
        <v>2000.65</v>
      </c>
      <c r="J18" s="11">
        <f>SUM(K18:N18)</f>
        <v>6091.23</v>
      </c>
      <c r="K18" s="11">
        <v>5821.9</v>
      </c>
      <c r="L18" s="11">
        <v>0</v>
      </c>
      <c r="M18" s="11">
        <v>269.33</v>
      </c>
      <c r="N18" s="11">
        <v>0</v>
      </c>
      <c r="O18" s="11">
        <v>356.41</v>
      </c>
      <c r="P18" s="33">
        <v>45</v>
      </c>
      <c r="Q18" s="33">
        <v>28.8</v>
      </c>
      <c r="R18" s="11">
        <v>1514.72</v>
      </c>
      <c r="S18" s="11">
        <v>300</v>
      </c>
      <c r="T18" s="31">
        <f t="shared" ref="T18:T24" si="32">SUM(O18,P18,Q18,R18)-I18</f>
        <v>-55.720000000000027</v>
      </c>
      <c r="U18" s="32">
        <f t="shared" ref="U18:U24" si="33">SUM(I18+J18+W18)-(H18)</f>
        <v>41.149999999999636</v>
      </c>
      <c r="V18" s="33">
        <f t="shared" ref="V18:V24" si="34">SUM(G18-W18)</f>
        <v>76</v>
      </c>
      <c r="W18" s="33">
        <v>180</v>
      </c>
      <c r="X18" s="38" t="s">
        <v>49</v>
      </c>
      <c r="Y18" s="39"/>
    </row>
    <row r="19" spans="1:25" s="35" customFormat="1" ht="18.75">
      <c r="A19" s="9">
        <v>44516</v>
      </c>
      <c r="B19" s="10" t="s">
        <v>24</v>
      </c>
      <c r="C19" s="11">
        <v>5895.82</v>
      </c>
      <c r="D19" s="11">
        <v>2347.5700000000002</v>
      </c>
      <c r="E19" s="11">
        <v>5</v>
      </c>
      <c r="F19" s="11">
        <v>43</v>
      </c>
      <c r="G19" s="11">
        <v>690.1</v>
      </c>
      <c r="H19" s="11">
        <f t="shared" si="31"/>
        <v>9032.99</v>
      </c>
      <c r="I19" s="11">
        <v>1932.66</v>
      </c>
      <c r="J19" s="11">
        <f t="shared" ref="J19:J24" si="35">SUM(K19:N19)</f>
        <v>6468.2300000000005</v>
      </c>
      <c r="K19" s="11">
        <v>6184.88</v>
      </c>
      <c r="L19" s="11">
        <v>0</v>
      </c>
      <c r="M19" s="11">
        <v>143.77000000000001</v>
      </c>
      <c r="N19" s="11">
        <v>139.58000000000001</v>
      </c>
      <c r="O19" s="11">
        <v>510.84</v>
      </c>
      <c r="P19" s="33">
        <v>51.5</v>
      </c>
      <c r="Q19" s="33">
        <v>100</v>
      </c>
      <c r="R19" s="11">
        <v>1271.3499999999999</v>
      </c>
      <c r="S19" s="11">
        <v>300</v>
      </c>
      <c r="T19" s="31">
        <f t="shared" si="32"/>
        <v>1.0299999999997453</v>
      </c>
      <c r="U19" s="32">
        <f t="shared" si="33"/>
        <v>0</v>
      </c>
      <c r="V19" s="33">
        <v>58</v>
      </c>
      <c r="W19" s="33">
        <f>80+552.1</f>
        <v>632.1</v>
      </c>
      <c r="X19" s="38" t="s">
        <v>50</v>
      </c>
      <c r="Y19" s="39"/>
    </row>
    <row r="20" spans="1:25" s="35" customFormat="1" ht="18.75">
      <c r="A20" s="9">
        <v>44517</v>
      </c>
      <c r="B20" s="10" t="s">
        <v>25</v>
      </c>
      <c r="C20" s="11">
        <v>6196.11</v>
      </c>
      <c r="D20" s="11">
        <v>2405.37</v>
      </c>
      <c r="E20" s="11">
        <v>17</v>
      </c>
      <c r="F20" s="11">
        <v>54</v>
      </c>
      <c r="G20" s="11">
        <v>90</v>
      </c>
      <c r="H20" s="11">
        <f t="shared" si="31"/>
        <v>8902.48</v>
      </c>
      <c r="I20" s="11">
        <v>2230.08</v>
      </c>
      <c r="J20" s="11">
        <f t="shared" si="35"/>
        <v>6612.4</v>
      </c>
      <c r="K20" s="11">
        <v>6133.87</v>
      </c>
      <c r="L20" s="11">
        <v>0</v>
      </c>
      <c r="M20" s="11">
        <v>258.77</v>
      </c>
      <c r="N20" s="11">
        <v>219.76</v>
      </c>
      <c r="O20" s="11">
        <v>479.03</v>
      </c>
      <c r="P20" s="33">
        <v>140</v>
      </c>
      <c r="Q20" s="33">
        <v>26</v>
      </c>
      <c r="R20" s="11">
        <v>1579.32</v>
      </c>
      <c r="S20" s="11">
        <v>300</v>
      </c>
      <c r="T20" s="31">
        <f t="shared" si="32"/>
        <v>-5.7300000000000182</v>
      </c>
      <c r="U20" s="32">
        <f t="shared" si="33"/>
        <v>0</v>
      </c>
      <c r="V20" s="33">
        <f t="shared" si="34"/>
        <v>30</v>
      </c>
      <c r="W20" s="33">
        <v>60</v>
      </c>
      <c r="X20" s="38"/>
      <c r="Y20" s="39"/>
    </row>
    <row r="21" spans="1:25" s="35" customFormat="1" ht="18.75">
      <c r="A21" s="9">
        <v>44518</v>
      </c>
      <c r="B21" s="10" t="s">
        <v>26</v>
      </c>
      <c r="C21" s="11">
        <v>5209.13</v>
      </c>
      <c r="D21" s="11">
        <v>3017.62</v>
      </c>
      <c r="E21" s="11">
        <v>6.5</v>
      </c>
      <c r="F21" s="11">
        <v>49</v>
      </c>
      <c r="G21" s="11">
        <v>10</v>
      </c>
      <c r="H21" s="11">
        <f t="shared" si="31"/>
        <v>8532.25</v>
      </c>
      <c r="I21" s="11">
        <v>2248.0700000000002</v>
      </c>
      <c r="J21" s="11">
        <f t="shared" si="35"/>
        <v>6284.18</v>
      </c>
      <c r="K21" s="11">
        <v>6176.66</v>
      </c>
      <c r="L21" s="11">
        <v>0</v>
      </c>
      <c r="M21" s="11">
        <v>107.52</v>
      </c>
      <c r="N21" s="11">
        <v>0</v>
      </c>
      <c r="O21" s="11">
        <v>0</v>
      </c>
      <c r="P21" s="33">
        <v>240</v>
      </c>
      <c r="Q21" s="33">
        <v>0</v>
      </c>
      <c r="R21" s="11">
        <v>2014.62</v>
      </c>
      <c r="S21" s="11">
        <v>300</v>
      </c>
      <c r="T21" s="31">
        <f t="shared" si="32"/>
        <v>6.5499999999997272</v>
      </c>
      <c r="U21" s="32">
        <f t="shared" si="33"/>
        <v>0</v>
      </c>
      <c r="V21" s="33">
        <f t="shared" si="34"/>
        <v>10</v>
      </c>
      <c r="W21" s="33">
        <v>0</v>
      </c>
      <c r="X21" s="38"/>
      <c r="Y21" s="39"/>
    </row>
    <row r="22" spans="1:25" s="35" customFormat="1" ht="18.75">
      <c r="A22" s="9">
        <v>44519</v>
      </c>
      <c r="B22" s="10" t="s">
        <v>20</v>
      </c>
      <c r="C22" s="11">
        <v>5875.04</v>
      </c>
      <c r="D22" s="11">
        <v>3713.15</v>
      </c>
      <c r="E22" s="11">
        <v>13</v>
      </c>
      <c r="F22" s="11">
        <v>71</v>
      </c>
      <c r="G22" s="11">
        <v>145</v>
      </c>
      <c r="H22" s="11">
        <f t="shared" si="31"/>
        <v>9977.19</v>
      </c>
      <c r="I22" s="43">
        <v>2887.8</v>
      </c>
      <c r="J22" s="11">
        <f t="shared" si="35"/>
        <v>6837.51</v>
      </c>
      <c r="K22" s="11">
        <v>6812.31</v>
      </c>
      <c r="L22" s="11">
        <v>15.21</v>
      </c>
      <c r="M22" s="11">
        <v>9.99</v>
      </c>
      <c r="N22" s="11">
        <v>0</v>
      </c>
      <c r="O22" s="11">
        <v>50.12</v>
      </c>
      <c r="P22" s="33">
        <v>160</v>
      </c>
      <c r="Q22" s="33">
        <v>30</v>
      </c>
      <c r="R22" s="11">
        <v>2647.1</v>
      </c>
      <c r="S22" s="11">
        <v>300</v>
      </c>
      <c r="T22" s="31">
        <f t="shared" si="32"/>
        <v>-0.58000000000038199</v>
      </c>
      <c r="U22" s="32">
        <f t="shared" si="33"/>
        <v>-171.8799999999992</v>
      </c>
      <c r="V22" s="33">
        <f t="shared" si="34"/>
        <v>65</v>
      </c>
      <c r="W22" s="33">
        <v>80</v>
      </c>
      <c r="X22" s="38"/>
      <c r="Y22" s="39"/>
    </row>
    <row r="23" spans="1:25" s="35" customFormat="1" ht="18.75">
      <c r="A23" s="9">
        <v>44520</v>
      </c>
      <c r="B23" s="10" t="s">
        <v>21</v>
      </c>
      <c r="C23" s="11">
        <v>4665.43</v>
      </c>
      <c r="D23" s="11">
        <f>3832.1+5.99</f>
        <v>3838.0899999999997</v>
      </c>
      <c r="E23" s="11">
        <v>14</v>
      </c>
      <c r="F23" s="11">
        <v>48</v>
      </c>
      <c r="G23" s="11">
        <v>171</v>
      </c>
      <c r="H23" s="11">
        <f t="shared" si="31"/>
        <v>8776.52</v>
      </c>
      <c r="I23" s="11">
        <v>2529.17</v>
      </c>
      <c r="J23" s="11">
        <f t="shared" si="35"/>
        <v>6120</v>
      </c>
      <c r="K23" s="11">
        <v>5953.26</v>
      </c>
      <c r="L23" s="11">
        <v>0</v>
      </c>
      <c r="M23" s="11">
        <v>166.74</v>
      </c>
      <c r="N23" s="11">
        <v>0</v>
      </c>
      <c r="O23" s="11">
        <v>0</v>
      </c>
      <c r="P23" s="33">
        <v>40</v>
      </c>
      <c r="Q23" s="33">
        <v>32.799999999999997</v>
      </c>
      <c r="R23" s="11">
        <v>2457.65</v>
      </c>
      <c r="S23" s="11">
        <v>300</v>
      </c>
      <c r="T23" s="31">
        <f t="shared" si="32"/>
        <v>1.2800000000002001</v>
      </c>
      <c r="U23" s="32">
        <f t="shared" si="33"/>
        <v>-75.350000000000364</v>
      </c>
      <c r="V23" s="33">
        <f t="shared" si="34"/>
        <v>119</v>
      </c>
      <c r="W23" s="33">
        <v>52</v>
      </c>
      <c r="X23" s="38" t="s">
        <v>51</v>
      </c>
      <c r="Y23" s="39"/>
    </row>
    <row r="24" spans="1:25" s="35" customFormat="1" ht="18.75">
      <c r="A24" s="9">
        <v>44521</v>
      </c>
      <c r="B24" s="10" t="s">
        <v>22</v>
      </c>
      <c r="C24" s="11">
        <v>5357.28</v>
      </c>
      <c r="D24" s="11">
        <v>2806.76</v>
      </c>
      <c r="E24" s="11">
        <v>0</v>
      </c>
      <c r="F24" s="11">
        <v>67</v>
      </c>
      <c r="G24" s="11">
        <v>70</v>
      </c>
      <c r="H24" s="11">
        <f t="shared" si="31"/>
        <v>8410.5800000000017</v>
      </c>
      <c r="I24" s="11">
        <v>2132.9499999999998</v>
      </c>
      <c r="J24" s="11">
        <f t="shared" si="35"/>
        <v>6251.62</v>
      </c>
      <c r="K24" s="11">
        <v>6065.67</v>
      </c>
      <c r="L24" s="11">
        <v>0</v>
      </c>
      <c r="M24" s="11">
        <v>185.95</v>
      </c>
      <c r="N24" s="11">
        <v>0</v>
      </c>
      <c r="O24" s="11">
        <v>3.99</v>
      </c>
      <c r="P24" s="33">
        <v>109.54</v>
      </c>
      <c r="Q24" s="33">
        <v>22</v>
      </c>
      <c r="R24" s="11">
        <v>2001.34</v>
      </c>
      <c r="S24" s="11">
        <v>300</v>
      </c>
      <c r="T24" s="31">
        <f t="shared" si="32"/>
        <v>3.9200000000000728</v>
      </c>
      <c r="U24" s="32">
        <f t="shared" si="33"/>
        <v>3.9899999999979627</v>
      </c>
      <c r="V24" s="33">
        <f t="shared" si="34"/>
        <v>40</v>
      </c>
      <c r="W24" s="33">
        <v>30</v>
      </c>
      <c r="X24" s="38" t="s">
        <v>52</v>
      </c>
      <c r="Y24" s="39"/>
    </row>
    <row r="25" spans="1:25" ht="37.5">
      <c r="A25" s="14" t="s">
        <v>27</v>
      </c>
      <c r="B25" s="16"/>
      <c r="C25" s="27">
        <f>SUM(C18:C24)</f>
        <v>38706.660000000003</v>
      </c>
      <c r="D25" s="27">
        <f t="shared" ref="D25" si="36">SUM(D18:D24)</f>
        <v>20513.440000000002</v>
      </c>
      <c r="E25" s="27">
        <f t="shared" ref="E25" si="37">SUM(E18:E24)</f>
        <v>55.5</v>
      </c>
      <c r="F25" s="27">
        <f t="shared" ref="F25" si="38">SUM(F18:F24)</f>
        <v>369</v>
      </c>
      <c r="G25" s="27">
        <f t="shared" ref="G25" si="39">SUM(G18:G24)</f>
        <v>1432.1</v>
      </c>
      <c r="H25" s="27">
        <f t="shared" ref="H25" si="40">SUM(H18:H24)</f>
        <v>61862.740000000005</v>
      </c>
      <c r="I25" s="27">
        <f t="shared" ref="I25" si="41">SUM(I18:I24)</f>
        <v>15961.380000000001</v>
      </c>
      <c r="J25" s="27">
        <f t="shared" ref="J25" si="42">SUM(J18:J24)</f>
        <v>44665.170000000006</v>
      </c>
      <c r="K25" s="27">
        <f t="shared" ref="K25" si="43">SUM(K18:K24)</f>
        <v>43148.549999999996</v>
      </c>
      <c r="L25" s="27">
        <f t="shared" ref="L25" si="44">SUM(L18:L24)</f>
        <v>15.21</v>
      </c>
      <c r="M25" s="27">
        <f t="shared" ref="M25" si="45">SUM(M18:M24)</f>
        <v>1142.07</v>
      </c>
      <c r="N25" s="27">
        <f t="shared" ref="N25" si="46">SUM(N18:N24)</f>
        <v>359.34000000000003</v>
      </c>
      <c r="O25" s="27">
        <f t="shared" ref="O25" si="47">SUM(O18:O24)</f>
        <v>1400.3899999999999</v>
      </c>
      <c r="P25" s="27">
        <f t="shared" ref="P25" si="48">SUM(P18:P24)</f>
        <v>786.04</v>
      </c>
      <c r="Q25" s="27">
        <f t="shared" ref="Q25" si="49">SUM(Q18:Q24)</f>
        <v>239.60000000000002</v>
      </c>
      <c r="R25" s="27">
        <f t="shared" ref="R25" si="50">SUM(R18:R24)</f>
        <v>13486.099999999999</v>
      </c>
      <c r="S25" s="27">
        <f t="shared" ref="S25" si="51">SUM(S18:S24)</f>
        <v>2100</v>
      </c>
      <c r="T25" s="27">
        <f t="shared" ref="T25" si="52">SUM(T18:T24)</f>
        <v>-49.250000000000682</v>
      </c>
      <c r="U25" s="27">
        <f t="shared" ref="U25" si="53">SUM(U18:U24)</f>
        <v>-202.09000000000196</v>
      </c>
      <c r="V25" s="27">
        <f t="shared" ref="V25" si="54">SUM(V18:V24)</f>
        <v>398</v>
      </c>
      <c r="W25" s="27">
        <f t="shared" ref="W25" si="55">SUM(W18:W24)</f>
        <v>1034.0999999999999</v>
      </c>
    </row>
    <row r="26" spans="1:25" s="35" customFormat="1" ht="18.75">
      <c r="A26" s="9">
        <v>44522</v>
      </c>
      <c r="B26" s="10" t="s">
        <v>23</v>
      </c>
      <c r="C26" s="11">
        <v>5491.45</v>
      </c>
      <c r="D26" s="11">
        <v>2481.77</v>
      </c>
      <c r="E26" s="11">
        <v>0</v>
      </c>
      <c r="F26" s="11">
        <v>29</v>
      </c>
      <c r="G26" s="11">
        <v>128</v>
      </c>
      <c r="H26" s="11">
        <f t="shared" ref="H26:H32" si="56">SUM(C26:G26,P26)</f>
        <v>8208.2199999999993</v>
      </c>
      <c r="I26" s="11">
        <v>2219.11</v>
      </c>
      <c r="J26" s="11">
        <f>SUM(K26:N26)</f>
        <v>6035.9000000000005</v>
      </c>
      <c r="K26" s="11">
        <v>5632.51</v>
      </c>
      <c r="L26" s="11">
        <v>136.75</v>
      </c>
      <c r="M26" s="11">
        <v>198.88</v>
      </c>
      <c r="N26" s="11">
        <v>67.760000000000005</v>
      </c>
      <c r="O26" s="11">
        <v>323.64999999999998</v>
      </c>
      <c r="P26" s="33">
        <v>78</v>
      </c>
      <c r="Q26" s="33">
        <v>15</v>
      </c>
      <c r="R26" s="11">
        <v>1802.16</v>
      </c>
      <c r="S26" s="11">
        <v>300</v>
      </c>
      <c r="T26" s="31">
        <f t="shared" ref="T26:T32" si="57">SUM(O26,P26,Q26,R26)-I26</f>
        <v>-0.3000000000001819</v>
      </c>
      <c r="U26" s="32">
        <f>SUM(I26+J26+W26)-(H26)</f>
        <v>136.79000000000087</v>
      </c>
      <c r="V26" s="33">
        <f t="shared" ref="V26:V32" si="58">SUM(G26-W26)</f>
        <v>38</v>
      </c>
      <c r="W26" s="33">
        <v>90</v>
      </c>
      <c r="X26" s="38"/>
      <c r="Y26" s="39"/>
    </row>
    <row r="27" spans="1:25" s="35" customFormat="1" ht="18.75">
      <c r="A27" s="9">
        <v>44523</v>
      </c>
      <c r="B27" s="10" t="s">
        <v>24</v>
      </c>
      <c r="C27" s="11">
        <v>5428.36</v>
      </c>
      <c r="D27" s="11">
        <v>2353.61</v>
      </c>
      <c r="E27" s="11">
        <v>13</v>
      </c>
      <c r="F27" s="11">
        <v>12</v>
      </c>
      <c r="G27" s="11">
        <v>170</v>
      </c>
      <c r="H27" s="11">
        <f t="shared" si="56"/>
        <v>8046.9699999999993</v>
      </c>
      <c r="I27" s="11">
        <v>2198.58</v>
      </c>
      <c r="J27" s="11">
        <f t="shared" ref="J27:J32" si="59">SUM(K27:N27)</f>
        <v>5728.3899999999994</v>
      </c>
      <c r="K27" s="11">
        <v>5375.65</v>
      </c>
      <c r="L27" s="11">
        <v>0</v>
      </c>
      <c r="M27" s="11">
        <v>229.9</v>
      </c>
      <c r="N27" s="11">
        <v>122.84</v>
      </c>
      <c r="O27" s="11">
        <v>0</v>
      </c>
      <c r="P27" s="33">
        <v>70</v>
      </c>
      <c r="Q27" s="33">
        <v>0</v>
      </c>
      <c r="R27" s="11">
        <v>2120.02</v>
      </c>
      <c r="S27" s="11">
        <v>300</v>
      </c>
      <c r="T27" s="31">
        <f t="shared" si="57"/>
        <v>-8.5599999999999454</v>
      </c>
      <c r="U27" s="32">
        <f>SUM(I27+J27+W27)-(H27)</f>
        <v>0</v>
      </c>
      <c r="V27" s="33">
        <f t="shared" si="58"/>
        <v>50</v>
      </c>
      <c r="W27" s="33">
        <v>120</v>
      </c>
      <c r="X27" s="38"/>
      <c r="Y27" s="39"/>
    </row>
    <row r="28" spans="1:25" s="35" customFormat="1" ht="18.75">
      <c r="A28" s="9">
        <v>44524</v>
      </c>
      <c r="B28" s="10" t="s">
        <v>25</v>
      </c>
      <c r="C28" s="11">
        <v>6261.63</v>
      </c>
      <c r="D28" s="11">
        <v>2700.44</v>
      </c>
      <c r="E28" s="11">
        <v>6</v>
      </c>
      <c r="F28" s="11">
        <v>39</v>
      </c>
      <c r="G28" s="11">
        <v>466.18</v>
      </c>
      <c r="H28" s="11">
        <f t="shared" si="56"/>
        <v>9513.25</v>
      </c>
      <c r="I28" s="11">
        <v>1985.39</v>
      </c>
      <c r="J28" s="11">
        <f t="shared" si="59"/>
        <v>7081.68</v>
      </c>
      <c r="K28" s="11">
        <v>6663.3</v>
      </c>
      <c r="L28" s="11">
        <v>0</v>
      </c>
      <c r="M28" s="11">
        <v>149.82</v>
      </c>
      <c r="N28" s="11">
        <v>268.56</v>
      </c>
      <c r="O28" s="11">
        <v>192.33</v>
      </c>
      <c r="P28" s="33">
        <v>40</v>
      </c>
      <c r="Q28" s="33">
        <v>24.1</v>
      </c>
      <c r="R28" s="11">
        <v>1728.75</v>
      </c>
      <c r="S28" s="11">
        <v>300</v>
      </c>
      <c r="T28" s="31">
        <f t="shared" si="57"/>
        <v>-0.21000000000003638</v>
      </c>
      <c r="U28" s="32">
        <f t="shared" ref="U28:U32" si="60">SUM(I28+J28+W28)-(H28)</f>
        <v>0</v>
      </c>
      <c r="V28" s="33">
        <f t="shared" si="58"/>
        <v>20</v>
      </c>
      <c r="W28" s="33">
        <v>446.18</v>
      </c>
      <c r="X28" s="38"/>
      <c r="Y28" s="39"/>
    </row>
    <row r="29" spans="1:25" s="35" customFormat="1" ht="18.75">
      <c r="A29" s="9">
        <v>44525</v>
      </c>
      <c r="B29" s="10" t="s">
        <v>26</v>
      </c>
      <c r="C29" s="11">
        <v>6224.81</v>
      </c>
      <c r="D29" s="11">
        <v>2993.62</v>
      </c>
      <c r="E29" s="11">
        <v>0</v>
      </c>
      <c r="F29" s="11">
        <v>51</v>
      </c>
      <c r="G29" s="11">
        <v>129</v>
      </c>
      <c r="H29" s="11">
        <f t="shared" si="56"/>
        <v>9444.43</v>
      </c>
      <c r="I29" s="11">
        <v>2264.5700000000002</v>
      </c>
      <c r="J29" s="11">
        <f t="shared" si="59"/>
        <v>7102.8499999999995</v>
      </c>
      <c r="K29" s="11">
        <v>6862.86</v>
      </c>
      <c r="L29" s="11">
        <v>0</v>
      </c>
      <c r="M29" s="11">
        <v>239.99</v>
      </c>
      <c r="N29" s="11">
        <v>0</v>
      </c>
      <c r="O29" s="11">
        <v>0</v>
      </c>
      <c r="P29" s="33">
        <v>46</v>
      </c>
      <c r="Q29" s="33">
        <v>23</v>
      </c>
      <c r="R29" s="11">
        <v>2160.13</v>
      </c>
      <c r="S29" s="11">
        <v>300</v>
      </c>
      <c r="T29" s="31">
        <f t="shared" si="57"/>
        <v>-35.440000000000055</v>
      </c>
      <c r="U29" s="32">
        <f t="shared" si="60"/>
        <v>36.989999999999782</v>
      </c>
      <c r="V29" s="33">
        <f t="shared" si="58"/>
        <v>15</v>
      </c>
      <c r="W29" s="33">
        <v>114</v>
      </c>
      <c r="X29" s="38"/>
      <c r="Y29" s="39"/>
    </row>
    <row r="30" spans="1:25" s="35" customFormat="1" ht="18.75">
      <c r="A30" s="9">
        <v>44526</v>
      </c>
      <c r="B30" s="10" t="s">
        <v>20</v>
      </c>
      <c r="C30" s="11">
        <v>7099.21</v>
      </c>
      <c r="D30" s="11">
        <v>3403.53</v>
      </c>
      <c r="E30" s="11">
        <v>27.5</v>
      </c>
      <c r="F30" s="11">
        <v>35</v>
      </c>
      <c r="G30" s="11">
        <v>140</v>
      </c>
      <c r="H30" s="11">
        <f t="shared" si="56"/>
        <v>10705.24</v>
      </c>
      <c r="I30" s="11">
        <v>2176.67</v>
      </c>
      <c r="J30" s="11">
        <f t="shared" si="59"/>
        <v>8543.2799999999988</v>
      </c>
      <c r="K30" s="11">
        <v>8176.16</v>
      </c>
      <c r="L30" s="11">
        <v>54.71</v>
      </c>
      <c r="M30" s="11">
        <v>169.61</v>
      </c>
      <c r="N30" s="11">
        <v>142.80000000000001</v>
      </c>
      <c r="O30" s="11">
        <v>0</v>
      </c>
      <c r="P30" s="33">
        <v>0</v>
      </c>
      <c r="Q30" s="33">
        <v>2</v>
      </c>
      <c r="R30" s="11">
        <v>2146.08</v>
      </c>
      <c r="S30" s="11">
        <v>300</v>
      </c>
      <c r="T30" s="31">
        <f t="shared" si="57"/>
        <v>-28.590000000000146</v>
      </c>
      <c r="U30" s="32">
        <f t="shared" si="60"/>
        <v>54.709999999999127</v>
      </c>
      <c r="V30" s="33">
        <f t="shared" si="58"/>
        <v>100</v>
      </c>
      <c r="W30" s="33">
        <v>40</v>
      </c>
      <c r="X30" s="38"/>
      <c r="Y30" s="39"/>
    </row>
    <row r="31" spans="1:25" s="35" customFormat="1" ht="18.75">
      <c r="A31" s="9">
        <v>44527</v>
      </c>
      <c r="B31" s="10" t="s">
        <v>21</v>
      </c>
      <c r="C31" s="11">
        <v>5571.04</v>
      </c>
      <c r="D31" s="11">
        <v>3515.87</v>
      </c>
      <c r="E31" s="11">
        <v>6</v>
      </c>
      <c r="F31" s="11">
        <v>49</v>
      </c>
      <c r="G31" s="11">
        <v>65</v>
      </c>
      <c r="H31" s="11">
        <f t="shared" si="56"/>
        <v>9287.09</v>
      </c>
      <c r="I31" s="11">
        <v>2268.09</v>
      </c>
      <c r="J31" s="11">
        <f t="shared" si="59"/>
        <v>6985.11</v>
      </c>
      <c r="K31" s="11">
        <v>6698.33</v>
      </c>
      <c r="L31" s="11">
        <v>90.13</v>
      </c>
      <c r="M31" s="11">
        <v>196.65</v>
      </c>
      <c r="N31" s="11">
        <v>0</v>
      </c>
      <c r="O31" s="11">
        <v>0</v>
      </c>
      <c r="P31" s="33">
        <v>80.180000000000007</v>
      </c>
      <c r="Q31" s="33">
        <v>53</v>
      </c>
      <c r="R31" s="11">
        <v>2146.9299999999998</v>
      </c>
      <c r="S31" s="11">
        <v>300</v>
      </c>
      <c r="T31" s="31">
        <f t="shared" si="57"/>
        <v>12.019999999999527</v>
      </c>
      <c r="U31" s="32">
        <f t="shared" si="60"/>
        <v>6.1100000000005821</v>
      </c>
      <c r="V31" s="33">
        <f t="shared" si="58"/>
        <v>25</v>
      </c>
      <c r="W31" s="33">
        <v>40</v>
      </c>
      <c r="X31" s="38"/>
      <c r="Y31" s="39"/>
    </row>
    <row r="32" spans="1:25" s="35" customFormat="1" ht="18.75">
      <c r="A32" s="9">
        <v>44528</v>
      </c>
      <c r="B32" s="10" t="s">
        <v>22</v>
      </c>
      <c r="C32" s="11">
        <v>5117.25</v>
      </c>
      <c r="D32" s="11">
        <v>2605.5100000000002</v>
      </c>
      <c r="E32" s="11">
        <v>0</v>
      </c>
      <c r="F32" s="11">
        <v>18</v>
      </c>
      <c r="G32" s="11">
        <v>164</v>
      </c>
      <c r="H32" s="11">
        <f t="shared" si="56"/>
        <v>8077.83</v>
      </c>
      <c r="I32" s="11">
        <v>1963.77</v>
      </c>
      <c r="J32" s="11">
        <f t="shared" si="59"/>
        <v>6064.87</v>
      </c>
      <c r="K32" s="11">
        <v>5934.62</v>
      </c>
      <c r="L32" s="11">
        <v>0</v>
      </c>
      <c r="M32" s="11">
        <v>130.25</v>
      </c>
      <c r="N32" s="11">
        <v>0</v>
      </c>
      <c r="O32" s="11">
        <v>0</v>
      </c>
      <c r="P32" s="33">
        <v>173.07</v>
      </c>
      <c r="Q32" s="33">
        <v>22</v>
      </c>
      <c r="R32" s="11">
        <v>1769.76</v>
      </c>
      <c r="S32" s="11">
        <v>300</v>
      </c>
      <c r="T32" s="31">
        <f t="shared" si="57"/>
        <v>1.0599999999999454</v>
      </c>
      <c r="U32" s="32">
        <f t="shared" si="60"/>
        <v>0.80999999999949068</v>
      </c>
      <c r="V32" s="33">
        <f t="shared" si="58"/>
        <v>114</v>
      </c>
      <c r="W32" s="33">
        <v>50</v>
      </c>
      <c r="X32" s="38"/>
      <c r="Y32" s="39"/>
    </row>
    <row r="33" spans="1:26" ht="37.5">
      <c r="A33" s="14" t="s">
        <v>27</v>
      </c>
      <c r="B33" s="16"/>
      <c r="C33" s="27">
        <f>SUM(C26:C32)</f>
        <v>41193.75</v>
      </c>
      <c r="D33" s="27">
        <f t="shared" ref="D33" si="61">SUM(D26:D32)</f>
        <v>20054.349999999999</v>
      </c>
      <c r="E33" s="27">
        <f t="shared" ref="E33" si="62">SUM(E26:E32)</f>
        <v>52.5</v>
      </c>
      <c r="F33" s="27">
        <f t="shared" ref="F33" si="63">SUM(F26:F32)</f>
        <v>233</v>
      </c>
      <c r="G33" s="27">
        <f t="shared" ref="G33" si="64">SUM(G26:G32)</f>
        <v>1262.18</v>
      </c>
      <c r="H33" s="27">
        <f t="shared" ref="H33" si="65">SUM(H26:H32)</f>
        <v>63283.03</v>
      </c>
      <c r="I33" s="27">
        <f t="shared" ref="I33" si="66">SUM(I26:I32)</f>
        <v>15076.180000000002</v>
      </c>
      <c r="J33" s="27">
        <f t="shared" ref="J33" si="67">SUM(J26:J32)</f>
        <v>47542.080000000002</v>
      </c>
      <c r="K33" s="27">
        <f t="shared" ref="K33" si="68">SUM(K26:K32)</f>
        <v>45343.43</v>
      </c>
      <c r="L33" s="27">
        <f t="shared" ref="L33" si="69">SUM(L26:L32)</f>
        <v>281.59000000000003</v>
      </c>
      <c r="M33" s="27">
        <f t="shared" ref="M33" si="70">SUM(M26:M32)</f>
        <v>1315.1</v>
      </c>
      <c r="N33" s="27">
        <f t="shared" ref="N33" si="71">SUM(N26:N32)</f>
        <v>601.96</v>
      </c>
      <c r="O33" s="27">
        <f t="shared" ref="O33" si="72">SUM(O26:O32)</f>
        <v>515.98</v>
      </c>
      <c r="P33" s="27">
        <f t="shared" ref="P33" si="73">SUM(P26:P32)</f>
        <v>487.25</v>
      </c>
      <c r="Q33" s="27">
        <f t="shared" ref="Q33" si="74">SUM(Q26:Q32)</f>
        <v>139.1</v>
      </c>
      <c r="R33" s="27">
        <f t="shared" ref="R33" si="75">SUM(R26:R32)</f>
        <v>13873.83</v>
      </c>
      <c r="S33" s="27">
        <f t="shared" ref="S33" si="76">SUM(S26:S32)</f>
        <v>2100</v>
      </c>
      <c r="T33" s="27">
        <f t="shared" ref="T33" si="77">SUM(T26:T32)</f>
        <v>-60.020000000000891</v>
      </c>
      <c r="U33" s="27">
        <f t="shared" ref="U33" si="78">SUM(U26:U32)</f>
        <v>235.40999999999985</v>
      </c>
      <c r="V33" s="27">
        <f t="shared" ref="V33" si="79">SUM(V26:V32)</f>
        <v>362</v>
      </c>
      <c r="W33" s="27">
        <f t="shared" ref="W33" si="80">SUM(W26:W32)</f>
        <v>900.18000000000006</v>
      </c>
      <c r="Z33">
        <v>3086123001053</v>
      </c>
    </row>
    <row r="34" spans="1:26" s="35" customFormat="1" ht="18.75">
      <c r="A34" s="9">
        <v>44529</v>
      </c>
      <c r="B34" s="10" t="s">
        <v>23</v>
      </c>
      <c r="C34" s="11">
        <v>5531.97</v>
      </c>
      <c r="D34" s="11">
        <v>2177.48</v>
      </c>
      <c r="E34" s="11">
        <v>11.5</v>
      </c>
      <c r="F34" s="11">
        <v>17</v>
      </c>
      <c r="G34" s="11">
        <v>93</v>
      </c>
      <c r="H34" s="11">
        <f t="shared" ref="H34:H35" si="81">SUM(C34:G34,P34)</f>
        <v>7870.9500000000007</v>
      </c>
      <c r="I34" s="11">
        <v>1950.08</v>
      </c>
      <c r="J34" s="11">
        <f>SUM(K34:N34)</f>
        <v>5827.87</v>
      </c>
      <c r="K34" s="11">
        <f>5586.94-2.63</f>
        <v>5584.3099999999995</v>
      </c>
      <c r="L34" s="11">
        <v>2.63</v>
      </c>
      <c r="M34" s="11">
        <v>0</v>
      </c>
      <c r="N34" s="11">
        <v>240.93</v>
      </c>
      <c r="O34" s="11">
        <v>84.35</v>
      </c>
      <c r="P34" s="33">
        <v>40</v>
      </c>
      <c r="Q34" s="33">
        <v>16</v>
      </c>
      <c r="R34" s="11">
        <v>1802.74</v>
      </c>
      <c r="S34" s="11">
        <v>300</v>
      </c>
      <c r="T34" s="31">
        <f t="shared" ref="T34:T35" si="82">SUM(O34,P34,Q34,R34)-I34</f>
        <v>-6.9900000000000091</v>
      </c>
      <c r="U34" s="32">
        <f>SUM(I34+J34+W34)-(H34)</f>
        <v>0</v>
      </c>
      <c r="V34" s="33">
        <f t="shared" ref="V34:V35" si="83">SUM(G34-W34)</f>
        <v>0</v>
      </c>
      <c r="W34" s="33">
        <v>93</v>
      </c>
      <c r="X34" s="38"/>
      <c r="Y34" s="39"/>
    </row>
    <row r="35" spans="1:26" s="35" customFormat="1" ht="18.75">
      <c r="A35" s="9">
        <v>44530</v>
      </c>
      <c r="B35" s="10" t="s">
        <v>24</v>
      </c>
      <c r="C35" s="11">
        <v>5210.3599999999997</v>
      </c>
      <c r="D35" s="11">
        <v>2819.17</v>
      </c>
      <c r="E35" s="11">
        <v>14.5</v>
      </c>
      <c r="F35" s="11">
        <v>20</v>
      </c>
      <c r="G35" s="11">
        <v>106</v>
      </c>
      <c r="H35" s="11">
        <f t="shared" si="81"/>
        <v>8220.0299999999988</v>
      </c>
      <c r="I35" s="11">
        <v>1990.16</v>
      </c>
      <c r="J35" s="11">
        <f t="shared" ref="J35" si="84">SUM(K35:N35)</f>
        <v>6193.8700000000008</v>
      </c>
      <c r="K35" s="11">
        <f>6099.6-14.54</f>
        <v>6085.06</v>
      </c>
      <c r="L35" s="11">
        <v>14.54</v>
      </c>
      <c r="M35" s="11">
        <v>94.27</v>
      </c>
      <c r="N35" s="11">
        <v>0</v>
      </c>
      <c r="O35" s="11">
        <v>958.4</v>
      </c>
      <c r="P35" s="33">
        <v>50</v>
      </c>
      <c r="Q35" s="33">
        <v>5</v>
      </c>
      <c r="R35" s="11">
        <v>975.95</v>
      </c>
      <c r="S35" s="11">
        <v>300</v>
      </c>
      <c r="T35" s="31">
        <f t="shared" si="82"/>
        <v>-0.8100000000001728</v>
      </c>
      <c r="U35" s="32">
        <f>SUM(I35+J35+W35)-(H35)</f>
        <v>0</v>
      </c>
      <c r="V35" s="33">
        <f t="shared" si="83"/>
        <v>70</v>
      </c>
      <c r="W35" s="33">
        <v>36</v>
      </c>
      <c r="X35" s="38"/>
      <c r="Y35" s="39"/>
    </row>
    <row r="36" spans="1:26" ht="51.75" customHeight="1">
      <c r="A36" s="24" t="s">
        <v>17</v>
      </c>
      <c r="B36" s="25"/>
      <c r="C36" s="30">
        <f>SUM(C9,C17,C25,C33,C34:C35)</f>
        <v>166000.62999999998</v>
      </c>
      <c r="D36" s="30">
        <f>SUM(D9,D17,D25,D33,D34:D35)</f>
        <v>86849.209999999992</v>
      </c>
      <c r="E36" s="30">
        <f t="shared" ref="E36:W36" si="85">SUM(E9,E17,E25,E33,E34:E35)</f>
        <v>257</v>
      </c>
      <c r="F36" s="30">
        <f t="shared" si="85"/>
        <v>1214</v>
      </c>
      <c r="G36" s="30">
        <f t="shared" si="85"/>
        <v>5272.79</v>
      </c>
      <c r="H36" s="30">
        <f t="shared" si="85"/>
        <v>261561.90000000002</v>
      </c>
      <c r="I36" s="30">
        <f t="shared" si="85"/>
        <v>63270.090000000004</v>
      </c>
      <c r="J36" s="30">
        <f t="shared" si="85"/>
        <v>194690.12</v>
      </c>
      <c r="K36" s="30">
        <f t="shared" si="85"/>
        <v>187521.61</v>
      </c>
      <c r="L36" s="30">
        <f t="shared" si="85"/>
        <v>387.32000000000005</v>
      </c>
      <c r="M36" s="30">
        <f t="shared" si="85"/>
        <v>4203.7900000000009</v>
      </c>
      <c r="N36" s="30">
        <f t="shared" si="85"/>
        <v>2577.4</v>
      </c>
      <c r="O36" s="30">
        <f t="shared" si="85"/>
        <v>4988.0099999999993</v>
      </c>
      <c r="P36" s="30">
        <f t="shared" si="85"/>
        <v>1968.27</v>
      </c>
      <c r="Q36" s="30">
        <f t="shared" si="85"/>
        <v>866.95</v>
      </c>
      <c r="R36" s="30">
        <f t="shared" si="85"/>
        <v>55196.42</v>
      </c>
      <c r="S36" s="30">
        <f t="shared" si="85"/>
        <v>7685</v>
      </c>
      <c r="T36" s="30">
        <f t="shared" si="85"/>
        <v>-250.44000000000142</v>
      </c>
      <c r="U36" s="30">
        <f t="shared" si="85"/>
        <v>-85.700000000006185</v>
      </c>
      <c r="V36" s="30">
        <f t="shared" si="85"/>
        <v>1757.03</v>
      </c>
      <c r="W36" s="30">
        <f t="shared" si="85"/>
        <v>3515.99</v>
      </c>
    </row>
    <row r="38" spans="1:26"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</row>
    <row r="39" spans="1:26"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</row>
    <row r="40" spans="1:26">
      <c r="C40" s="42"/>
      <c r="D40" s="42"/>
      <c r="E40" s="42"/>
      <c r="F40" s="42"/>
      <c r="G40" s="42"/>
      <c r="H40" s="42"/>
      <c r="I40" s="42"/>
      <c r="J40" s="42"/>
      <c r="K40" s="42"/>
      <c r="L40" s="42"/>
      <c r="M40" s="42"/>
      <c r="N40" s="42"/>
      <c r="O40" s="42"/>
      <c r="P40" s="42"/>
      <c r="Q40" s="42"/>
      <c r="R40" s="42"/>
      <c r="S40" s="42"/>
      <c r="T40" s="42"/>
      <c r="U40" s="42"/>
      <c r="V40" s="42"/>
      <c r="W40" s="42"/>
    </row>
    <row r="41" spans="1:26">
      <c r="C41" s="42"/>
      <c r="D41" s="42"/>
      <c r="E41" s="42"/>
      <c r="F41" s="42"/>
      <c r="G41" s="42"/>
      <c r="H41" s="42"/>
      <c r="I41" s="42"/>
      <c r="J41" s="42"/>
      <c r="K41" s="42"/>
      <c r="L41" s="42"/>
      <c r="M41" s="42"/>
      <c r="N41" s="42"/>
      <c r="O41" s="42"/>
      <c r="P41" s="42"/>
      <c r="Q41" s="42"/>
      <c r="R41" s="42"/>
      <c r="S41" s="42"/>
      <c r="T41" s="42"/>
      <c r="U41" s="42"/>
      <c r="V41" s="42"/>
      <c r="W41" s="42"/>
    </row>
    <row r="42" spans="1:26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</row>
    <row r="44" spans="1:26" hidden="1"/>
    <row r="45" spans="1:26" ht="18.75" hidden="1"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33"/>
      <c r="Q45" s="33"/>
      <c r="R45" s="11"/>
      <c r="S45" s="11"/>
      <c r="T45" s="31"/>
      <c r="U45" s="32"/>
      <c r="V45" s="33"/>
      <c r="W45" s="33"/>
    </row>
    <row r="46" spans="1:26" ht="18.75" hidden="1"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33"/>
      <c r="Q46" s="33"/>
      <c r="R46" s="11"/>
      <c r="S46" s="11"/>
      <c r="T46" s="31"/>
      <c r="U46" s="32"/>
      <c r="V46" s="33"/>
      <c r="W46" s="33"/>
    </row>
    <row r="47" spans="1:26" s="28" customFormat="1" ht="18.75" hidden="1">
      <c r="A47"/>
      <c r="B47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33"/>
      <c r="Q47" s="33"/>
      <c r="R47" s="11"/>
      <c r="S47" s="11"/>
      <c r="T47" s="31"/>
      <c r="U47" s="32"/>
      <c r="V47" s="33"/>
      <c r="W47" s="33"/>
      <c r="Y47" s="36"/>
      <c r="Z47"/>
    </row>
    <row r="48" spans="1:26" s="28" customFormat="1" hidden="1">
      <c r="A48"/>
      <c r="B48"/>
      <c r="C48"/>
      <c r="D48"/>
      <c r="E48"/>
      <c r="F48"/>
      <c r="G48"/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Y48" s="36"/>
      <c r="Z48"/>
    </row>
    <row r="49" spans="1:26" s="28" customFormat="1" hidden="1">
      <c r="A49"/>
      <c r="B49"/>
      <c r="C49"/>
      <c r="D49"/>
      <c r="E49"/>
      <c r="F49"/>
      <c r="G49"/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Y49" s="36"/>
      <c r="Z49"/>
    </row>
    <row r="50" spans="1:26" s="28" customFormat="1" hidden="1">
      <c r="A50"/>
      <c r="B50"/>
      <c r="C50"/>
      <c r="D50"/>
      <c r="E50"/>
      <c r="F50"/>
      <c r="G50"/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Y50" s="36"/>
      <c r="Z50"/>
    </row>
  </sheetData>
  <conditionalFormatting sqref="T45:U47 T18:U24 T34:U35 T2:U8 T10:U16 T26:U32">
    <cfRule type="cellIs" dxfId="332" priority="44" operator="lessThan">
      <formula>0</formula>
    </cfRule>
    <cfRule type="cellIs" dxfId="331" priority="45" operator="greaterThan">
      <formula>0</formula>
    </cfRule>
  </conditionalFormatting>
  <conditionalFormatting sqref="T45:V47 T18:V24 T34:V35 T2:V8 T10:V16 T26:V32">
    <cfRule type="cellIs" dxfId="330" priority="41" operator="equal">
      <formula>0</formula>
    </cfRule>
    <cfRule type="cellIs" dxfId="329" priority="42" operator="lessThan">
      <formula>0</formula>
    </cfRule>
    <cfRule type="cellIs" dxfId="328" priority="43" operator="greaterThan">
      <formula>0</formula>
    </cfRule>
  </conditionalFormatting>
  <pageMargins left="0.7" right="0.7" top="0.75" bottom="0.75" header="0.3" footer="0.3"/>
  <ignoredErrors>
    <ignoredError sqref="J3 J4:J8 J10:J16 J18:J24 J26:J27" formulaRange="1"/>
    <ignoredError sqref="J9" formula="1"/>
    <ignoredError sqref="J17" formula="1" formulaRange="1"/>
  </ignoredErrors>
</worksheet>
</file>

<file path=xl/worksheets/sheet8.xml><?xml version="1.0" encoding="utf-8"?>
<worksheet xmlns="http://schemas.openxmlformats.org/spreadsheetml/2006/main" xmlns:r="http://schemas.openxmlformats.org/officeDocument/2006/relationships">
  <dimension ref="A1:W53"/>
  <sheetViews>
    <sheetView topLeftCell="A13" zoomScale="70" zoomScaleNormal="70" workbookViewId="0">
      <selection activeCell="D38" sqref="D38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5.4257812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20.85546875" customWidth="1"/>
    <col min="15" max="16" width="16.7109375" customWidth="1"/>
    <col min="17" max="17" width="14.28515625" customWidth="1"/>
    <col min="18" max="18" width="13" customWidth="1"/>
    <col min="19" max="19" width="14.85546875" customWidth="1"/>
    <col min="20" max="20" width="14" customWidth="1"/>
    <col min="21" max="21" width="15.28515625" customWidth="1"/>
    <col min="22" max="23" width="15.85546875" customWidth="1"/>
  </cols>
  <sheetData>
    <row r="1" spans="1:23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</row>
    <row r="2" spans="1:23" ht="18.75">
      <c r="A2" s="9">
        <v>44529</v>
      </c>
      <c r="B2" s="10" t="s">
        <v>23</v>
      </c>
      <c r="C2" s="11">
        <v>5531.97</v>
      </c>
      <c r="D2" s="11">
        <v>2177.48</v>
      </c>
      <c r="E2" s="11">
        <v>11.5</v>
      </c>
      <c r="F2" s="11">
        <v>17</v>
      </c>
      <c r="G2" s="11">
        <v>93</v>
      </c>
      <c r="H2" s="11">
        <f t="shared" ref="H2:H8" si="0">SUM(C2:G2,P2)</f>
        <v>7870.9500000000007</v>
      </c>
      <c r="I2" s="11">
        <v>1950.08</v>
      </c>
      <c r="J2" s="11">
        <f>SUM(K2:N2)</f>
        <v>5827.87</v>
      </c>
      <c r="K2" s="11">
        <f>5586.94-2.63</f>
        <v>5584.3099999999995</v>
      </c>
      <c r="L2" s="11">
        <v>2.63</v>
      </c>
      <c r="M2" s="11">
        <v>0</v>
      </c>
      <c r="N2" s="11">
        <v>240.93</v>
      </c>
      <c r="O2" s="11">
        <v>84.35</v>
      </c>
      <c r="P2" s="33">
        <v>40</v>
      </c>
      <c r="Q2" s="33">
        <v>16</v>
      </c>
      <c r="R2" s="11">
        <v>1802.74</v>
      </c>
      <c r="S2" s="11">
        <v>300</v>
      </c>
      <c r="T2" s="31">
        <f t="shared" ref="T2:T8" si="1">SUM(O2,P2,Q2,R2)-I2</f>
        <v>-6.9900000000000091</v>
      </c>
      <c r="U2" s="32">
        <f t="shared" ref="U2:U8" si="2">SUM(I2+J2+W2)-(H2)</f>
        <v>0</v>
      </c>
      <c r="V2" s="33">
        <f t="shared" ref="V2:V8" si="3">SUM(G2-W2)</f>
        <v>0</v>
      </c>
      <c r="W2" s="33">
        <v>93</v>
      </c>
    </row>
    <row r="3" spans="1:23" ht="18.75">
      <c r="A3" s="9">
        <v>44530</v>
      </c>
      <c r="B3" s="10" t="s">
        <v>24</v>
      </c>
      <c r="C3" s="11">
        <v>5210.3599999999997</v>
      </c>
      <c r="D3" s="11">
        <v>2819.17</v>
      </c>
      <c r="E3" s="11">
        <v>14.5</v>
      </c>
      <c r="F3" s="11">
        <v>20</v>
      </c>
      <c r="G3" s="11">
        <v>106</v>
      </c>
      <c r="H3" s="11">
        <f t="shared" si="0"/>
        <v>8220.0299999999988</v>
      </c>
      <c r="I3" s="11">
        <v>1990.16</v>
      </c>
      <c r="J3" s="11">
        <f t="shared" ref="J3" si="4">SUM(K3:N3)</f>
        <v>6193.8700000000008</v>
      </c>
      <c r="K3" s="11">
        <f>6099.6-14.54</f>
        <v>6085.06</v>
      </c>
      <c r="L3" s="11">
        <v>14.54</v>
      </c>
      <c r="M3" s="11">
        <v>94.27</v>
      </c>
      <c r="N3" s="11">
        <v>0</v>
      </c>
      <c r="O3" s="11">
        <v>958.4</v>
      </c>
      <c r="P3" s="33">
        <v>50</v>
      </c>
      <c r="Q3" s="33">
        <v>5</v>
      </c>
      <c r="R3" s="11">
        <v>975.95</v>
      </c>
      <c r="S3" s="11">
        <v>300</v>
      </c>
      <c r="T3" s="31">
        <f t="shared" si="1"/>
        <v>-0.8100000000001728</v>
      </c>
      <c r="U3" s="32">
        <f t="shared" si="2"/>
        <v>0</v>
      </c>
      <c r="V3" s="33">
        <f t="shared" si="3"/>
        <v>70</v>
      </c>
      <c r="W3" s="33">
        <v>36</v>
      </c>
    </row>
    <row r="4" spans="1:23" ht="18.75">
      <c r="A4" s="9">
        <v>44531</v>
      </c>
      <c r="B4" s="10" t="s">
        <v>25</v>
      </c>
      <c r="C4" s="11">
        <v>7148.9</v>
      </c>
      <c r="D4" s="11">
        <v>2608.67</v>
      </c>
      <c r="E4" s="11">
        <v>9</v>
      </c>
      <c r="F4" s="11">
        <v>29</v>
      </c>
      <c r="G4" s="11">
        <v>1071.0999999999999</v>
      </c>
      <c r="H4" s="11">
        <f t="shared" si="0"/>
        <v>10917.67</v>
      </c>
      <c r="I4" s="11">
        <v>2528.61</v>
      </c>
      <c r="J4" s="11">
        <f t="shared" ref="J4" si="5">SUM(K4:N4)</f>
        <v>7317.96</v>
      </c>
      <c r="K4" s="11">
        <f>7153.68-39.68</f>
        <v>7114</v>
      </c>
      <c r="L4" s="11">
        <v>39.68</v>
      </c>
      <c r="M4" s="11">
        <v>164.28</v>
      </c>
      <c r="N4" s="11">
        <v>0</v>
      </c>
      <c r="O4" s="11">
        <v>193.57</v>
      </c>
      <c r="P4" s="33">
        <v>51</v>
      </c>
      <c r="Q4" s="33">
        <v>30</v>
      </c>
      <c r="R4" s="11">
        <v>2257.0500000000002</v>
      </c>
      <c r="S4" s="11">
        <v>300</v>
      </c>
      <c r="T4" s="31">
        <f t="shared" si="1"/>
        <v>3.0100000000002183</v>
      </c>
      <c r="U4" s="32">
        <f t="shared" si="2"/>
        <v>-941.10000000000036</v>
      </c>
      <c r="V4" s="33">
        <f t="shared" si="3"/>
        <v>941.09999999999991</v>
      </c>
      <c r="W4" s="33">
        <v>130</v>
      </c>
    </row>
    <row r="5" spans="1:23" ht="18.75">
      <c r="A5" s="9">
        <v>44532</v>
      </c>
      <c r="B5" s="10" t="s">
        <v>26</v>
      </c>
      <c r="C5" s="11">
        <v>4158.18</v>
      </c>
      <c r="D5" s="11">
        <v>2577.79</v>
      </c>
      <c r="E5" s="11">
        <v>3</v>
      </c>
      <c r="F5" s="11">
        <v>14</v>
      </c>
      <c r="G5" s="11">
        <v>180</v>
      </c>
      <c r="H5" s="11">
        <f t="shared" si="0"/>
        <v>6932.97</v>
      </c>
      <c r="I5" s="11">
        <v>1624.41</v>
      </c>
      <c r="J5" s="11">
        <f t="shared" ref="J5:J8" si="6">SUM(K5:N5)</f>
        <v>5218.5599999999995</v>
      </c>
      <c r="K5" s="11">
        <f>4877.54-14.48</f>
        <v>4863.0600000000004</v>
      </c>
      <c r="L5" s="11">
        <v>14.48</v>
      </c>
      <c r="M5" s="11">
        <v>252.65</v>
      </c>
      <c r="N5" s="11">
        <v>88.37</v>
      </c>
      <c r="O5" s="11">
        <v>247.46</v>
      </c>
      <c r="P5" s="33">
        <v>0</v>
      </c>
      <c r="Q5" s="33">
        <v>5</v>
      </c>
      <c r="R5" s="11">
        <v>1374.09</v>
      </c>
      <c r="S5" s="11">
        <v>300</v>
      </c>
      <c r="T5" s="31">
        <f t="shared" si="1"/>
        <v>2.1399999999998727</v>
      </c>
      <c r="U5" s="32">
        <f t="shared" si="2"/>
        <v>0</v>
      </c>
      <c r="V5" s="33">
        <f t="shared" si="3"/>
        <v>90</v>
      </c>
      <c r="W5" s="33">
        <v>90</v>
      </c>
    </row>
    <row r="6" spans="1:23" ht="18.75">
      <c r="A6" s="9">
        <v>44533</v>
      </c>
      <c r="B6" s="10" t="s">
        <v>20</v>
      </c>
      <c r="C6" s="11">
        <v>5051.96</v>
      </c>
      <c r="D6" s="11">
        <v>3633.22</v>
      </c>
      <c r="E6" s="11">
        <v>25.5</v>
      </c>
      <c r="F6" s="11">
        <v>24</v>
      </c>
      <c r="G6" s="11">
        <v>354</v>
      </c>
      <c r="H6" s="11">
        <f t="shared" si="0"/>
        <v>9168.68</v>
      </c>
      <c r="I6" s="11">
        <v>2373.19</v>
      </c>
      <c r="J6" s="11">
        <f t="shared" si="6"/>
        <v>6591.49</v>
      </c>
      <c r="K6" s="11">
        <f>6531.49-71.37</f>
        <v>6460.12</v>
      </c>
      <c r="L6" s="11">
        <v>71.37</v>
      </c>
      <c r="M6" s="11">
        <v>60</v>
      </c>
      <c r="N6" s="11">
        <v>0</v>
      </c>
      <c r="O6" s="11">
        <v>0</v>
      </c>
      <c r="P6" s="33">
        <v>80</v>
      </c>
      <c r="Q6" s="33">
        <v>20</v>
      </c>
      <c r="R6" s="11">
        <v>2284.35</v>
      </c>
      <c r="S6" s="11">
        <v>300</v>
      </c>
      <c r="T6" s="31">
        <f t="shared" si="1"/>
        <v>11.159999999999854</v>
      </c>
      <c r="U6" s="32">
        <f t="shared" si="2"/>
        <v>-159</v>
      </c>
      <c r="V6" s="33">
        <v>150</v>
      </c>
      <c r="W6" s="33">
        <v>45</v>
      </c>
    </row>
    <row r="7" spans="1:23" ht="18.75">
      <c r="A7" s="9">
        <v>44534</v>
      </c>
      <c r="B7" s="10" t="s">
        <v>21</v>
      </c>
      <c r="C7" s="11">
        <v>5437.14</v>
      </c>
      <c r="D7" s="11">
        <v>3823.07</v>
      </c>
      <c r="E7" s="11">
        <v>6</v>
      </c>
      <c r="F7" s="11">
        <v>66</v>
      </c>
      <c r="G7" s="11">
        <v>80</v>
      </c>
      <c r="H7" s="11">
        <f t="shared" si="0"/>
        <v>9432.2100000000009</v>
      </c>
      <c r="I7" s="11">
        <v>2469.73</v>
      </c>
      <c r="J7" s="11">
        <f t="shared" si="6"/>
        <v>6962.48</v>
      </c>
      <c r="K7" s="11">
        <v>6962.48</v>
      </c>
      <c r="L7" s="11">
        <v>0</v>
      </c>
      <c r="M7" s="11">
        <v>0</v>
      </c>
      <c r="N7" s="11">
        <v>0</v>
      </c>
      <c r="O7" s="11">
        <v>158.75</v>
      </c>
      <c r="P7" s="33">
        <v>20</v>
      </c>
      <c r="Q7" s="33">
        <v>50</v>
      </c>
      <c r="R7" s="11">
        <v>2243.17</v>
      </c>
      <c r="S7" s="11">
        <v>300</v>
      </c>
      <c r="T7" s="31">
        <f t="shared" si="1"/>
        <v>2.1900000000000546</v>
      </c>
      <c r="U7" s="32">
        <f t="shared" si="2"/>
        <v>0</v>
      </c>
      <c r="V7" s="33">
        <f t="shared" si="3"/>
        <v>80</v>
      </c>
      <c r="W7" s="33">
        <v>0</v>
      </c>
    </row>
    <row r="8" spans="1:23" ht="18.75">
      <c r="A8" s="9">
        <v>44535</v>
      </c>
      <c r="B8" s="10" t="s">
        <v>22</v>
      </c>
      <c r="C8" s="11">
        <v>5012.04</v>
      </c>
      <c r="D8" s="11">
        <v>2855.39</v>
      </c>
      <c r="E8" s="11">
        <v>0</v>
      </c>
      <c r="F8" s="11">
        <v>92</v>
      </c>
      <c r="G8" s="11">
        <v>224</v>
      </c>
      <c r="H8" s="11">
        <f t="shared" si="0"/>
        <v>8183.43</v>
      </c>
      <c r="I8" s="11">
        <v>1952.2</v>
      </c>
      <c r="J8" s="11">
        <f t="shared" si="6"/>
        <v>6061.2300000000005</v>
      </c>
      <c r="K8" s="11">
        <f>5740.56-11.48</f>
        <v>5729.0800000000008</v>
      </c>
      <c r="L8" s="11">
        <v>11.48</v>
      </c>
      <c r="M8" s="11">
        <v>0</v>
      </c>
      <c r="N8" s="11">
        <v>320.67</v>
      </c>
      <c r="O8" s="11">
        <v>0</v>
      </c>
      <c r="P8" s="33">
        <v>0</v>
      </c>
      <c r="Q8" s="33">
        <v>12</v>
      </c>
      <c r="R8" s="11">
        <v>1941.95</v>
      </c>
      <c r="S8" s="11">
        <v>300</v>
      </c>
      <c r="T8" s="31">
        <f t="shared" si="1"/>
        <v>1.75</v>
      </c>
      <c r="U8" s="32">
        <f t="shared" si="2"/>
        <v>0</v>
      </c>
      <c r="V8" s="33">
        <f t="shared" si="3"/>
        <v>54</v>
      </c>
      <c r="W8" s="33">
        <v>170</v>
      </c>
    </row>
    <row r="9" spans="1:23" ht="37.5" customHeight="1">
      <c r="A9" s="65" t="s">
        <v>27</v>
      </c>
      <c r="B9" s="66"/>
      <c r="C9" s="27">
        <f t="shared" ref="C9:W9" si="7">SUM(C2:C8)</f>
        <v>37550.549999999996</v>
      </c>
      <c r="D9" s="27">
        <f t="shared" si="7"/>
        <v>20494.79</v>
      </c>
      <c r="E9" s="27">
        <f t="shared" si="7"/>
        <v>69.5</v>
      </c>
      <c r="F9" s="27">
        <f t="shared" si="7"/>
        <v>262</v>
      </c>
      <c r="G9" s="27">
        <f t="shared" si="7"/>
        <v>2108.1</v>
      </c>
      <c r="H9" s="27">
        <f t="shared" si="7"/>
        <v>60725.94</v>
      </c>
      <c r="I9" s="27">
        <f t="shared" si="7"/>
        <v>14888.380000000001</v>
      </c>
      <c r="J9" s="27">
        <f t="shared" si="7"/>
        <v>44173.46</v>
      </c>
      <c r="K9" s="27">
        <f t="shared" si="7"/>
        <v>42798.11</v>
      </c>
      <c r="L9" s="27">
        <f t="shared" si="7"/>
        <v>154.17999999999998</v>
      </c>
      <c r="M9" s="27">
        <f t="shared" si="7"/>
        <v>571.20000000000005</v>
      </c>
      <c r="N9" s="27">
        <f t="shared" si="7"/>
        <v>649.97</v>
      </c>
      <c r="O9" s="27">
        <f t="shared" si="7"/>
        <v>1642.53</v>
      </c>
      <c r="P9" s="27">
        <f t="shared" si="7"/>
        <v>241</v>
      </c>
      <c r="Q9" s="27">
        <f t="shared" si="7"/>
        <v>138</v>
      </c>
      <c r="R9" s="27">
        <f t="shared" si="7"/>
        <v>12879.300000000001</v>
      </c>
      <c r="S9" s="27">
        <f t="shared" si="7"/>
        <v>2100</v>
      </c>
      <c r="T9" s="27">
        <f t="shared" si="7"/>
        <v>12.449999999999818</v>
      </c>
      <c r="U9" s="27">
        <f t="shared" si="7"/>
        <v>-1100.1000000000004</v>
      </c>
      <c r="V9" s="27">
        <f t="shared" si="7"/>
        <v>1385.1</v>
      </c>
      <c r="W9" s="27">
        <f t="shared" si="7"/>
        <v>564</v>
      </c>
    </row>
    <row r="10" spans="1:23" ht="18.75">
      <c r="A10" s="9">
        <v>44536</v>
      </c>
      <c r="B10" s="10" t="s">
        <v>23</v>
      </c>
      <c r="C10" s="11">
        <v>6717.44</v>
      </c>
      <c r="D10" s="11">
        <v>1689.02</v>
      </c>
      <c r="E10" s="11">
        <v>0</v>
      </c>
      <c r="F10" s="11">
        <v>25</v>
      </c>
      <c r="G10" s="11">
        <v>367.76</v>
      </c>
      <c r="H10" s="11">
        <f t="shared" ref="H10:H16" si="8">SUM(C10:G10,P10)</f>
        <v>8829.2199999999993</v>
      </c>
      <c r="I10" s="11">
        <v>1699.48</v>
      </c>
      <c r="J10" s="11">
        <f>SUM(K10:N10)</f>
        <v>7318.2600000000011</v>
      </c>
      <c r="K10" s="11">
        <f>6738.81-20.5</f>
        <v>6718.31</v>
      </c>
      <c r="L10" s="11">
        <v>20.5</v>
      </c>
      <c r="M10" s="11">
        <v>496.35</v>
      </c>
      <c r="N10" s="11">
        <v>83.1</v>
      </c>
      <c r="O10" s="11">
        <v>407.63</v>
      </c>
      <c r="P10" s="33">
        <v>30</v>
      </c>
      <c r="Q10" s="33">
        <v>25</v>
      </c>
      <c r="R10" s="11">
        <v>1232.6199999999999</v>
      </c>
      <c r="S10" s="11">
        <v>300</v>
      </c>
      <c r="T10" s="31">
        <f t="shared" ref="T10:T16" si="9">SUM(O10,P10,Q10,R10)-I10</f>
        <v>-4.2300000000000182</v>
      </c>
      <c r="U10" s="32">
        <f t="shared" ref="U10:U16" si="10">SUM(I10+J10+W10)-(H10)</f>
        <v>407.69000000000233</v>
      </c>
      <c r="V10" s="33">
        <f t="shared" ref="V10:V16" si="11">SUM(G10-W10)</f>
        <v>148.59</v>
      </c>
      <c r="W10" s="33">
        <v>219.17</v>
      </c>
    </row>
    <row r="11" spans="1:23" ht="18.75">
      <c r="A11" s="9">
        <v>44537</v>
      </c>
      <c r="B11" s="10" t="s">
        <v>24</v>
      </c>
      <c r="C11" s="11">
        <v>6092.91</v>
      </c>
      <c r="D11" s="11">
        <v>3002.97</v>
      </c>
      <c r="E11" s="11">
        <v>16.5</v>
      </c>
      <c r="F11" s="11">
        <v>69</v>
      </c>
      <c r="G11" s="11">
        <v>60</v>
      </c>
      <c r="H11" s="11">
        <f t="shared" si="8"/>
        <v>9243.3799999999992</v>
      </c>
      <c r="I11" s="11">
        <v>2606.9899999999998</v>
      </c>
      <c r="J11" s="11">
        <f t="shared" ref="J11:J15" si="12">SUM(K11:N11)</f>
        <v>6604.38</v>
      </c>
      <c r="K11" s="11">
        <f>6604.38-70</f>
        <v>6534.38</v>
      </c>
      <c r="L11" s="11">
        <v>0</v>
      </c>
      <c r="M11" s="11">
        <v>0</v>
      </c>
      <c r="N11" s="11">
        <v>70</v>
      </c>
      <c r="O11" s="11">
        <v>0</v>
      </c>
      <c r="P11" s="33">
        <v>2</v>
      </c>
      <c r="Q11" s="33">
        <v>10</v>
      </c>
      <c r="R11" s="11">
        <v>2626.06</v>
      </c>
      <c r="S11" s="11">
        <v>300</v>
      </c>
      <c r="T11" s="31">
        <f t="shared" si="9"/>
        <v>31.070000000000164</v>
      </c>
      <c r="U11" s="32">
        <f t="shared" si="10"/>
        <v>7.9899999999997817</v>
      </c>
      <c r="V11" s="33">
        <f t="shared" si="11"/>
        <v>20</v>
      </c>
      <c r="W11" s="33">
        <v>40</v>
      </c>
    </row>
    <row r="12" spans="1:23" ht="18.75">
      <c r="A12" s="9">
        <v>44538</v>
      </c>
      <c r="B12" s="10" t="s">
        <v>25</v>
      </c>
      <c r="C12" s="11">
        <v>7703.57</v>
      </c>
      <c r="D12" s="11">
        <v>2491.59</v>
      </c>
      <c r="E12" s="11">
        <v>19.5</v>
      </c>
      <c r="F12" s="11">
        <v>8</v>
      </c>
      <c r="G12" s="11">
        <v>111.72</v>
      </c>
      <c r="H12" s="11">
        <f t="shared" si="8"/>
        <v>10334.379999999999</v>
      </c>
      <c r="I12" s="11">
        <v>2123.25</v>
      </c>
      <c r="J12" s="11">
        <f t="shared" si="12"/>
        <v>8134.41</v>
      </c>
      <c r="K12" s="11">
        <f>7821.1-12.68</f>
        <v>7808.42</v>
      </c>
      <c r="L12" s="11">
        <v>12.68</v>
      </c>
      <c r="M12" s="11">
        <v>221.66</v>
      </c>
      <c r="N12" s="11">
        <v>91.65</v>
      </c>
      <c r="O12" s="11">
        <v>0</v>
      </c>
      <c r="P12" s="33">
        <v>0</v>
      </c>
      <c r="Q12" s="33">
        <v>12</v>
      </c>
      <c r="R12" s="11">
        <v>2105.02</v>
      </c>
      <c r="S12" s="11">
        <v>300</v>
      </c>
      <c r="T12" s="31">
        <f t="shared" si="9"/>
        <v>-6.2300000000000182</v>
      </c>
      <c r="U12" s="32">
        <f t="shared" si="10"/>
        <v>0</v>
      </c>
      <c r="V12" s="33">
        <f t="shared" si="11"/>
        <v>35</v>
      </c>
      <c r="W12" s="33">
        <v>76.72</v>
      </c>
    </row>
    <row r="13" spans="1:23" ht="18.75">
      <c r="A13" s="9">
        <v>44539</v>
      </c>
      <c r="B13" s="10" t="s">
        <v>26</v>
      </c>
      <c r="C13" s="11">
        <v>7919.6</v>
      </c>
      <c r="D13" s="11">
        <f>2686.79+167.81</f>
        <v>2854.6</v>
      </c>
      <c r="E13" s="11">
        <v>2.5</v>
      </c>
      <c r="F13" s="11">
        <v>54</v>
      </c>
      <c r="G13" s="11">
        <v>45</v>
      </c>
      <c r="H13" s="11">
        <f t="shared" si="8"/>
        <v>10875.7</v>
      </c>
      <c r="I13" s="11">
        <v>2808.5</v>
      </c>
      <c r="J13" s="11">
        <f t="shared" si="12"/>
        <v>8037.2</v>
      </c>
      <c r="K13" s="11">
        <v>7628.96</v>
      </c>
      <c r="L13" s="11">
        <v>59.96</v>
      </c>
      <c r="M13" s="11">
        <v>135.30000000000001</v>
      </c>
      <c r="N13" s="11">
        <v>212.98</v>
      </c>
      <c r="O13" s="11">
        <v>397.72</v>
      </c>
      <c r="P13" s="33">
        <v>0</v>
      </c>
      <c r="Q13" s="33">
        <v>16</v>
      </c>
      <c r="R13" s="11">
        <v>2396.41</v>
      </c>
      <c r="S13" s="11">
        <v>300</v>
      </c>
      <c r="T13" s="31">
        <f t="shared" si="9"/>
        <v>1.6300000000001091</v>
      </c>
      <c r="U13" s="32">
        <f t="shared" si="10"/>
        <v>0</v>
      </c>
      <c r="V13" s="33">
        <f t="shared" si="11"/>
        <v>15</v>
      </c>
      <c r="W13" s="33">
        <v>30</v>
      </c>
    </row>
    <row r="14" spans="1:23" ht="18.75">
      <c r="A14" s="9">
        <v>44540</v>
      </c>
      <c r="B14" s="10" t="s">
        <v>20</v>
      </c>
      <c r="C14" s="11">
        <v>7008.08</v>
      </c>
      <c r="D14" s="11">
        <v>3837.82</v>
      </c>
      <c r="E14" s="11">
        <v>26</v>
      </c>
      <c r="F14" s="11">
        <v>13</v>
      </c>
      <c r="G14" s="11">
        <v>102</v>
      </c>
      <c r="H14" s="11">
        <f t="shared" si="8"/>
        <v>11111.9</v>
      </c>
      <c r="I14" s="11">
        <v>2655.42</v>
      </c>
      <c r="J14" s="11">
        <f t="shared" si="12"/>
        <v>8425.67</v>
      </c>
      <c r="K14" s="11">
        <f>8425.67-50.58-105</f>
        <v>8270.09</v>
      </c>
      <c r="L14" s="11">
        <v>0</v>
      </c>
      <c r="M14" s="11">
        <v>50.58</v>
      </c>
      <c r="N14" s="11">
        <v>105</v>
      </c>
      <c r="O14" s="11">
        <v>549.96</v>
      </c>
      <c r="P14" s="33">
        <v>125</v>
      </c>
      <c r="Q14" s="33">
        <v>40</v>
      </c>
      <c r="R14" s="11">
        <v>1946.5</v>
      </c>
      <c r="S14" s="11">
        <v>300</v>
      </c>
      <c r="T14" s="31">
        <f t="shared" si="9"/>
        <v>6.0399999999999636</v>
      </c>
      <c r="U14" s="32">
        <f t="shared" si="10"/>
        <v>1.1900000000005093</v>
      </c>
      <c r="V14" s="33">
        <f t="shared" si="11"/>
        <v>70</v>
      </c>
      <c r="W14" s="33">
        <v>32</v>
      </c>
    </row>
    <row r="15" spans="1:23" ht="18.75">
      <c r="A15" s="9">
        <v>44541</v>
      </c>
      <c r="B15" s="10" t="s">
        <v>21</v>
      </c>
      <c r="C15" s="11">
        <v>5586.31</v>
      </c>
      <c r="D15" s="11">
        <v>3833.45</v>
      </c>
      <c r="E15" s="11">
        <v>11</v>
      </c>
      <c r="F15" s="11">
        <v>32</v>
      </c>
      <c r="G15" s="11">
        <v>85.97</v>
      </c>
      <c r="H15" s="11">
        <f t="shared" si="8"/>
        <v>9688.73</v>
      </c>
      <c r="I15" s="11">
        <v>2360.5</v>
      </c>
      <c r="J15" s="11">
        <f t="shared" si="12"/>
        <v>7330.23</v>
      </c>
      <c r="K15" s="11">
        <f>7330.23-98.14</f>
        <v>7232.0899999999992</v>
      </c>
      <c r="L15" s="11">
        <v>0</v>
      </c>
      <c r="M15" s="11">
        <v>98.14</v>
      </c>
      <c r="N15" s="11">
        <v>0</v>
      </c>
      <c r="O15" s="11">
        <v>0</v>
      </c>
      <c r="P15" s="33">
        <v>140</v>
      </c>
      <c r="Q15" s="33">
        <v>9</v>
      </c>
      <c r="R15" s="11">
        <v>2310.44</v>
      </c>
      <c r="S15" s="11">
        <v>300</v>
      </c>
      <c r="T15" s="31">
        <f t="shared" si="9"/>
        <v>98.940000000000055</v>
      </c>
      <c r="U15" s="32">
        <f t="shared" si="10"/>
        <v>2</v>
      </c>
      <c r="V15" s="33">
        <f t="shared" si="11"/>
        <v>85.97</v>
      </c>
      <c r="W15" s="33">
        <v>0</v>
      </c>
    </row>
    <row r="16" spans="1:23" ht="18.75">
      <c r="A16" s="9">
        <v>44542</v>
      </c>
      <c r="B16" s="10" t="s">
        <v>22</v>
      </c>
      <c r="C16" s="11">
        <v>4515.6899999999996</v>
      </c>
      <c r="D16" s="11">
        <v>2327.4899999999998</v>
      </c>
      <c r="E16" s="11">
        <v>0</v>
      </c>
      <c r="F16" s="11">
        <v>77</v>
      </c>
      <c r="G16" s="11">
        <v>140</v>
      </c>
      <c r="H16" s="11">
        <f t="shared" si="8"/>
        <v>7080.1799999999994</v>
      </c>
      <c r="I16" s="11">
        <v>1605.66</v>
      </c>
      <c r="J16" s="11">
        <v>5396.19</v>
      </c>
      <c r="K16" s="11">
        <v>5059.46</v>
      </c>
      <c r="L16" s="11">
        <v>69.930000000000007</v>
      </c>
      <c r="M16" s="11">
        <v>202.12</v>
      </c>
      <c r="N16" s="11">
        <v>64.680000000000007</v>
      </c>
      <c r="O16" s="11">
        <v>0</v>
      </c>
      <c r="P16" s="33">
        <v>20</v>
      </c>
      <c r="Q16" s="33">
        <v>15</v>
      </c>
      <c r="R16" s="11">
        <v>1438.38</v>
      </c>
      <c r="S16" s="11">
        <v>300</v>
      </c>
      <c r="T16" s="31">
        <f t="shared" si="9"/>
        <v>-132.27999999999997</v>
      </c>
      <c r="U16" s="32">
        <f t="shared" si="10"/>
        <v>31.670000000000073</v>
      </c>
      <c r="V16" s="33">
        <f t="shared" si="11"/>
        <v>30</v>
      </c>
      <c r="W16" s="33">
        <v>110</v>
      </c>
    </row>
    <row r="17" spans="1:23" ht="37.5" customHeight="1">
      <c r="A17" s="65" t="s">
        <v>27</v>
      </c>
      <c r="B17" s="66"/>
      <c r="C17" s="27">
        <f>SUM(C10:C16)</f>
        <v>45543.6</v>
      </c>
      <c r="D17" s="27">
        <f t="shared" ref="D17:W17" si="13">SUM(D10:D16)</f>
        <v>20036.940000000002</v>
      </c>
      <c r="E17" s="27">
        <f t="shared" si="13"/>
        <v>75.5</v>
      </c>
      <c r="F17" s="27">
        <f t="shared" si="13"/>
        <v>278</v>
      </c>
      <c r="G17" s="27">
        <f t="shared" si="13"/>
        <v>912.45</v>
      </c>
      <c r="H17" s="27">
        <f t="shared" si="13"/>
        <v>67163.489999999991</v>
      </c>
      <c r="I17" s="27">
        <f t="shared" si="13"/>
        <v>15859.8</v>
      </c>
      <c r="J17" s="27">
        <f t="shared" si="13"/>
        <v>51246.340000000011</v>
      </c>
      <c r="K17" s="27">
        <f t="shared" si="13"/>
        <v>49251.71</v>
      </c>
      <c r="L17" s="27">
        <f t="shared" si="13"/>
        <v>163.07</v>
      </c>
      <c r="M17" s="27">
        <f t="shared" si="13"/>
        <v>1204.1500000000001</v>
      </c>
      <c r="N17" s="27">
        <f t="shared" si="13"/>
        <v>627.41000000000008</v>
      </c>
      <c r="O17" s="27">
        <f t="shared" si="13"/>
        <v>1355.31</v>
      </c>
      <c r="P17" s="27">
        <f t="shared" si="13"/>
        <v>317</v>
      </c>
      <c r="Q17" s="27">
        <f t="shared" si="13"/>
        <v>127</v>
      </c>
      <c r="R17" s="27">
        <f t="shared" si="13"/>
        <v>14055.43</v>
      </c>
      <c r="S17" s="27">
        <f t="shared" si="13"/>
        <v>2100</v>
      </c>
      <c r="T17" s="27">
        <f t="shared" si="13"/>
        <v>-5.0599999999997181</v>
      </c>
      <c r="U17" s="27">
        <f t="shared" si="13"/>
        <v>450.54000000000269</v>
      </c>
      <c r="V17" s="27">
        <f t="shared" si="13"/>
        <v>404.56000000000006</v>
      </c>
      <c r="W17" s="27">
        <f t="shared" si="13"/>
        <v>507.89</v>
      </c>
    </row>
    <row r="18" spans="1:23" s="35" customFormat="1" ht="18.75">
      <c r="A18" s="9">
        <v>44543</v>
      </c>
      <c r="B18" s="10" t="s">
        <v>23</v>
      </c>
      <c r="C18" s="11">
        <v>3020.94</v>
      </c>
      <c r="D18" s="11">
        <v>2156.65</v>
      </c>
      <c r="E18" s="11">
        <v>10</v>
      </c>
      <c r="F18" s="11">
        <v>41</v>
      </c>
      <c r="G18" s="11">
        <v>297.33</v>
      </c>
      <c r="H18" s="11">
        <f t="shared" ref="H18:H24" si="14">SUM(C18:G18,P18)</f>
        <v>5565.92</v>
      </c>
      <c r="I18" s="11">
        <v>1553.65</v>
      </c>
      <c r="J18" s="11">
        <f>SUM(K18:N18)</f>
        <v>3900.9399999999996</v>
      </c>
      <c r="K18" s="11">
        <f>3900.94-9.62-142.24</f>
        <v>3749.08</v>
      </c>
      <c r="L18" s="11">
        <v>9.6199999999999992</v>
      </c>
      <c r="M18" s="11">
        <v>0</v>
      </c>
      <c r="N18" s="11">
        <v>142.24</v>
      </c>
      <c r="O18" s="11">
        <v>303</v>
      </c>
      <c r="P18" s="33">
        <v>40</v>
      </c>
      <c r="Q18" s="33">
        <v>10</v>
      </c>
      <c r="R18" s="11">
        <v>1201.19</v>
      </c>
      <c r="S18" s="11">
        <v>300</v>
      </c>
      <c r="T18" s="31">
        <f t="shared" ref="T18:T24" si="15">SUM(O18,P18,Q18,R18)-I18</f>
        <v>0.53999999999996362</v>
      </c>
      <c r="U18" s="32">
        <f t="shared" ref="U18:U24" si="16">SUM(I18+J18+W18)-(H18)</f>
        <v>0</v>
      </c>
      <c r="V18" s="33">
        <f t="shared" ref="V18:V24" si="17">SUM(G18-W18)</f>
        <v>186</v>
      </c>
      <c r="W18" s="33">
        <v>111.33</v>
      </c>
    </row>
    <row r="19" spans="1:23" s="35" customFormat="1" ht="18.75">
      <c r="A19" s="9">
        <v>44544</v>
      </c>
      <c r="B19" s="10" t="s">
        <v>24</v>
      </c>
      <c r="C19" s="11">
        <v>769.49</v>
      </c>
      <c r="D19" s="11">
        <v>1995.11</v>
      </c>
      <c r="E19" s="11">
        <v>9.5</v>
      </c>
      <c r="F19" s="11">
        <v>12</v>
      </c>
      <c r="G19" s="11">
        <v>220</v>
      </c>
      <c r="H19" s="11">
        <f t="shared" si="14"/>
        <v>3056.1</v>
      </c>
      <c r="I19" s="11">
        <v>922.22</v>
      </c>
      <c r="J19" s="11">
        <f t="shared" ref="J19:J24" si="18">SUM(K19:N19)</f>
        <v>1978.88</v>
      </c>
      <c r="K19" s="11">
        <v>1978.88</v>
      </c>
      <c r="L19" s="11">
        <v>0</v>
      </c>
      <c r="M19" s="11">
        <v>0</v>
      </c>
      <c r="N19" s="11">
        <v>0</v>
      </c>
      <c r="O19" s="11">
        <v>0</v>
      </c>
      <c r="P19" s="33">
        <v>50</v>
      </c>
      <c r="Q19" s="33">
        <v>5</v>
      </c>
      <c r="R19" s="11">
        <v>867.35</v>
      </c>
      <c r="S19" s="11">
        <v>300</v>
      </c>
      <c r="T19" s="31">
        <f t="shared" si="15"/>
        <v>0.12999999999999545</v>
      </c>
      <c r="U19" s="32">
        <f t="shared" si="16"/>
        <v>0</v>
      </c>
      <c r="V19" s="33">
        <f t="shared" si="17"/>
        <v>65</v>
      </c>
      <c r="W19" s="33">
        <v>155</v>
      </c>
    </row>
    <row r="20" spans="1:23" s="35" customFormat="1" ht="18.75">
      <c r="A20" s="9">
        <v>44545</v>
      </c>
      <c r="B20" s="10" t="s">
        <v>25</v>
      </c>
      <c r="C20" s="11">
        <v>0</v>
      </c>
      <c r="D20" s="11">
        <v>2468.9299999999998</v>
      </c>
      <c r="E20" s="11">
        <v>4</v>
      </c>
      <c r="F20" s="11">
        <v>29</v>
      </c>
      <c r="G20" s="11">
        <v>20</v>
      </c>
      <c r="H20" s="11">
        <f t="shared" si="14"/>
        <v>2646.93</v>
      </c>
      <c r="I20" s="11">
        <v>941.48</v>
      </c>
      <c r="J20" s="11">
        <v>1683.45</v>
      </c>
      <c r="K20" s="11">
        <v>1683.45</v>
      </c>
      <c r="L20" s="11">
        <v>0</v>
      </c>
      <c r="M20" s="11">
        <v>0</v>
      </c>
      <c r="N20" s="11">
        <v>0</v>
      </c>
      <c r="O20" s="11">
        <v>0</v>
      </c>
      <c r="P20" s="33">
        <v>125</v>
      </c>
      <c r="Q20" s="33">
        <v>0</v>
      </c>
      <c r="R20" s="11">
        <v>847.35</v>
      </c>
      <c r="S20" s="11">
        <v>300</v>
      </c>
      <c r="T20" s="31">
        <f t="shared" si="15"/>
        <v>30.870000000000005</v>
      </c>
      <c r="U20" s="32">
        <f t="shared" si="16"/>
        <v>-1.9999999999995453</v>
      </c>
      <c r="V20" s="33">
        <f t="shared" si="17"/>
        <v>0</v>
      </c>
      <c r="W20" s="33">
        <v>20</v>
      </c>
    </row>
    <row r="21" spans="1:23" s="35" customFormat="1" ht="18.75">
      <c r="A21" s="9">
        <v>44546</v>
      </c>
      <c r="B21" s="10" t="s">
        <v>26</v>
      </c>
      <c r="C21" s="11">
        <v>0</v>
      </c>
      <c r="D21" s="11">
        <v>1922.69</v>
      </c>
      <c r="E21" s="11">
        <v>0</v>
      </c>
      <c r="F21" s="11">
        <v>17</v>
      </c>
      <c r="G21" s="11">
        <v>10</v>
      </c>
      <c r="H21" s="11">
        <f t="shared" si="14"/>
        <v>1969.69</v>
      </c>
      <c r="I21" s="11">
        <v>694.37</v>
      </c>
      <c r="J21" s="11">
        <f t="shared" si="18"/>
        <v>1265.32</v>
      </c>
      <c r="K21" s="11">
        <v>1265.32</v>
      </c>
      <c r="L21" s="11">
        <v>0</v>
      </c>
      <c r="M21" s="11">
        <v>0</v>
      </c>
      <c r="N21" s="11">
        <v>0</v>
      </c>
      <c r="O21" s="11">
        <v>256.81</v>
      </c>
      <c r="P21" s="33">
        <v>20</v>
      </c>
      <c r="Q21" s="33">
        <v>30</v>
      </c>
      <c r="R21" s="11">
        <v>387.46</v>
      </c>
      <c r="S21" s="11">
        <v>300</v>
      </c>
      <c r="T21" s="31">
        <f t="shared" si="15"/>
        <v>-0.10000000000002274</v>
      </c>
      <c r="U21" s="32">
        <f t="shared" si="16"/>
        <v>0</v>
      </c>
      <c r="V21" s="33">
        <f t="shared" si="17"/>
        <v>0</v>
      </c>
      <c r="W21" s="33">
        <v>10</v>
      </c>
    </row>
    <row r="22" spans="1:23" s="35" customFormat="1" ht="18.75">
      <c r="A22" s="9">
        <v>44547</v>
      </c>
      <c r="B22" s="10" t="s">
        <v>20</v>
      </c>
      <c r="C22" s="11">
        <v>0</v>
      </c>
      <c r="D22" s="11">
        <v>2995.57</v>
      </c>
      <c r="E22" s="11">
        <v>10</v>
      </c>
      <c r="F22" s="11">
        <v>50</v>
      </c>
      <c r="G22" s="11">
        <v>150</v>
      </c>
      <c r="H22" s="11">
        <f t="shared" si="14"/>
        <v>3205.57</v>
      </c>
      <c r="I22" s="43">
        <v>953.31</v>
      </c>
      <c r="J22" s="11">
        <f t="shared" si="18"/>
        <v>2214.2199999999998</v>
      </c>
      <c r="K22" s="11">
        <v>2214.2199999999998</v>
      </c>
      <c r="L22" s="11">
        <v>0</v>
      </c>
      <c r="M22" s="11">
        <v>0</v>
      </c>
      <c r="N22" s="11">
        <v>0</v>
      </c>
      <c r="O22" s="11">
        <v>0</v>
      </c>
      <c r="P22" s="33">
        <v>0</v>
      </c>
      <c r="Q22" s="33">
        <v>39</v>
      </c>
      <c r="R22" s="11">
        <v>866.76</v>
      </c>
      <c r="S22" s="11">
        <v>300</v>
      </c>
      <c r="T22" s="31">
        <f t="shared" si="15"/>
        <v>-47.549999999999955</v>
      </c>
      <c r="U22" s="32">
        <f t="shared" si="16"/>
        <v>51.959999999999582</v>
      </c>
      <c r="V22" s="33">
        <f t="shared" si="17"/>
        <v>60</v>
      </c>
      <c r="W22" s="33">
        <v>90</v>
      </c>
    </row>
    <row r="23" spans="1:23" s="35" customFormat="1" ht="18.75">
      <c r="A23" s="9">
        <v>44548</v>
      </c>
      <c r="B23" s="10" t="s">
        <v>21</v>
      </c>
      <c r="C23" s="11">
        <v>0</v>
      </c>
      <c r="D23" s="11">
        <v>3078.87</v>
      </c>
      <c r="E23" s="11">
        <v>20</v>
      </c>
      <c r="F23" s="11">
        <v>25</v>
      </c>
      <c r="G23" s="11">
        <v>0</v>
      </c>
      <c r="H23" s="11">
        <f t="shared" si="14"/>
        <v>3203.87</v>
      </c>
      <c r="I23" s="11">
        <v>1097.53</v>
      </c>
      <c r="J23" s="11">
        <f t="shared" si="18"/>
        <v>2106.34</v>
      </c>
      <c r="K23" s="11">
        <v>2106.34</v>
      </c>
      <c r="L23" s="11">
        <v>0</v>
      </c>
      <c r="M23" s="11">
        <v>0</v>
      </c>
      <c r="N23" s="11">
        <v>0</v>
      </c>
      <c r="O23" s="11">
        <v>0</v>
      </c>
      <c r="P23" s="33">
        <v>80</v>
      </c>
      <c r="Q23" s="33">
        <v>33</v>
      </c>
      <c r="R23" s="11">
        <v>985.52</v>
      </c>
      <c r="S23" s="11">
        <v>300</v>
      </c>
      <c r="T23" s="31">
        <f t="shared" si="15"/>
        <v>0.99000000000000909</v>
      </c>
      <c r="U23" s="32">
        <f t="shared" si="16"/>
        <v>0</v>
      </c>
      <c r="V23" s="33">
        <f t="shared" si="17"/>
        <v>0</v>
      </c>
      <c r="W23" s="33">
        <v>0</v>
      </c>
    </row>
    <row r="24" spans="1:23" s="35" customFormat="1" ht="18.75">
      <c r="A24" s="9">
        <v>44549</v>
      </c>
      <c r="B24" s="10" t="s">
        <v>22</v>
      </c>
      <c r="C24" s="11">
        <v>0</v>
      </c>
      <c r="D24" s="11">
        <v>2202.08</v>
      </c>
      <c r="E24" s="11">
        <v>0</v>
      </c>
      <c r="F24" s="11">
        <v>178</v>
      </c>
      <c r="G24" s="11">
        <v>0</v>
      </c>
      <c r="H24" s="11">
        <f t="shared" si="14"/>
        <v>2380.08</v>
      </c>
      <c r="I24" s="11">
        <v>910.86</v>
      </c>
      <c r="J24" s="11">
        <f t="shared" si="18"/>
        <v>1469.22</v>
      </c>
      <c r="K24" s="11">
        <v>1469.22</v>
      </c>
      <c r="L24" s="11">
        <v>0</v>
      </c>
      <c r="M24" s="11">
        <v>0</v>
      </c>
      <c r="N24" s="11">
        <v>0</v>
      </c>
      <c r="O24" s="11">
        <v>0</v>
      </c>
      <c r="P24" s="33">
        <v>0</v>
      </c>
      <c r="Q24" s="33">
        <v>120</v>
      </c>
      <c r="R24" s="11">
        <v>791.95</v>
      </c>
      <c r="S24" s="11">
        <v>300</v>
      </c>
      <c r="T24" s="31">
        <f t="shared" si="15"/>
        <v>1.0900000000000318</v>
      </c>
      <c r="U24" s="32">
        <f t="shared" si="16"/>
        <v>0</v>
      </c>
      <c r="V24" s="33">
        <f t="shared" si="17"/>
        <v>0</v>
      </c>
      <c r="W24" s="33">
        <v>0</v>
      </c>
    </row>
    <row r="25" spans="1:23" ht="37.5" customHeight="1">
      <c r="A25" s="65" t="s">
        <v>27</v>
      </c>
      <c r="B25" s="66"/>
      <c r="C25" s="27">
        <f>SUM(C18:C24)</f>
        <v>3790.4300000000003</v>
      </c>
      <c r="D25" s="27">
        <f t="shared" ref="D25:W25" si="19">SUM(D18:D24)</f>
        <v>16819.900000000001</v>
      </c>
      <c r="E25" s="27">
        <f t="shared" si="19"/>
        <v>53.5</v>
      </c>
      <c r="F25" s="27">
        <f t="shared" si="19"/>
        <v>352</v>
      </c>
      <c r="G25" s="27">
        <f t="shared" si="19"/>
        <v>697.32999999999993</v>
      </c>
      <c r="H25" s="27">
        <f t="shared" si="19"/>
        <v>22028.160000000003</v>
      </c>
      <c r="I25" s="27">
        <f t="shared" si="19"/>
        <v>7073.42</v>
      </c>
      <c r="J25" s="27">
        <f t="shared" si="19"/>
        <v>14618.369999999999</v>
      </c>
      <c r="K25" s="27">
        <f t="shared" si="19"/>
        <v>14466.509999999998</v>
      </c>
      <c r="L25" s="27">
        <f t="shared" si="19"/>
        <v>9.6199999999999992</v>
      </c>
      <c r="M25" s="27">
        <f t="shared" si="19"/>
        <v>0</v>
      </c>
      <c r="N25" s="27">
        <f t="shared" si="19"/>
        <v>142.24</v>
      </c>
      <c r="O25" s="27">
        <f t="shared" si="19"/>
        <v>559.80999999999995</v>
      </c>
      <c r="P25" s="27">
        <f t="shared" si="19"/>
        <v>315</v>
      </c>
      <c r="Q25" s="27">
        <f t="shared" si="19"/>
        <v>237</v>
      </c>
      <c r="R25" s="27">
        <f t="shared" si="19"/>
        <v>5947.579999999999</v>
      </c>
      <c r="S25" s="27">
        <f t="shared" si="19"/>
        <v>2100</v>
      </c>
      <c r="T25" s="27">
        <f t="shared" si="19"/>
        <v>-14.029999999999973</v>
      </c>
      <c r="U25" s="27">
        <f t="shared" si="19"/>
        <v>49.960000000000036</v>
      </c>
      <c r="V25" s="27">
        <f t="shared" si="19"/>
        <v>311</v>
      </c>
      <c r="W25" s="27">
        <f t="shared" si="19"/>
        <v>386.33</v>
      </c>
    </row>
    <row r="26" spans="1:23" s="35" customFormat="1" ht="18.75">
      <c r="A26" s="9">
        <v>44550</v>
      </c>
      <c r="B26" s="10" t="s">
        <v>23</v>
      </c>
      <c r="C26" s="11">
        <v>0</v>
      </c>
      <c r="D26" s="11">
        <v>2091.7399999999998</v>
      </c>
      <c r="E26" s="11">
        <v>0</v>
      </c>
      <c r="F26" s="11">
        <v>23</v>
      </c>
      <c r="G26" s="11">
        <v>291.5</v>
      </c>
      <c r="H26" s="11">
        <f t="shared" ref="H26:H32" si="20">SUM(C26:G26,P26)</f>
        <v>2406.2399999999998</v>
      </c>
      <c r="I26" s="11">
        <v>862.22</v>
      </c>
      <c r="J26" s="11">
        <f>SUM(K26:N26)</f>
        <v>1307.52</v>
      </c>
      <c r="K26" s="11">
        <v>1307.52</v>
      </c>
      <c r="L26" s="11">
        <v>0</v>
      </c>
      <c r="M26" s="11">
        <v>0</v>
      </c>
      <c r="N26" s="11">
        <v>0</v>
      </c>
      <c r="O26" s="11">
        <v>461.55</v>
      </c>
      <c r="P26" s="33">
        <v>0</v>
      </c>
      <c r="Q26" s="33">
        <v>40</v>
      </c>
      <c r="R26" s="11">
        <v>362.07</v>
      </c>
      <c r="S26" s="11">
        <v>300</v>
      </c>
      <c r="T26" s="31">
        <f t="shared" ref="T26:T32" si="21">SUM(O26,P26,Q26,R26)-I26</f>
        <v>1.3999999999999773</v>
      </c>
      <c r="U26" s="32">
        <f>SUM(I26+J26+W26)-(H26)</f>
        <v>0</v>
      </c>
      <c r="V26" s="33">
        <f t="shared" ref="V26:V32" si="22">SUM(G26-W26)</f>
        <v>55</v>
      </c>
      <c r="W26" s="33">
        <v>236.5</v>
      </c>
    </row>
    <row r="27" spans="1:23" s="35" customFormat="1" ht="18.75">
      <c r="A27" s="9">
        <v>44551</v>
      </c>
      <c r="B27" s="10" t="s">
        <v>24</v>
      </c>
      <c r="C27" s="11">
        <v>0</v>
      </c>
      <c r="D27" s="11">
        <v>2891.79</v>
      </c>
      <c r="E27" s="11">
        <v>7.5</v>
      </c>
      <c r="F27" s="11">
        <v>65</v>
      </c>
      <c r="G27" s="11">
        <v>213</v>
      </c>
      <c r="H27" s="11">
        <f t="shared" si="20"/>
        <v>3177.29</v>
      </c>
      <c r="I27" s="11">
        <v>952.9</v>
      </c>
      <c r="J27" s="11">
        <f t="shared" ref="J27:J38" si="23">SUM(K27:N27)</f>
        <v>2086.39</v>
      </c>
      <c r="K27" s="11">
        <v>2086.39</v>
      </c>
      <c r="L27" s="11">
        <v>0</v>
      </c>
      <c r="M27" s="11">
        <v>0</v>
      </c>
      <c r="N27" s="11">
        <v>0</v>
      </c>
      <c r="O27" s="11">
        <v>0</v>
      </c>
      <c r="P27" s="33">
        <v>0</v>
      </c>
      <c r="Q27" s="33">
        <v>45</v>
      </c>
      <c r="R27" s="11">
        <v>908.56</v>
      </c>
      <c r="S27" s="11">
        <v>300</v>
      </c>
      <c r="T27" s="31">
        <f t="shared" si="21"/>
        <v>0.65999999999996817</v>
      </c>
      <c r="U27" s="32">
        <f>SUM(I27+J27+W27)-(H27)</f>
        <v>0</v>
      </c>
      <c r="V27" s="33">
        <f t="shared" si="22"/>
        <v>75</v>
      </c>
      <c r="W27" s="33">
        <f>150-12</f>
        <v>138</v>
      </c>
    </row>
    <row r="28" spans="1:23" s="35" customFormat="1" ht="18.75">
      <c r="A28" s="9">
        <v>44552</v>
      </c>
      <c r="B28" s="10" t="s">
        <v>25</v>
      </c>
      <c r="C28" s="11">
        <v>0</v>
      </c>
      <c r="D28" s="11">
        <v>3074.65</v>
      </c>
      <c r="E28" s="11">
        <v>0</v>
      </c>
      <c r="F28" s="11">
        <v>37</v>
      </c>
      <c r="G28" s="11">
        <v>188.96</v>
      </c>
      <c r="H28" s="11">
        <f t="shared" si="20"/>
        <v>3400.61</v>
      </c>
      <c r="I28" s="11">
        <v>1121.98</v>
      </c>
      <c r="J28" s="11">
        <f t="shared" si="23"/>
        <v>2155.67</v>
      </c>
      <c r="K28" s="11">
        <v>2155.67</v>
      </c>
      <c r="L28" s="11">
        <v>0</v>
      </c>
      <c r="M28" s="11">
        <v>0</v>
      </c>
      <c r="N28" s="11">
        <v>0</v>
      </c>
      <c r="O28" s="11">
        <v>178.01</v>
      </c>
      <c r="P28" s="33">
        <v>100</v>
      </c>
      <c r="Q28" s="33">
        <v>24</v>
      </c>
      <c r="R28" s="11">
        <v>815</v>
      </c>
      <c r="S28" s="11">
        <v>300</v>
      </c>
      <c r="T28" s="31">
        <f t="shared" si="21"/>
        <v>-4.9700000000000273</v>
      </c>
      <c r="U28" s="32">
        <f t="shared" ref="U28:U32" si="24">SUM(I28+J28+W28)-(H28)</f>
        <v>6</v>
      </c>
      <c r="V28" s="33">
        <f t="shared" si="22"/>
        <v>60</v>
      </c>
      <c r="W28" s="33">
        <v>128.96</v>
      </c>
    </row>
    <row r="29" spans="1:23" s="35" customFormat="1" ht="18.75">
      <c r="A29" s="9">
        <v>44553</v>
      </c>
      <c r="B29" s="10" t="s">
        <v>26</v>
      </c>
      <c r="C29" s="11">
        <v>2646.14</v>
      </c>
      <c r="D29" s="11">
        <v>3392.05</v>
      </c>
      <c r="E29" s="11">
        <v>53</v>
      </c>
      <c r="F29" s="11">
        <v>16</v>
      </c>
      <c r="G29" s="11">
        <v>168</v>
      </c>
      <c r="H29" s="11">
        <f t="shared" si="20"/>
        <v>6295.1900000000005</v>
      </c>
      <c r="I29" s="11">
        <v>1528.25</v>
      </c>
      <c r="J29" s="11">
        <f t="shared" si="23"/>
        <v>4723.9399999999996</v>
      </c>
      <c r="K29" s="11">
        <f>4723.94-58.42-87.42</f>
        <v>4578.0999999999995</v>
      </c>
      <c r="L29" s="11">
        <v>58.42</v>
      </c>
      <c r="M29" s="11">
        <v>0</v>
      </c>
      <c r="N29" s="11">
        <v>87.42</v>
      </c>
      <c r="O29" s="11">
        <v>0</v>
      </c>
      <c r="P29" s="33">
        <v>20</v>
      </c>
      <c r="Q29" s="33">
        <v>1</v>
      </c>
      <c r="R29" s="11">
        <v>1506.81</v>
      </c>
      <c r="S29" s="11">
        <v>300</v>
      </c>
      <c r="T29" s="31">
        <f t="shared" si="21"/>
        <v>-0.44000000000005457</v>
      </c>
      <c r="U29" s="32">
        <f t="shared" si="24"/>
        <v>0</v>
      </c>
      <c r="V29" s="33">
        <f t="shared" si="22"/>
        <v>125</v>
      </c>
      <c r="W29" s="33">
        <v>43</v>
      </c>
    </row>
    <row r="30" spans="1:23" s="35" customFormat="1" ht="18.75">
      <c r="A30" s="9">
        <v>44554</v>
      </c>
      <c r="B30" s="10" t="s">
        <v>20</v>
      </c>
      <c r="C30" s="11">
        <v>7067.23</v>
      </c>
      <c r="D30" s="11">
        <v>5010.62</v>
      </c>
      <c r="E30" s="11">
        <v>58</v>
      </c>
      <c r="F30" s="11">
        <v>117</v>
      </c>
      <c r="G30" s="11">
        <v>406.5</v>
      </c>
      <c r="H30" s="11">
        <f t="shared" si="20"/>
        <v>12684.349999999999</v>
      </c>
      <c r="I30" s="11">
        <v>2804.73</v>
      </c>
      <c r="J30" s="11">
        <f t="shared" si="23"/>
        <v>9676.23</v>
      </c>
      <c r="K30" s="11">
        <f>9676.23-122.02</f>
        <v>9554.2099999999991</v>
      </c>
      <c r="L30" s="11">
        <v>0</v>
      </c>
      <c r="M30" s="11">
        <v>122.02</v>
      </c>
      <c r="N30" s="11">
        <v>0</v>
      </c>
      <c r="O30" s="11">
        <v>0</v>
      </c>
      <c r="P30" s="33">
        <v>25</v>
      </c>
      <c r="Q30" s="33">
        <v>14</v>
      </c>
      <c r="R30" s="11">
        <v>2824.05</v>
      </c>
      <c r="S30" s="11">
        <v>350</v>
      </c>
      <c r="T30" s="31">
        <f t="shared" si="21"/>
        <v>58.320000000000164</v>
      </c>
      <c r="U30" s="32">
        <f t="shared" si="24"/>
        <v>-23.389999999999418</v>
      </c>
      <c r="V30" s="33">
        <f t="shared" si="22"/>
        <v>226.5</v>
      </c>
      <c r="W30" s="33">
        <v>180</v>
      </c>
    </row>
    <row r="31" spans="1:23" s="35" customFormat="1" ht="18.75">
      <c r="A31" s="9">
        <v>44555</v>
      </c>
      <c r="B31" s="10" t="s">
        <v>21</v>
      </c>
      <c r="C31" s="11">
        <v>2448.9</v>
      </c>
      <c r="D31" s="11">
        <v>5675.93</v>
      </c>
      <c r="E31" s="11">
        <v>72</v>
      </c>
      <c r="F31" s="11">
        <v>185</v>
      </c>
      <c r="G31" s="11">
        <v>70</v>
      </c>
      <c r="H31" s="11">
        <f t="shared" si="20"/>
        <v>8521.83</v>
      </c>
      <c r="I31" s="11">
        <v>2872.34</v>
      </c>
      <c r="J31" s="11">
        <f t="shared" si="23"/>
        <v>5589.49</v>
      </c>
      <c r="K31" s="11">
        <f>5589.49-140.75</f>
        <v>5448.74</v>
      </c>
      <c r="L31" s="11">
        <v>0</v>
      </c>
      <c r="M31" s="11">
        <v>140.75</v>
      </c>
      <c r="N31" s="11">
        <v>0</v>
      </c>
      <c r="O31" s="11">
        <v>0</v>
      </c>
      <c r="P31" s="33">
        <v>70</v>
      </c>
      <c r="Q31" s="33">
        <v>51</v>
      </c>
      <c r="R31" s="11">
        <v>2765.21</v>
      </c>
      <c r="S31" s="11">
        <v>350</v>
      </c>
      <c r="T31" s="31">
        <f t="shared" si="21"/>
        <v>13.869999999999891</v>
      </c>
      <c r="U31" s="32">
        <f t="shared" si="24"/>
        <v>0</v>
      </c>
      <c r="V31" s="33">
        <f t="shared" si="22"/>
        <v>10</v>
      </c>
      <c r="W31" s="33">
        <v>60</v>
      </c>
    </row>
    <row r="32" spans="1:23" s="35" customFormat="1" ht="18.75">
      <c r="A32" s="9">
        <v>44556</v>
      </c>
      <c r="B32" s="10" t="s">
        <v>22</v>
      </c>
      <c r="C32" s="11">
        <v>4256.3599999999997</v>
      </c>
      <c r="D32" s="11">
        <v>5175.8999999999996</v>
      </c>
      <c r="E32" s="11">
        <v>28</v>
      </c>
      <c r="F32" s="11">
        <v>101</v>
      </c>
      <c r="G32" s="11">
        <v>167</v>
      </c>
      <c r="H32" s="11">
        <f t="shared" si="20"/>
        <v>9838.2599999999984</v>
      </c>
      <c r="I32" s="11">
        <v>3412.5</v>
      </c>
      <c r="J32" s="11">
        <f t="shared" si="23"/>
        <v>6291.25</v>
      </c>
      <c r="K32" s="11">
        <f>6291.25-50</f>
        <v>6241.25</v>
      </c>
      <c r="L32" s="11">
        <v>0</v>
      </c>
      <c r="M32" s="11">
        <v>50</v>
      </c>
      <c r="N32" s="11">
        <v>0</v>
      </c>
      <c r="O32" s="11">
        <v>0</v>
      </c>
      <c r="P32" s="33">
        <v>110</v>
      </c>
      <c r="Q32" s="33">
        <v>132</v>
      </c>
      <c r="R32" s="11">
        <v>3281.28</v>
      </c>
      <c r="S32" s="11">
        <v>350</v>
      </c>
      <c r="T32" s="31">
        <f t="shared" si="21"/>
        <v>110.7800000000002</v>
      </c>
      <c r="U32" s="32">
        <f t="shared" si="24"/>
        <v>2.4900000000016007</v>
      </c>
      <c r="V32" s="33">
        <f t="shared" si="22"/>
        <v>30</v>
      </c>
      <c r="W32" s="33">
        <v>137</v>
      </c>
    </row>
    <row r="33" spans="1:23" ht="37.5" customHeight="1">
      <c r="A33" s="65" t="s">
        <v>27</v>
      </c>
      <c r="B33" s="66"/>
      <c r="C33" s="27">
        <f>SUM(C26:C32)</f>
        <v>16418.629999999997</v>
      </c>
      <c r="D33" s="27">
        <f t="shared" ref="D33:W33" si="25">SUM(D26:D32)</f>
        <v>27312.68</v>
      </c>
      <c r="E33" s="27">
        <f t="shared" si="25"/>
        <v>218.5</v>
      </c>
      <c r="F33" s="27">
        <f t="shared" si="25"/>
        <v>544</v>
      </c>
      <c r="G33" s="27">
        <f t="shared" si="25"/>
        <v>1504.96</v>
      </c>
      <c r="H33" s="27">
        <f t="shared" si="25"/>
        <v>46323.770000000004</v>
      </c>
      <c r="I33" s="27">
        <f t="shared" si="25"/>
        <v>13554.92</v>
      </c>
      <c r="J33" s="27">
        <f t="shared" si="25"/>
        <v>31830.489999999998</v>
      </c>
      <c r="K33" s="27">
        <f t="shared" si="25"/>
        <v>31371.879999999997</v>
      </c>
      <c r="L33" s="27">
        <f t="shared" si="25"/>
        <v>58.42</v>
      </c>
      <c r="M33" s="27">
        <f t="shared" si="25"/>
        <v>312.77</v>
      </c>
      <c r="N33" s="27">
        <f t="shared" si="25"/>
        <v>87.42</v>
      </c>
      <c r="O33" s="27">
        <f t="shared" si="25"/>
        <v>639.55999999999995</v>
      </c>
      <c r="P33" s="27">
        <f t="shared" si="25"/>
        <v>325</v>
      </c>
      <c r="Q33" s="27">
        <f t="shared" si="25"/>
        <v>307</v>
      </c>
      <c r="R33" s="27">
        <f t="shared" si="25"/>
        <v>12462.980000000001</v>
      </c>
      <c r="S33" s="27">
        <f t="shared" si="25"/>
        <v>2250</v>
      </c>
      <c r="T33" s="27">
        <f t="shared" si="25"/>
        <v>179.62000000000012</v>
      </c>
      <c r="U33" s="27">
        <f t="shared" si="25"/>
        <v>-14.899999999997817</v>
      </c>
      <c r="V33" s="27">
        <f t="shared" si="25"/>
        <v>581.5</v>
      </c>
      <c r="W33" s="27">
        <f t="shared" si="25"/>
        <v>923.46</v>
      </c>
    </row>
    <row r="34" spans="1:23" s="35" customFormat="1" ht="18.75">
      <c r="A34" s="9">
        <v>44557</v>
      </c>
      <c r="B34" s="10" t="s">
        <v>23</v>
      </c>
      <c r="C34" s="11">
        <v>3239.7</v>
      </c>
      <c r="D34" s="11">
        <v>2771.34</v>
      </c>
      <c r="E34" s="11">
        <v>5.5</v>
      </c>
      <c r="F34" s="11">
        <v>35</v>
      </c>
      <c r="G34" s="11">
        <v>30</v>
      </c>
      <c r="H34" s="11">
        <f t="shared" ref="H34:H38" si="26">SUM(C34:G34,P34)</f>
        <v>6132.83</v>
      </c>
      <c r="I34" s="11">
        <v>2060.86</v>
      </c>
      <c r="J34" s="11">
        <f t="shared" si="23"/>
        <v>4061.97</v>
      </c>
      <c r="K34" s="11">
        <v>4061.97</v>
      </c>
      <c r="L34" s="11">
        <v>0</v>
      </c>
      <c r="M34" s="11">
        <v>0</v>
      </c>
      <c r="N34" s="11">
        <v>0</v>
      </c>
      <c r="O34" s="11">
        <v>0</v>
      </c>
      <c r="P34" s="33">
        <v>51.29</v>
      </c>
      <c r="Q34" s="33">
        <v>31</v>
      </c>
      <c r="R34" s="11">
        <v>1984.65</v>
      </c>
      <c r="S34" s="11">
        <v>350</v>
      </c>
      <c r="T34" s="31">
        <f t="shared" ref="T34" si="27">SUM(O34,P34,Q34,R34)-I34</f>
        <v>6.0799999999999272</v>
      </c>
      <c r="U34" s="32">
        <f>SUM(I34+J34+W34)-(H34)</f>
        <v>0</v>
      </c>
      <c r="V34" s="33"/>
      <c r="W34" s="33">
        <v>10</v>
      </c>
    </row>
    <row r="35" spans="1:23" s="35" customFormat="1" ht="18.75">
      <c r="A35" s="9">
        <v>44558</v>
      </c>
      <c r="B35" s="10" t="s">
        <v>24</v>
      </c>
      <c r="C35" s="11">
        <v>4383.04</v>
      </c>
      <c r="D35" s="11">
        <v>2423.63</v>
      </c>
      <c r="E35" s="11">
        <v>23</v>
      </c>
      <c r="F35" s="11">
        <v>33</v>
      </c>
      <c r="G35" s="11">
        <v>190</v>
      </c>
      <c r="H35" s="11">
        <f t="shared" si="26"/>
        <v>7052.67</v>
      </c>
      <c r="I35" s="11">
        <v>1947.98</v>
      </c>
      <c r="J35" s="11">
        <f t="shared" si="23"/>
        <v>4999.6899999999996</v>
      </c>
      <c r="K35" s="11">
        <f>4999.69-62</f>
        <v>4937.6899999999996</v>
      </c>
      <c r="L35" s="11">
        <v>10</v>
      </c>
      <c r="M35" s="11">
        <v>0</v>
      </c>
      <c r="N35" s="11">
        <v>52</v>
      </c>
      <c r="O35" s="11">
        <v>0</v>
      </c>
      <c r="P35" s="33">
        <v>0</v>
      </c>
      <c r="Q35" s="33">
        <v>17</v>
      </c>
      <c r="R35" s="11">
        <v>1917</v>
      </c>
      <c r="S35" s="11">
        <v>350</v>
      </c>
      <c r="T35" s="31">
        <f t="shared" ref="T35:T38" si="28">SUM(O35,P35,Q35,R35)-I35</f>
        <v>-13.980000000000018</v>
      </c>
      <c r="U35" s="32">
        <f t="shared" ref="U35:U38" si="29">SUM(I35+J35+W35)-(H35)</f>
        <v>0</v>
      </c>
      <c r="V35" s="33">
        <f t="shared" ref="V35:V38" si="30">SUM(G35-W35)</f>
        <v>85</v>
      </c>
      <c r="W35" s="33">
        <v>105</v>
      </c>
    </row>
    <row r="36" spans="1:23" s="35" customFormat="1" ht="18.75">
      <c r="A36" s="9">
        <v>44559</v>
      </c>
      <c r="B36" s="10" t="s">
        <v>25</v>
      </c>
      <c r="C36" s="11">
        <v>4271.62</v>
      </c>
      <c r="D36" s="11">
        <v>2444.75</v>
      </c>
      <c r="E36" s="11">
        <v>58</v>
      </c>
      <c r="F36" s="11">
        <v>35</v>
      </c>
      <c r="G36" s="11">
        <v>115</v>
      </c>
      <c r="H36" s="11">
        <f t="shared" si="26"/>
        <v>6924.37</v>
      </c>
      <c r="I36" s="11">
        <v>1849.84</v>
      </c>
      <c r="J36" s="11">
        <f t="shared" si="23"/>
        <v>5044.53</v>
      </c>
      <c r="K36" s="11">
        <f>5044.53-150.76</f>
        <v>4893.7699999999995</v>
      </c>
      <c r="L36" s="11">
        <v>0</v>
      </c>
      <c r="M36" s="11">
        <v>0</v>
      </c>
      <c r="N36" s="11">
        <v>150.76</v>
      </c>
      <c r="O36" s="11">
        <v>0</v>
      </c>
      <c r="P36" s="33">
        <v>0</v>
      </c>
      <c r="Q36" s="33">
        <v>0</v>
      </c>
      <c r="R36" s="11">
        <v>1700.23</v>
      </c>
      <c r="S36" s="11">
        <v>350</v>
      </c>
      <c r="T36" s="31">
        <f t="shared" si="28"/>
        <v>-149.6099999999999</v>
      </c>
      <c r="U36" s="32">
        <f t="shared" si="29"/>
        <v>0</v>
      </c>
      <c r="V36" s="33">
        <f t="shared" si="30"/>
        <v>85</v>
      </c>
      <c r="W36" s="33">
        <v>30</v>
      </c>
    </row>
    <row r="37" spans="1:23" s="35" customFormat="1" ht="18.75">
      <c r="A37" s="9">
        <v>44560</v>
      </c>
      <c r="B37" s="10" t="s">
        <v>26</v>
      </c>
      <c r="C37" s="11">
        <v>3890.33</v>
      </c>
      <c r="D37" s="11">
        <v>2497.86</v>
      </c>
      <c r="E37" s="11">
        <v>28</v>
      </c>
      <c r="F37" s="11">
        <v>31</v>
      </c>
      <c r="G37" s="11">
        <v>156.19999999999999</v>
      </c>
      <c r="H37" s="11">
        <f t="shared" si="26"/>
        <v>6763.4000000000005</v>
      </c>
      <c r="I37" s="11">
        <v>1882.88</v>
      </c>
      <c r="J37" s="11">
        <f t="shared" si="23"/>
        <v>4869.32</v>
      </c>
      <c r="K37" s="11">
        <f>4869.32-83.38</f>
        <v>4785.9399999999996</v>
      </c>
      <c r="L37" s="11">
        <v>0</v>
      </c>
      <c r="M37" s="11">
        <v>83.38</v>
      </c>
      <c r="N37" s="11">
        <v>0</v>
      </c>
      <c r="O37" s="11">
        <v>101.87</v>
      </c>
      <c r="P37" s="33">
        <v>160.01</v>
      </c>
      <c r="Q37" s="33">
        <v>0</v>
      </c>
      <c r="R37" s="11">
        <v>1619.54</v>
      </c>
      <c r="S37" s="11">
        <v>350</v>
      </c>
      <c r="T37" s="31">
        <f t="shared" si="28"/>
        <v>-1.4600000000000364</v>
      </c>
      <c r="U37" s="32">
        <f t="shared" si="29"/>
        <v>0</v>
      </c>
      <c r="V37" s="33">
        <f t="shared" si="30"/>
        <v>145</v>
      </c>
      <c r="W37" s="33">
        <v>11.2</v>
      </c>
    </row>
    <row r="38" spans="1:23" s="35" customFormat="1" ht="18.75">
      <c r="A38" s="9">
        <v>44561</v>
      </c>
      <c r="B38" s="10" t="s">
        <v>20</v>
      </c>
      <c r="C38" s="11">
        <v>5880.43</v>
      </c>
      <c r="D38" s="11">
        <v>5536.48</v>
      </c>
      <c r="E38" s="11">
        <v>67.5</v>
      </c>
      <c r="F38" s="11">
        <v>71</v>
      </c>
      <c r="G38" s="11">
        <v>205</v>
      </c>
      <c r="H38" s="11">
        <f t="shared" si="26"/>
        <v>11890.41</v>
      </c>
      <c r="I38" s="11">
        <v>3414.58</v>
      </c>
      <c r="J38" s="11">
        <f t="shared" si="23"/>
        <v>8478.4</v>
      </c>
      <c r="K38" s="11">
        <f>8478.4-107.6</f>
        <v>8370.7999999999993</v>
      </c>
      <c r="L38" s="11">
        <v>0</v>
      </c>
      <c r="M38" s="11">
        <v>0</v>
      </c>
      <c r="N38" s="11">
        <v>107.6</v>
      </c>
      <c r="O38" s="11">
        <v>0</v>
      </c>
      <c r="P38" s="33">
        <v>130</v>
      </c>
      <c r="Q38" s="33">
        <v>36</v>
      </c>
      <c r="R38" s="11">
        <v>3218.05</v>
      </c>
      <c r="S38" s="11">
        <v>350</v>
      </c>
      <c r="T38" s="31">
        <f t="shared" si="28"/>
        <v>-30.529999999999745</v>
      </c>
      <c r="U38" s="32">
        <f t="shared" si="29"/>
        <v>42.569999999999709</v>
      </c>
      <c r="V38" s="33">
        <f t="shared" si="30"/>
        <v>165</v>
      </c>
      <c r="W38" s="33">
        <v>40</v>
      </c>
    </row>
    <row r="39" spans="1:23" ht="51.75" customHeight="1">
      <c r="A39" s="67" t="s">
        <v>17</v>
      </c>
      <c r="B39" s="68"/>
      <c r="C39" s="30">
        <f>SUM(C9,C17,C25,C33,C34:C38)</f>
        <v>124968.32999999999</v>
      </c>
      <c r="D39" s="30">
        <f t="shared" ref="D39:W39" si="31">SUM(D9,D17,D25,D33,D34:D38)</f>
        <v>100338.37</v>
      </c>
      <c r="E39" s="30">
        <f t="shared" si="31"/>
        <v>599</v>
      </c>
      <c r="F39" s="30">
        <f t="shared" si="31"/>
        <v>1641</v>
      </c>
      <c r="G39" s="30">
        <f t="shared" si="31"/>
        <v>5919.04</v>
      </c>
      <c r="H39" s="30">
        <f t="shared" si="31"/>
        <v>235005.03999999998</v>
      </c>
      <c r="I39" s="30">
        <f t="shared" si="31"/>
        <v>62532.659999999996</v>
      </c>
      <c r="J39" s="30">
        <f t="shared" si="31"/>
        <v>169322.57</v>
      </c>
      <c r="K39" s="30">
        <f t="shared" si="31"/>
        <v>164938.37999999998</v>
      </c>
      <c r="L39" s="30">
        <f t="shared" si="31"/>
        <v>395.29</v>
      </c>
      <c r="M39" s="30">
        <f t="shared" si="31"/>
        <v>2171.5</v>
      </c>
      <c r="N39" s="30">
        <f t="shared" si="31"/>
        <v>1817.4</v>
      </c>
      <c r="O39" s="30">
        <f t="shared" si="31"/>
        <v>4299.08</v>
      </c>
      <c r="P39" s="30">
        <f t="shared" si="31"/>
        <v>1539.3</v>
      </c>
      <c r="Q39" s="30">
        <f t="shared" si="31"/>
        <v>893</v>
      </c>
      <c r="R39" s="30">
        <f t="shared" si="31"/>
        <v>55784.760000000017</v>
      </c>
      <c r="S39" s="30">
        <f t="shared" si="31"/>
        <v>10300</v>
      </c>
      <c r="T39" s="30">
        <f t="shared" si="31"/>
        <v>-16.519999999999527</v>
      </c>
      <c r="U39" s="30">
        <f t="shared" si="31"/>
        <v>-571.92999999999574</v>
      </c>
      <c r="V39" s="30">
        <f t="shared" si="31"/>
        <v>3162.16</v>
      </c>
      <c r="W39" s="30">
        <f t="shared" si="31"/>
        <v>2577.8799999999997</v>
      </c>
    </row>
    <row r="41" spans="1:23">
      <c r="C41" s="41"/>
      <c r="D41" s="41"/>
      <c r="E41" s="41"/>
      <c r="F41" s="41"/>
      <c r="G41" s="41"/>
      <c r="H41" s="41"/>
      <c r="I41" s="41"/>
      <c r="J41" s="41"/>
      <c r="K41" s="41"/>
      <c r="L41" s="41"/>
      <c r="M41" s="41"/>
      <c r="N41" s="41"/>
      <c r="O41" s="41"/>
      <c r="P41" s="41"/>
      <c r="Q41" s="41"/>
      <c r="R41" s="41"/>
      <c r="S41" s="41"/>
      <c r="T41" s="41"/>
      <c r="U41" s="41"/>
      <c r="V41" s="41"/>
      <c r="W41" s="41"/>
    </row>
    <row r="42" spans="1:23">
      <c r="C42" s="41"/>
      <c r="D42" s="41"/>
      <c r="E42" s="41"/>
      <c r="F42" s="41"/>
      <c r="G42" s="41"/>
      <c r="H42" s="41"/>
      <c r="I42" s="41"/>
      <c r="J42" s="41"/>
      <c r="K42" s="41"/>
      <c r="L42" s="41"/>
      <c r="M42" s="41"/>
      <c r="N42" s="41"/>
      <c r="O42" s="41"/>
      <c r="P42" s="41"/>
      <c r="Q42" s="41"/>
      <c r="R42" s="41"/>
      <c r="S42" s="41"/>
      <c r="T42" s="41"/>
      <c r="U42" s="41"/>
      <c r="V42" s="41"/>
      <c r="W42" s="41"/>
    </row>
    <row r="43" spans="1:23">
      <c r="C43" s="42"/>
      <c r="D43" s="42"/>
      <c r="E43" s="42"/>
      <c r="F43" s="42"/>
      <c r="G43" s="42"/>
      <c r="H43" s="42"/>
      <c r="I43" s="42"/>
      <c r="J43" s="42"/>
      <c r="K43" s="42"/>
      <c r="L43" s="42"/>
      <c r="M43" s="42"/>
      <c r="N43" s="42"/>
      <c r="O43" s="42"/>
      <c r="P43" s="42"/>
      <c r="Q43" s="42"/>
      <c r="R43" s="42"/>
      <c r="S43" s="42"/>
      <c r="T43" s="42"/>
      <c r="U43" s="42"/>
      <c r="V43" s="42"/>
      <c r="W43" s="42"/>
    </row>
    <row r="44" spans="1:23">
      <c r="C44" s="42"/>
      <c r="D44" s="42"/>
      <c r="E44" s="42"/>
      <c r="F44" s="42"/>
      <c r="G44" s="42"/>
      <c r="H44" s="42"/>
      <c r="I44" s="42"/>
      <c r="J44" s="42"/>
      <c r="K44" s="42"/>
      <c r="L44" s="42"/>
      <c r="M44" s="42"/>
      <c r="N44" s="42"/>
      <c r="O44" s="42"/>
      <c r="P44" s="42"/>
      <c r="Q44" s="42"/>
      <c r="R44" s="42"/>
      <c r="S44" s="42"/>
      <c r="T44" s="42"/>
      <c r="U44" s="42"/>
      <c r="V44" s="42"/>
      <c r="W44" s="42"/>
    </row>
    <row r="45" spans="1:23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</row>
    <row r="47" spans="1:23" hidden="1"/>
    <row r="48" spans="1:23" ht="18.75" hidden="1"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33"/>
      <c r="Q48" s="33"/>
      <c r="R48" s="11"/>
      <c r="S48" s="11"/>
      <c r="T48" s="31"/>
      <c r="U48" s="32"/>
      <c r="V48" s="33"/>
      <c r="W48" s="33"/>
    </row>
    <row r="49" spans="1:23" ht="18.75" hidden="1"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33"/>
      <c r="Q49" s="33"/>
      <c r="R49" s="11"/>
      <c r="S49" s="11"/>
      <c r="T49" s="31"/>
      <c r="U49" s="32"/>
      <c r="V49" s="33"/>
      <c r="W49" s="33"/>
    </row>
    <row r="50" spans="1:23" s="28" customFormat="1" ht="18.75" hidden="1">
      <c r="A50"/>
      <c r="B50"/>
      <c r="C50" s="11"/>
      <c r="D50" s="11"/>
      <c r="E50" s="11"/>
      <c r="F50" s="11"/>
      <c r="G50" s="11"/>
      <c r="H50" s="11"/>
      <c r="I50" s="11"/>
      <c r="J50" s="11"/>
      <c r="K50" s="11"/>
      <c r="L50" s="11"/>
      <c r="M50" s="11"/>
      <c r="N50" s="11"/>
      <c r="O50" s="11"/>
      <c r="P50" s="33"/>
      <c r="Q50" s="33"/>
      <c r="R50" s="11"/>
      <c r="S50" s="11"/>
      <c r="T50" s="31"/>
      <c r="U50" s="32"/>
      <c r="V50" s="33"/>
      <c r="W50" s="33"/>
    </row>
    <row r="51" spans="1:23" s="28" customFormat="1" hidden="1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</row>
    <row r="52" spans="1:23" s="28" customFormat="1" hidden="1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</row>
    <row r="53" spans="1:23" s="28" customFormat="1" hidden="1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</row>
  </sheetData>
  <mergeCells count="5">
    <mergeCell ref="A9:B9"/>
    <mergeCell ref="A17:B17"/>
    <mergeCell ref="A25:B25"/>
    <mergeCell ref="A33:B33"/>
    <mergeCell ref="A39:B39"/>
  </mergeCells>
  <conditionalFormatting sqref="T48:U50 T18:U24 T10:U16 T26:U32 T34:U38 T2:U8">
    <cfRule type="cellIs" dxfId="327" priority="4" operator="lessThan">
      <formula>0</formula>
    </cfRule>
    <cfRule type="cellIs" dxfId="326" priority="5" operator="greaterThan">
      <formula>0</formula>
    </cfRule>
  </conditionalFormatting>
  <conditionalFormatting sqref="T48:V50 T26:V32 T34:V38 T10:V16 T18:V24 T2:V8">
    <cfRule type="cellIs" dxfId="325" priority="1" operator="equal">
      <formula>0</formula>
    </cfRule>
    <cfRule type="cellIs" dxfId="324" priority="2" operator="lessThan">
      <formula>0</formula>
    </cfRule>
    <cfRule type="cellIs" dxfId="323" priority="3" operator="greaterThan">
      <formula>0</formula>
    </cfRule>
  </conditionalFormatting>
  <pageMargins left="0.7" right="0.7" top="0.75" bottom="0.75" header="0.3" footer="0.3"/>
  <ignoredErrors>
    <ignoredError sqref="H9 H17 H25 H33 J25 J33 J17 J9 T9:V9 T17:V17 T25:V25 T33:V33" formula="1"/>
  </ignoredErrors>
</worksheet>
</file>

<file path=xl/worksheets/sheet9.xml><?xml version="1.0" encoding="utf-8"?>
<worksheet xmlns="http://schemas.openxmlformats.org/spreadsheetml/2006/main" xmlns:r="http://schemas.openxmlformats.org/officeDocument/2006/relationships">
  <dimension ref="A1:X57"/>
  <sheetViews>
    <sheetView topLeftCell="A16" zoomScale="70" zoomScaleNormal="70" workbookViewId="0">
      <selection activeCell="I41" sqref="I41"/>
    </sheetView>
  </sheetViews>
  <sheetFormatPr defaultRowHeight="15"/>
  <cols>
    <col min="1" max="1" width="16.5703125" customWidth="1"/>
    <col min="2" max="2" width="14.42578125" customWidth="1"/>
    <col min="3" max="3" width="16.42578125" customWidth="1"/>
    <col min="4" max="4" width="16.28515625" customWidth="1"/>
    <col min="5" max="5" width="15.42578125" customWidth="1"/>
    <col min="6" max="6" width="14.85546875" customWidth="1"/>
    <col min="7" max="7" width="16.7109375" customWidth="1"/>
    <col min="8" max="8" width="17.85546875" customWidth="1"/>
    <col min="9" max="9" width="13.42578125" customWidth="1"/>
    <col min="10" max="11" width="14.7109375" customWidth="1"/>
    <col min="12" max="12" width="14" customWidth="1"/>
    <col min="13" max="13" width="16.42578125" customWidth="1"/>
    <col min="14" max="14" width="20.85546875" customWidth="1"/>
    <col min="15" max="16" width="16.7109375" customWidth="1"/>
    <col min="17" max="17" width="14.28515625" customWidth="1"/>
    <col min="18" max="18" width="13" customWidth="1"/>
    <col min="19" max="19" width="14.85546875" customWidth="1"/>
    <col min="20" max="20" width="14" customWidth="1"/>
    <col min="21" max="21" width="15.28515625" customWidth="1"/>
    <col min="22" max="23" width="15.85546875" customWidth="1"/>
  </cols>
  <sheetData>
    <row r="1" spans="1:24" ht="55.5" customHeight="1">
      <c r="A1" s="8" t="s">
        <v>19</v>
      </c>
      <c r="B1" s="8" t="s">
        <v>18</v>
      </c>
      <c r="C1" s="8" t="s">
        <v>0</v>
      </c>
      <c r="D1" s="8" t="s">
        <v>1</v>
      </c>
      <c r="E1" s="8" t="s">
        <v>2</v>
      </c>
      <c r="F1" s="8" t="s">
        <v>3</v>
      </c>
      <c r="G1" s="8" t="s">
        <v>37</v>
      </c>
      <c r="H1" s="8" t="s">
        <v>4</v>
      </c>
      <c r="I1" s="8" t="s">
        <v>5</v>
      </c>
      <c r="J1" s="8" t="s">
        <v>43</v>
      </c>
      <c r="K1" s="8" t="s">
        <v>44</v>
      </c>
      <c r="L1" s="8" t="s">
        <v>42</v>
      </c>
      <c r="M1" s="8" t="s">
        <v>8</v>
      </c>
      <c r="N1" s="8" t="s">
        <v>28</v>
      </c>
      <c r="O1" s="8" t="s">
        <v>9</v>
      </c>
      <c r="P1" s="8" t="s">
        <v>10</v>
      </c>
      <c r="Q1" s="8" t="s">
        <v>11</v>
      </c>
      <c r="R1" s="8" t="s">
        <v>12</v>
      </c>
      <c r="S1" s="8" t="s">
        <v>13</v>
      </c>
      <c r="T1" s="8" t="s">
        <v>14</v>
      </c>
      <c r="U1" s="8" t="s">
        <v>34</v>
      </c>
      <c r="V1" s="23" t="s">
        <v>39</v>
      </c>
      <c r="W1" s="23" t="s">
        <v>40</v>
      </c>
    </row>
    <row r="2" spans="1:24" ht="20.25" customHeight="1">
      <c r="A2" s="9">
        <v>44557</v>
      </c>
      <c r="B2" s="10" t="s">
        <v>23</v>
      </c>
      <c r="C2" s="11">
        <v>3239.7</v>
      </c>
      <c r="D2" s="11">
        <v>2771.34</v>
      </c>
      <c r="E2" s="11">
        <v>5.5</v>
      </c>
      <c r="F2" s="11">
        <v>35</v>
      </c>
      <c r="G2" s="11">
        <v>30</v>
      </c>
      <c r="H2" s="11">
        <f t="shared" ref="H2:H6" si="0">SUM(C2:G2,P2)</f>
        <v>6132.83</v>
      </c>
      <c r="I2" s="11">
        <v>2060.86</v>
      </c>
      <c r="J2" s="11">
        <f t="shared" ref="J2:J6" si="1">SUM(K2:N2)</f>
        <v>4061.97</v>
      </c>
      <c r="K2" s="11">
        <v>4061.97</v>
      </c>
      <c r="L2" s="11">
        <v>0</v>
      </c>
      <c r="M2" s="11">
        <v>0</v>
      </c>
      <c r="N2" s="11">
        <v>0</v>
      </c>
      <c r="O2" s="11">
        <v>0</v>
      </c>
      <c r="P2" s="33">
        <v>51.29</v>
      </c>
      <c r="Q2" s="33">
        <v>31</v>
      </c>
      <c r="R2" s="11">
        <v>1984.65</v>
      </c>
      <c r="S2" s="11">
        <v>350</v>
      </c>
      <c r="T2" s="31">
        <f t="shared" ref="T2:T6" si="2">SUM(O2,P2,Q2,R2)-I2</f>
        <v>6.0799999999999272</v>
      </c>
      <c r="U2" s="32">
        <f>SUM(I2+J2+W2)-(H2)</f>
        <v>0</v>
      </c>
      <c r="V2" s="33"/>
      <c r="W2" s="33">
        <v>10</v>
      </c>
    </row>
    <row r="3" spans="1:24" ht="20.25" customHeight="1">
      <c r="A3" s="9">
        <v>44558</v>
      </c>
      <c r="B3" s="10" t="s">
        <v>24</v>
      </c>
      <c r="C3" s="11">
        <v>4383.04</v>
      </c>
      <c r="D3" s="11">
        <v>2423.63</v>
      </c>
      <c r="E3" s="11">
        <v>23</v>
      </c>
      <c r="F3" s="11">
        <v>33</v>
      </c>
      <c r="G3" s="11">
        <v>190</v>
      </c>
      <c r="H3" s="11">
        <f t="shared" si="0"/>
        <v>7052.67</v>
      </c>
      <c r="I3" s="11">
        <v>1947.98</v>
      </c>
      <c r="J3" s="11">
        <f t="shared" si="1"/>
        <v>4999.6899999999996</v>
      </c>
      <c r="K3" s="11">
        <f>4999.69-62</f>
        <v>4937.6899999999996</v>
      </c>
      <c r="L3" s="11">
        <v>10</v>
      </c>
      <c r="M3" s="11">
        <v>0</v>
      </c>
      <c r="N3" s="11">
        <v>52</v>
      </c>
      <c r="O3" s="11">
        <v>0</v>
      </c>
      <c r="P3" s="33">
        <v>0</v>
      </c>
      <c r="Q3" s="33">
        <v>17</v>
      </c>
      <c r="R3" s="11">
        <v>1917</v>
      </c>
      <c r="S3" s="11">
        <v>350</v>
      </c>
      <c r="T3" s="31">
        <f t="shared" si="2"/>
        <v>-13.980000000000018</v>
      </c>
      <c r="U3" s="32">
        <f t="shared" ref="U3:U6" si="3">SUM(I3+J3+W3)-(H3)</f>
        <v>0</v>
      </c>
      <c r="V3" s="33">
        <f t="shared" ref="V3:V6" si="4">SUM(G3-W3)</f>
        <v>85</v>
      </c>
      <c r="W3" s="33">
        <v>105</v>
      </c>
    </row>
    <row r="4" spans="1:24" ht="20.25" customHeight="1">
      <c r="A4" s="9">
        <v>44559</v>
      </c>
      <c r="B4" s="10" t="s">
        <v>25</v>
      </c>
      <c r="C4" s="11">
        <v>4271.62</v>
      </c>
      <c r="D4" s="11">
        <v>2444.75</v>
      </c>
      <c r="E4" s="11">
        <v>58</v>
      </c>
      <c r="F4" s="11">
        <v>35</v>
      </c>
      <c r="G4" s="11">
        <v>115</v>
      </c>
      <c r="H4" s="11">
        <f t="shared" si="0"/>
        <v>6924.37</v>
      </c>
      <c r="I4" s="11">
        <v>1849.84</v>
      </c>
      <c r="J4" s="11">
        <f t="shared" si="1"/>
        <v>5044.53</v>
      </c>
      <c r="K4" s="11">
        <f>5044.53-150.76</f>
        <v>4893.7699999999995</v>
      </c>
      <c r="L4" s="11">
        <v>0</v>
      </c>
      <c r="M4" s="11">
        <v>0</v>
      </c>
      <c r="N4" s="11">
        <v>150.76</v>
      </c>
      <c r="O4" s="11">
        <v>0</v>
      </c>
      <c r="P4" s="33">
        <v>0</v>
      </c>
      <c r="Q4" s="33">
        <v>0</v>
      </c>
      <c r="R4" s="11">
        <v>1700.23</v>
      </c>
      <c r="S4" s="11">
        <v>350</v>
      </c>
      <c r="T4" s="31">
        <f t="shared" si="2"/>
        <v>-149.6099999999999</v>
      </c>
      <c r="U4" s="32">
        <f t="shared" si="3"/>
        <v>0</v>
      </c>
      <c r="V4" s="33">
        <f t="shared" si="4"/>
        <v>85</v>
      </c>
      <c r="W4" s="33">
        <v>30</v>
      </c>
    </row>
    <row r="5" spans="1:24" ht="20.25" customHeight="1">
      <c r="A5" s="9">
        <v>44560</v>
      </c>
      <c r="B5" s="10" t="s">
        <v>26</v>
      </c>
      <c r="C5" s="11">
        <v>3890.33</v>
      </c>
      <c r="D5" s="11">
        <v>2497.86</v>
      </c>
      <c r="E5" s="11">
        <v>28</v>
      </c>
      <c r="F5" s="11">
        <v>31</v>
      </c>
      <c r="G5" s="11">
        <v>156.19999999999999</v>
      </c>
      <c r="H5" s="11">
        <f t="shared" si="0"/>
        <v>6763.4000000000005</v>
      </c>
      <c r="I5" s="11">
        <v>1882.88</v>
      </c>
      <c r="J5" s="11">
        <f t="shared" si="1"/>
        <v>4869.32</v>
      </c>
      <c r="K5" s="11">
        <f>4869.32-83.38</f>
        <v>4785.9399999999996</v>
      </c>
      <c r="L5" s="11">
        <v>0</v>
      </c>
      <c r="M5" s="11">
        <v>83.38</v>
      </c>
      <c r="N5" s="11">
        <v>0</v>
      </c>
      <c r="O5" s="11">
        <v>101.87</v>
      </c>
      <c r="P5" s="33">
        <v>160.01</v>
      </c>
      <c r="Q5" s="33">
        <v>0</v>
      </c>
      <c r="R5" s="11">
        <v>1619.54</v>
      </c>
      <c r="S5" s="11">
        <v>350</v>
      </c>
      <c r="T5" s="31">
        <f t="shared" si="2"/>
        <v>-1.4600000000000364</v>
      </c>
      <c r="U5" s="32">
        <f t="shared" si="3"/>
        <v>0</v>
      </c>
      <c r="V5" s="33">
        <f t="shared" si="4"/>
        <v>145</v>
      </c>
      <c r="W5" s="33">
        <v>11.2</v>
      </c>
    </row>
    <row r="6" spans="1:24" ht="20.25" customHeight="1">
      <c r="A6" s="9">
        <v>44561</v>
      </c>
      <c r="B6" s="10" t="s">
        <v>20</v>
      </c>
      <c r="C6" s="11">
        <v>5880.43</v>
      </c>
      <c r="D6" s="11">
        <v>5536.48</v>
      </c>
      <c r="E6" s="11">
        <v>67.5</v>
      </c>
      <c r="F6" s="11">
        <v>71</v>
      </c>
      <c r="G6" s="11">
        <v>205</v>
      </c>
      <c r="H6" s="11">
        <f t="shared" si="0"/>
        <v>11890.41</v>
      </c>
      <c r="I6" s="11">
        <v>3414.58</v>
      </c>
      <c r="J6" s="11">
        <f t="shared" si="1"/>
        <v>8478.4</v>
      </c>
      <c r="K6" s="11">
        <f>8478.4-107.6</f>
        <v>8370.7999999999993</v>
      </c>
      <c r="L6" s="11">
        <v>0</v>
      </c>
      <c r="M6" s="11">
        <v>0</v>
      </c>
      <c r="N6" s="11">
        <v>107.6</v>
      </c>
      <c r="O6" s="11">
        <v>0</v>
      </c>
      <c r="P6" s="33">
        <v>130</v>
      </c>
      <c r="Q6" s="33">
        <v>36</v>
      </c>
      <c r="R6" s="11">
        <v>3218.05</v>
      </c>
      <c r="S6" s="11">
        <v>350</v>
      </c>
      <c r="T6" s="31">
        <f t="shared" si="2"/>
        <v>-30.529999999999745</v>
      </c>
      <c r="U6" s="32">
        <f t="shared" si="3"/>
        <v>42.569999999999709</v>
      </c>
      <c r="V6" s="33">
        <f t="shared" si="4"/>
        <v>165</v>
      </c>
      <c r="W6" s="33">
        <v>40</v>
      </c>
    </row>
    <row r="7" spans="1:24" ht="18.75">
      <c r="A7" s="9">
        <v>44562</v>
      </c>
      <c r="B7" s="10" t="s">
        <v>21</v>
      </c>
      <c r="C7" s="11">
        <v>3298.31</v>
      </c>
      <c r="D7" s="11">
        <v>3258.24</v>
      </c>
      <c r="E7" s="11">
        <v>18</v>
      </c>
      <c r="F7" s="11">
        <v>19</v>
      </c>
      <c r="G7" s="11">
        <v>136.5</v>
      </c>
      <c r="H7" s="11">
        <f t="shared" ref="H7:H8" si="5">SUM(C7:G7,P7)</f>
        <v>6770.0499999999993</v>
      </c>
      <c r="I7" s="11">
        <v>2241.87</v>
      </c>
      <c r="J7" s="11">
        <f t="shared" ref="J7:J8" si="6">SUM(K7:N7)</f>
        <v>4553.67</v>
      </c>
      <c r="K7" s="11">
        <f>4553.67-123.85</f>
        <v>4429.82</v>
      </c>
      <c r="L7" s="11">
        <v>0</v>
      </c>
      <c r="M7" s="44">
        <v>123.85</v>
      </c>
      <c r="N7" s="11">
        <v>0</v>
      </c>
      <c r="O7" s="11">
        <v>126.25</v>
      </c>
      <c r="P7" s="33">
        <v>40</v>
      </c>
      <c r="Q7" s="33">
        <v>12</v>
      </c>
      <c r="R7" s="11">
        <v>2115.39</v>
      </c>
      <c r="S7" s="11">
        <v>350</v>
      </c>
      <c r="T7" s="31">
        <f t="shared" ref="T7:T8" si="7">SUM(O7,P7,Q7,R7)-I7</f>
        <v>51.769999999999982</v>
      </c>
      <c r="U7" s="32">
        <f t="shared" ref="U7:U8" si="8">SUM(I7+J7+W7)-(H7)</f>
        <v>41.990000000000691</v>
      </c>
      <c r="V7" s="33">
        <f t="shared" ref="V7:V8" si="9">SUM(G7-W7)</f>
        <v>120</v>
      </c>
      <c r="W7" s="33">
        <v>16.5</v>
      </c>
    </row>
    <row r="8" spans="1:24" ht="18.75">
      <c r="A8" s="9">
        <v>44563</v>
      </c>
      <c r="B8" s="10" t="s">
        <v>22</v>
      </c>
      <c r="C8" s="11">
        <v>4014.83</v>
      </c>
      <c r="D8" s="11">
        <v>2667.39</v>
      </c>
      <c r="E8" s="11">
        <v>5.5</v>
      </c>
      <c r="F8" s="11">
        <v>61</v>
      </c>
      <c r="G8" s="11">
        <v>60</v>
      </c>
      <c r="H8" s="11">
        <f t="shared" si="5"/>
        <v>6838.7199999999993</v>
      </c>
      <c r="I8" s="11">
        <v>1923.07</v>
      </c>
      <c r="J8" s="11">
        <f t="shared" si="6"/>
        <v>4895.6499999999996</v>
      </c>
      <c r="K8" s="11">
        <f>4895.65-22.03</f>
        <v>4873.62</v>
      </c>
      <c r="L8" s="11">
        <v>22.03</v>
      </c>
      <c r="M8" s="11">
        <v>0</v>
      </c>
      <c r="N8" s="11">
        <v>0</v>
      </c>
      <c r="O8" s="11">
        <v>0</v>
      </c>
      <c r="P8" s="33">
        <v>30</v>
      </c>
      <c r="Q8" s="33">
        <v>3.9</v>
      </c>
      <c r="R8" s="11">
        <v>1890.1</v>
      </c>
      <c r="S8" s="11">
        <v>350</v>
      </c>
      <c r="T8" s="31">
        <f t="shared" si="7"/>
        <v>0.93000000000006366</v>
      </c>
      <c r="U8" s="32">
        <f t="shared" si="8"/>
        <v>0</v>
      </c>
      <c r="V8" s="33">
        <f t="shared" si="9"/>
        <v>40</v>
      </c>
      <c r="W8" s="33">
        <v>20</v>
      </c>
    </row>
    <row r="9" spans="1:24" ht="37.5" customHeight="1">
      <c r="A9" s="65" t="s">
        <v>27</v>
      </c>
      <c r="B9" s="66"/>
      <c r="C9" s="27">
        <f>SUM(C2:C8)</f>
        <v>28978.260000000002</v>
      </c>
      <c r="D9" s="27">
        <f t="shared" ref="D9:W9" si="10">SUM(D2:D8)</f>
        <v>21599.69</v>
      </c>
      <c r="E9" s="27">
        <f t="shared" si="10"/>
        <v>205.5</v>
      </c>
      <c r="F9" s="27">
        <f t="shared" si="10"/>
        <v>285</v>
      </c>
      <c r="G9" s="27">
        <f t="shared" si="10"/>
        <v>892.7</v>
      </c>
      <c r="H9" s="27">
        <f t="shared" si="10"/>
        <v>52372.45</v>
      </c>
      <c r="I9" s="27">
        <f t="shared" si="10"/>
        <v>15321.079999999998</v>
      </c>
      <c r="J9" s="27">
        <f t="shared" si="10"/>
        <v>36903.229999999996</v>
      </c>
      <c r="K9" s="27">
        <f t="shared" si="10"/>
        <v>36353.61</v>
      </c>
      <c r="L9" s="27">
        <f t="shared" si="10"/>
        <v>32.03</v>
      </c>
      <c r="M9" s="27">
        <f t="shared" si="10"/>
        <v>207.23</v>
      </c>
      <c r="N9" s="27">
        <f t="shared" si="10"/>
        <v>310.36</v>
      </c>
      <c r="O9" s="27">
        <f t="shared" si="10"/>
        <v>228.12</v>
      </c>
      <c r="P9" s="27">
        <f t="shared" si="10"/>
        <v>411.29999999999995</v>
      </c>
      <c r="Q9" s="27">
        <f t="shared" si="10"/>
        <v>99.9</v>
      </c>
      <c r="R9" s="27">
        <f t="shared" si="10"/>
        <v>14444.960000000001</v>
      </c>
      <c r="S9" s="27">
        <f t="shared" si="10"/>
        <v>2450</v>
      </c>
      <c r="T9" s="27">
        <f t="shared" si="10"/>
        <v>-136.79999999999973</v>
      </c>
      <c r="U9" s="27">
        <f t="shared" si="10"/>
        <v>84.5600000000004</v>
      </c>
      <c r="V9" s="27">
        <f t="shared" si="10"/>
        <v>640</v>
      </c>
      <c r="W9" s="27">
        <f t="shared" si="10"/>
        <v>232.7</v>
      </c>
    </row>
    <row r="10" spans="1:24" ht="18.75">
      <c r="A10" s="9">
        <v>44564</v>
      </c>
      <c r="B10" s="10" t="s">
        <v>23</v>
      </c>
      <c r="C10" s="11">
        <v>4249.68</v>
      </c>
      <c r="D10" s="11">
        <v>2098.48</v>
      </c>
      <c r="E10" s="11">
        <v>0</v>
      </c>
      <c r="F10" s="11">
        <v>47</v>
      </c>
      <c r="G10" s="11">
        <v>100</v>
      </c>
      <c r="H10" s="11">
        <f t="shared" ref="H10:H16" si="11">SUM(C10:G10,P10)</f>
        <v>6591.16</v>
      </c>
      <c r="I10" s="11">
        <v>1758.97</v>
      </c>
      <c r="J10" s="11">
        <f>SUM(K10:N10)</f>
        <v>4822.1899999999996</v>
      </c>
      <c r="K10" s="11">
        <f>4822.19-70-82.9-15.99</f>
        <v>4653.3</v>
      </c>
      <c r="L10" s="11">
        <v>82.9</v>
      </c>
      <c r="M10" s="44">
        <v>70</v>
      </c>
      <c r="N10" s="11">
        <v>15.99</v>
      </c>
      <c r="O10" s="11">
        <v>0</v>
      </c>
      <c r="P10" s="33">
        <v>96</v>
      </c>
      <c r="Q10" s="33">
        <v>45</v>
      </c>
      <c r="R10" s="11">
        <v>1594.46</v>
      </c>
      <c r="S10" s="11">
        <v>350</v>
      </c>
      <c r="T10" s="31">
        <f t="shared" ref="T10:T16" si="12">SUM(O10,P10,Q10,R10)-I10</f>
        <v>-23.509999999999991</v>
      </c>
      <c r="U10" s="32">
        <f t="shared" ref="U10:U16" si="13">SUM(I10+J10+W10)-(H10)</f>
        <v>15</v>
      </c>
      <c r="V10" s="33">
        <f t="shared" ref="V10:V16" si="14">SUM(G10-W10)</f>
        <v>75</v>
      </c>
      <c r="W10" s="33">
        <v>25</v>
      </c>
    </row>
    <row r="11" spans="1:24" ht="18.75">
      <c r="A11" s="9">
        <v>44565</v>
      </c>
      <c r="B11" s="10" t="s">
        <v>24</v>
      </c>
      <c r="C11" s="11">
        <v>5726.95</v>
      </c>
      <c r="D11" s="11">
        <v>2099.64</v>
      </c>
      <c r="E11" s="11">
        <v>16</v>
      </c>
      <c r="F11" s="11">
        <v>36</v>
      </c>
      <c r="G11" s="11">
        <v>20</v>
      </c>
      <c r="H11" s="11">
        <f t="shared" si="11"/>
        <v>8043.59</v>
      </c>
      <c r="I11" s="11">
        <v>1540.58</v>
      </c>
      <c r="J11" s="11">
        <f t="shared" ref="J11:J16" si="15">SUM(K11:N11)</f>
        <v>6503.01</v>
      </c>
      <c r="K11" s="11">
        <f>6503.01-55.38-22.58-88.68</f>
        <v>6336.37</v>
      </c>
      <c r="L11" s="11">
        <v>22.58</v>
      </c>
      <c r="M11" s="44">
        <v>55.38</v>
      </c>
      <c r="N11" s="11">
        <v>88.68</v>
      </c>
      <c r="O11" s="11">
        <v>0</v>
      </c>
      <c r="P11" s="33">
        <v>145</v>
      </c>
      <c r="Q11" s="33">
        <v>15.5</v>
      </c>
      <c r="R11" s="11">
        <v>1392.83</v>
      </c>
      <c r="S11" s="11">
        <v>350</v>
      </c>
      <c r="T11" s="31">
        <f t="shared" si="12"/>
        <v>12.75</v>
      </c>
      <c r="U11" s="32">
        <f t="shared" si="13"/>
        <v>0</v>
      </c>
      <c r="V11" s="33">
        <f t="shared" si="14"/>
        <v>20</v>
      </c>
      <c r="W11" s="33">
        <v>0</v>
      </c>
    </row>
    <row r="12" spans="1:24" ht="18.75">
      <c r="A12" s="9">
        <v>44566</v>
      </c>
      <c r="B12" s="10" t="s">
        <v>25</v>
      </c>
      <c r="C12" s="11">
        <v>4587.34</v>
      </c>
      <c r="D12" s="11">
        <v>2330.64</v>
      </c>
      <c r="E12" s="11">
        <v>2</v>
      </c>
      <c r="F12" s="11">
        <v>38</v>
      </c>
      <c r="G12" s="11">
        <v>100</v>
      </c>
      <c r="H12" s="11">
        <f t="shared" si="11"/>
        <v>7067.98</v>
      </c>
      <c r="I12" s="11">
        <v>2026.07</v>
      </c>
      <c r="J12" s="11">
        <f t="shared" si="15"/>
        <v>4951.91</v>
      </c>
      <c r="K12" s="11">
        <f>4951.91-81.94</f>
        <v>4869.97</v>
      </c>
      <c r="L12" s="11">
        <v>0</v>
      </c>
      <c r="M12" s="44">
        <v>81.94</v>
      </c>
      <c r="N12" s="11">
        <v>0</v>
      </c>
      <c r="O12" s="11">
        <v>141.22</v>
      </c>
      <c r="P12" s="33">
        <v>10</v>
      </c>
      <c r="Q12" s="33">
        <v>68.099999999999994</v>
      </c>
      <c r="R12" s="11">
        <v>1806.55</v>
      </c>
      <c r="S12" s="11">
        <v>350</v>
      </c>
      <c r="T12" s="31">
        <f t="shared" si="12"/>
        <v>-0.20000000000004547</v>
      </c>
      <c r="U12" s="32">
        <f t="shared" si="13"/>
        <v>-40</v>
      </c>
      <c r="V12" s="33">
        <f t="shared" si="14"/>
        <v>50</v>
      </c>
      <c r="W12" s="33">
        <v>50</v>
      </c>
      <c r="X12" t="s">
        <v>53</v>
      </c>
    </row>
    <row r="13" spans="1:24" ht="18.75">
      <c r="A13" s="9">
        <v>44567</v>
      </c>
      <c r="B13" s="10" t="s">
        <v>26</v>
      </c>
      <c r="C13" s="11">
        <v>5387.86</v>
      </c>
      <c r="D13" s="11">
        <v>2282.81</v>
      </c>
      <c r="E13" s="11">
        <v>14.5</v>
      </c>
      <c r="F13" s="11">
        <v>13</v>
      </c>
      <c r="G13" s="11">
        <v>240</v>
      </c>
      <c r="H13" s="11">
        <f t="shared" si="11"/>
        <v>7993.17</v>
      </c>
      <c r="I13" s="11">
        <v>1725.71</v>
      </c>
      <c r="J13" s="11">
        <f t="shared" si="15"/>
        <v>6169.46</v>
      </c>
      <c r="K13" s="11">
        <f>6169.46-127.11-11.91-81.78</f>
        <v>5948.6600000000008</v>
      </c>
      <c r="L13" s="11">
        <v>11.91</v>
      </c>
      <c r="M13" s="44">
        <v>127.11</v>
      </c>
      <c r="N13" s="11">
        <v>81.78</v>
      </c>
      <c r="O13" s="11">
        <v>486.64</v>
      </c>
      <c r="P13" s="33">
        <v>55</v>
      </c>
      <c r="Q13" s="33">
        <v>57</v>
      </c>
      <c r="R13" s="11">
        <v>1113.45</v>
      </c>
      <c r="S13" s="11">
        <v>350</v>
      </c>
      <c r="T13" s="31">
        <f t="shared" si="12"/>
        <v>-13.619999999999891</v>
      </c>
      <c r="U13" s="32">
        <f t="shared" si="13"/>
        <v>7</v>
      </c>
      <c r="V13" s="33">
        <v>142</v>
      </c>
      <c r="W13" s="33">
        <v>105</v>
      </c>
    </row>
    <row r="14" spans="1:24" ht="18.75">
      <c r="A14" s="9">
        <v>44568</v>
      </c>
      <c r="B14" s="10" t="s">
        <v>20</v>
      </c>
      <c r="C14" s="11">
        <v>5333.18</v>
      </c>
      <c r="D14" s="11">
        <v>3339.97</v>
      </c>
      <c r="E14" s="11">
        <v>8.5</v>
      </c>
      <c r="F14" s="11">
        <v>39</v>
      </c>
      <c r="G14" s="11">
        <v>90</v>
      </c>
      <c r="H14" s="11">
        <f t="shared" si="11"/>
        <v>8855.65</v>
      </c>
      <c r="I14" s="11">
        <v>2131.2199999999998</v>
      </c>
      <c r="J14" s="11">
        <f t="shared" si="15"/>
        <v>6704.43</v>
      </c>
      <c r="K14" s="11">
        <v>6186.1</v>
      </c>
      <c r="L14" s="11">
        <v>32.200000000000003</v>
      </c>
      <c r="M14" s="11">
        <v>300.33999999999997</v>
      </c>
      <c r="N14" s="11">
        <v>185.79</v>
      </c>
      <c r="O14" s="11">
        <v>0</v>
      </c>
      <c r="P14" s="33">
        <v>45</v>
      </c>
      <c r="Q14" s="33">
        <v>0</v>
      </c>
      <c r="R14" s="11">
        <v>2084.6999999999998</v>
      </c>
      <c r="S14" s="11">
        <v>350</v>
      </c>
      <c r="T14" s="31">
        <f t="shared" si="12"/>
        <v>-1.5199999999999818</v>
      </c>
      <c r="U14" s="32">
        <f t="shared" si="13"/>
        <v>0</v>
      </c>
      <c r="V14" s="33">
        <f t="shared" si="14"/>
        <v>70</v>
      </c>
      <c r="W14" s="33">
        <v>20</v>
      </c>
    </row>
    <row r="15" spans="1:24" ht="18.75">
      <c r="A15" s="9">
        <v>44569</v>
      </c>
      <c r="B15" s="10" t="s">
        <v>21</v>
      </c>
      <c r="C15" s="11">
        <v>4872.1400000000003</v>
      </c>
      <c r="D15" s="11">
        <v>3421.31</v>
      </c>
      <c r="E15" s="11">
        <v>26</v>
      </c>
      <c r="F15" s="11">
        <v>12</v>
      </c>
      <c r="G15" s="11">
        <v>249.64</v>
      </c>
      <c r="H15" s="11">
        <f t="shared" si="11"/>
        <v>8598.09</v>
      </c>
      <c r="I15" s="11">
        <v>2338.6799999999998</v>
      </c>
      <c r="J15" s="11">
        <f t="shared" si="15"/>
        <v>6162.77</v>
      </c>
      <c r="K15" s="11">
        <f>6162.77-47.68-205.12</f>
        <v>5909.97</v>
      </c>
      <c r="L15" s="11">
        <v>0</v>
      </c>
      <c r="M15" s="11">
        <v>47.68</v>
      </c>
      <c r="N15" s="11">
        <v>205.12</v>
      </c>
      <c r="O15" s="11">
        <v>0</v>
      </c>
      <c r="P15" s="33">
        <v>17</v>
      </c>
      <c r="Q15" s="33">
        <v>19</v>
      </c>
      <c r="R15" s="11">
        <v>2305.06</v>
      </c>
      <c r="S15" s="11">
        <v>350</v>
      </c>
      <c r="T15" s="31">
        <f t="shared" si="12"/>
        <v>2.3800000000001091</v>
      </c>
      <c r="U15" s="32">
        <f t="shared" si="13"/>
        <v>0</v>
      </c>
      <c r="V15" s="33">
        <f t="shared" si="14"/>
        <v>153</v>
      </c>
      <c r="W15" s="33">
        <v>96.64</v>
      </c>
    </row>
    <row r="16" spans="1:24" ht="18.75">
      <c r="A16" s="9">
        <v>44570</v>
      </c>
      <c r="B16" s="10" t="s">
        <v>22</v>
      </c>
      <c r="C16" s="11">
        <v>4160.9399999999996</v>
      </c>
      <c r="D16" s="11">
        <v>2525.81</v>
      </c>
      <c r="E16" s="11">
        <v>2.5</v>
      </c>
      <c r="F16" s="11">
        <v>23</v>
      </c>
      <c r="G16" s="11">
        <v>173</v>
      </c>
      <c r="H16" s="11">
        <f t="shared" si="11"/>
        <v>6895.25</v>
      </c>
      <c r="I16" s="11">
        <v>1878.82</v>
      </c>
      <c r="J16" s="11">
        <f t="shared" si="15"/>
        <v>4933.43</v>
      </c>
      <c r="K16" s="11">
        <f>4933.43-241.14</f>
        <v>4692.29</v>
      </c>
      <c r="L16" s="11">
        <v>0</v>
      </c>
      <c r="M16" s="11">
        <v>241.14</v>
      </c>
      <c r="N16" s="11">
        <v>0</v>
      </c>
      <c r="O16" s="11">
        <v>0</v>
      </c>
      <c r="P16" s="33">
        <v>10</v>
      </c>
      <c r="Q16" s="33">
        <v>2</v>
      </c>
      <c r="R16" s="11">
        <v>1870.54</v>
      </c>
      <c r="S16" s="11">
        <v>350</v>
      </c>
      <c r="T16" s="31">
        <f t="shared" si="12"/>
        <v>3.7200000000000273</v>
      </c>
      <c r="U16" s="32">
        <f t="shared" si="13"/>
        <v>0</v>
      </c>
      <c r="V16" s="33">
        <f t="shared" si="14"/>
        <v>90</v>
      </c>
      <c r="W16" s="33">
        <v>83</v>
      </c>
    </row>
    <row r="17" spans="1:23" ht="37.5" customHeight="1">
      <c r="A17" s="65" t="s">
        <v>27</v>
      </c>
      <c r="B17" s="66"/>
      <c r="C17" s="27">
        <f>SUM(C10:C16)</f>
        <v>34318.090000000004</v>
      </c>
      <c r="D17" s="27">
        <f t="shared" ref="D17:W17" si="16">SUM(D10:D16)</f>
        <v>18098.66</v>
      </c>
      <c r="E17" s="27">
        <f t="shared" si="16"/>
        <v>69.5</v>
      </c>
      <c r="F17" s="27">
        <f t="shared" si="16"/>
        <v>208</v>
      </c>
      <c r="G17" s="27">
        <f t="shared" si="16"/>
        <v>972.64</v>
      </c>
      <c r="H17" s="27">
        <f t="shared" si="16"/>
        <v>54044.89</v>
      </c>
      <c r="I17" s="27">
        <f t="shared" si="16"/>
        <v>13400.05</v>
      </c>
      <c r="J17" s="27">
        <f t="shared" si="16"/>
        <v>40247.200000000004</v>
      </c>
      <c r="K17" s="27">
        <f t="shared" si="16"/>
        <v>38596.660000000003</v>
      </c>
      <c r="L17" s="27">
        <f t="shared" si="16"/>
        <v>149.59</v>
      </c>
      <c r="M17" s="27">
        <f t="shared" si="16"/>
        <v>923.58999999999992</v>
      </c>
      <c r="N17" s="27">
        <f t="shared" si="16"/>
        <v>577.36</v>
      </c>
      <c r="O17" s="27">
        <f t="shared" si="16"/>
        <v>627.86</v>
      </c>
      <c r="P17" s="27">
        <f t="shared" si="16"/>
        <v>378</v>
      </c>
      <c r="Q17" s="27">
        <f t="shared" si="16"/>
        <v>206.6</v>
      </c>
      <c r="R17" s="27">
        <f t="shared" si="16"/>
        <v>12167.59</v>
      </c>
      <c r="S17" s="27">
        <f t="shared" si="16"/>
        <v>2450</v>
      </c>
      <c r="T17" s="27">
        <f t="shared" si="16"/>
        <v>-19.999999999999773</v>
      </c>
      <c r="U17" s="27">
        <f t="shared" si="16"/>
        <v>-18</v>
      </c>
      <c r="V17" s="27">
        <f t="shared" si="16"/>
        <v>600</v>
      </c>
      <c r="W17" s="27">
        <f t="shared" si="16"/>
        <v>379.64</v>
      </c>
    </row>
    <row r="18" spans="1:23" s="35" customFormat="1" ht="18.75">
      <c r="A18" s="9">
        <v>44571</v>
      </c>
      <c r="B18" s="10" t="s">
        <v>23</v>
      </c>
      <c r="C18" s="11">
        <v>4665.43</v>
      </c>
      <c r="D18" s="11">
        <v>2210.9899999999998</v>
      </c>
      <c r="E18" s="11">
        <v>1.5</v>
      </c>
      <c r="F18" s="11">
        <v>24</v>
      </c>
      <c r="G18" s="11">
        <v>170.5</v>
      </c>
      <c r="H18" s="11">
        <f t="shared" ref="H18:H24" si="17">SUM(C18:G18,P18)</f>
        <v>7092.42</v>
      </c>
      <c r="I18" s="11">
        <v>1762.13</v>
      </c>
      <c r="J18" s="11">
        <f>SUM(K18:N18)</f>
        <v>5206.29</v>
      </c>
      <c r="K18" s="11">
        <f>5206.29-164.01-214.71</f>
        <v>4827.57</v>
      </c>
      <c r="L18" s="11">
        <v>0</v>
      </c>
      <c r="M18" s="11">
        <v>164.01</v>
      </c>
      <c r="N18" s="11">
        <v>214.71</v>
      </c>
      <c r="O18" s="11">
        <v>246.57</v>
      </c>
      <c r="P18" s="33">
        <v>20</v>
      </c>
      <c r="Q18" s="33">
        <v>11</v>
      </c>
      <c r="R18" s="11">
        <v>1492.36</v>
      </c>
      <c r="S18" s="11">
        <v>350</v>
      </c>
      <c r="T18" s="31">
        <f t="shared" ref="T18:T24" si="18">SUM(O18,P18,Q18,R18)-I18</f>
        <v>7.7999999999997272</v>
      </c>
      <c r="U18" s="32">
        <f t="shared" ref="U18:U24" si="19">SUM(I18+J18+W18)-(H18)</f>
        <v>0</v>
      </c>
      <c r="V18" s="33">
        <f t="shared" ref="V18:V24" si="20">SUM(G18-W18)</f>
        <v>46.5</v>
      </c>
      <c r="W18" s="33">
        <v>124</v>
      </c>
    </row>
    <row r="19" spans="1:23" s="35" customFormat="1" ht="18.75">
      <c r="A19" s="9">
        <v>44572</v>
      </c>
      <c r="B19" s="10" t="s">
        <v>24</v>
      </c>
      <c r="C19" s="11">
        <v>5817.41</v>
      </c>
      <c r="D19" s="11">
        <v>2443.77</v>
      </c>
      <c r="E19" s="11">
        <v>11.5</v>
      </c>
      <c r="F19" s="11">
        <v>25</v>
      </c>
      <c r="G19" s="11">
        <v>0</v>
      </c>
      <c r="H19" s="11">
        <f t="shared" si="17"/>
        <v>8297.68</v>
      </c>
      <c r="I19" s="11">
        <v>1920.32</v>
      </c>
      <c r="J19" s="11">
        <f t="shared" ref="J19:J24" si="21">SUM(K19:N19)</f>
        <v>6390.15</v>
      </c>
      <c r="K19" s="11">
        <f>6390.15-324.56-231.96</f>
        <v>5833.6299999999992</v>
      </c>
      <c r="L19" s="11">
        <v>0</v>
      </c>
      <c r="M19" s="11">
        <v>324.56</v>
      </c>
      <c r="N19" s="11">
        <v>231.96</v>
      </c>
      <c r="O19" s="11">
        <v>209.29</v>
      </c>
      <c r="P19" s="33">
        <v>0</v>
      </c>
      <c r="Q19" s="33">
        <v>23</v>
      </c>
      <c r="R19" s="11">
        <v>1678.9</v>
      </c>
      <c r="S19" s="11">
        <v>350</v>
      </c>
      <c r="T19" s="31">
        <f t="shared" si="18"/>
        <v>-9.1299999999998818</v>
      </c>
      <c r="U19" s="32">
        <f t="shared" si="19"/>
        <v>12.789999999999054</v>
      </c>
      <c r="V19" s="33">
        <f t="shared" si="20"/>
        <v>0</v>
      </c>
      <c r="W19" s="33">
        <v>0</v>
      </c>
    </row>
    <row r="20" spans="1:23" s="35" customFormat="1" ht="18.75">
      <c r="A20" s="9">
        <v>44573</v>
      </c>
      <c r="B20" s="10" t="s">
        <v>25</v>
      </c>
      <c r="C20" s="11">
        <v>5504.23</v>
      </c>
      <c r="D20" s="11">
        <v>2252.19</v>
      </c>
      <c r="E20" s="11">
        <v>15.5</v>
      </c>
      <c r="F20" s="11">
        <v>18</v>
      </c>
      <c r="G20" s="11">
        <v>0</v>
      </c>
      <c r="H20" s="11">
        <f t="shared" si="17"/>
        <v>7910.92</v>
      </c>
      <c r="I20" s="11">
        <v>1810.01</v>
      </c>
      <c r="J20" s="11">
        <f t="shared" si="21"/>
        <v>6100.91</v>
      </c>
      <c r="K20" s="11">
        <f>6100.91-160.75-88.7</f>
        <v>5851.46</v>
      </c>
      <c r="L20" s="11">
        <v>0</v>
      </c>
      <c r="M20" s="11">
        <v>160.75</v>
      </c>
      <c r="N20" s="11">
        <v>88.7</v>
      </c>
      <c r="O20" s="11">
        <v>0</v>
      </c>
      <c r="P20" s="33">
        <v>121</v>
      </c>
      <c r="Q20" s="33">
        <v>2</v>
      </c>
      <c r="R20" s="11">
        <v>1685.27</v>
      </c>
      <c r="S20" s="11">
        <v>350</v>
      </c>
      <c r="T20" s="31">
        <f t="shared" si="18"/>
        <v>-1.7400000000000091</v>
      </c>
      <c r="U20" s="32">
        <f t="shared" si="19"/>
        <v>0</v>
      </c>
      <c r="V20" s="33">
        <f t="shared" si="20"/>
        <v>0</v>
      </c>
      <c r="W20" s="33">
        <v>0</v>
      </c>
    </row>
    <row r="21" spans="1:23" s="35" customFormat="1" ht="18.75">
      <c r="A21" s="9">
        <v>44574</v>
      </c>
      <c r="B21" s="10" t="s">
        <v>26</v>
      </c>
      <c r="C21" s="11">
        <v>4870.96</v>
      </c>
      <c r="D21" s="11">
        <v>2566.41</v>
      </c>
      <c r="E21" s="11">
        <v>24.5</v>
      </c>
      <c r="F21" s="11">
        <v>16</v>
      </c>
      <c r="G21" s="11">
        <v>0</v>
      </c>
      <c r="H21" s="11">
        <f t="shared" si="17"/>
        <v>7517.87</v>
      </c>
      <c r="I21" s="11">
        <v>1935.2</v>
      </c>
      <c r="J21" s="11">
        <f t="shared" si="21"/>
        <v>5584.67</v>
      </c>
      <c r="K21" s="11">
        <f>5584.67-202.23-57.03</f>
        <v>5325.4100000000008</v>
      </c>
      <c r="L21" s="11">
        <v>57.03</v>
      </c>
      <c r="M21" s="11">
        <v>202.23</v>
      </c>
      <c r="N21" s="11">
        <v>0</v>
      </c>
      <c r="O21" s="11">
        <v>463.33</v>
      </c>
      <c r="P21" s="33">
        <v>40</v>
      </c>
      <c r="Q21" s="33">
        <v>20</v>
      </c>
      <c r="R21" s="11">
        <v>1413.11</v>
      </c>
      <c r="S21" s="11">
        <v>350</v>
      </c>
      <c r="T21" s="31">
        <f t="shared" si="18"/>
        <v>1.2399999999997817</v>
      </c>
      <c r="U21" s="32">
        <f t="shared" si="19"/>
        <v>2</v>
      </c>
      <c r="V21" s="33">
        <f t="shared" si="20"/>
        <v>0</v>
      </c>
      <c r="W21" s="33">
        <v>0</v>
      </c>
    </row>
    <row r="22" spans="1:23" s="35" customFormat="1" ht="18.75">
      <c r="A22" s="9">
        <v>44575</v>
      </c>
      <c r="B22" s="10" t="s">
        <v>20</v>
      </c>
      <c r="C22" s="11">
        <v>6811.46</v>
      </c>
      <c r="D22" s="11">
        <v>3384.73</v>
      </c>
      <c r="E22" s="11">
        <v>34</v>
      </c>
      <c r="F22" s="11">
        <v>49</v>
      </c>
      <c r="G22" s="11">
        <v>0</v>
      </c>
      <c r="H22" s="11">
        <f t="shared" si="17"/>
        <v>10409.19</v>
      </c>
      <c r="I22" s="43">
        <v>2692.64</v>
      </c>
      <c r="J22" s="11">
        <f t="shared" si="21"/>
        <v>7716.55</v>
      </c>
      <c r="K22" s="11">
        <f>7716.55-110.83-166.3</f>
        <v>7439.42</v>
      </c>
      <c r="L22" s="11">
        <v>0</v>
      </c>
      <c r="M22" s="11">
        <v>110.83</v>
      </c>
      <c r="N22" s="11">
        <v>166.3</v>
      </c>
      <c r="O22" s="11">
        <v>77.349999999999994</v>
      </c>
      <c r="P22" s="33">
        <v>130</v>
      </c>
      <c r="Q22" s="33">
        <v>24</v>
      </c>
      <c r="R22" s="11">
        <v>2460.36</v>
      </c>
      <c r="S22" s="11">
        <v>350</v>
      </c>
      <c r="T22" s="31">
        <f t="shared" si="18"/>
        <v>-0.92999999999983629</v>
      </c>
      <c r="U22" s="32">
        <f t="shared" si="19"/>
        <v>0</v>
      </c>
      <c r="V22" s="33">
        <f t="shared" si="20"/>
        <v>0</v>
      </c>
      <c r="W22" s="33">
        <v>0</v>
      </c>
    </row>
    <row r="23" spans="1:23" s="35" customFormat="1" ht="18.75">
      <c r="A23" s="9">
        <v>44576</v>
      </c>
      <c r="B23" s="10" t="s">
        <v>21</v>
      </c>
      <c r="C23" s="11">
        <v>5462.18</v>
      </c>
      <c r="D23" s="11">
        <v>3408.05</v>
      </c>
      <c r="E23" s="11">
        <v>22</v>
      </c>
      <c r="F23" s="11">
        <v>69</v>
      </c>
      <c r="G23" s="11">
        <v>0</v>
      </c>
      <c r="H23" s="11">
        <f t="shared" si="17"/>
        <v>9251.4</v>
      </c>
      <c r="I23" s="11">
        <v>2211.5</v>
      </c>
      <c r="J23" s="11">
        <f t="shared" si="21"/>
        <v>7277.5</v>
      </c>
      <c r="K23" s="11">
        <f>7039.9</f>
        <v>7039.9</v>
      </c>
      <c r="L23" s="11">
        <v>97.17</v>
      </c>
      <c r="M23" s="11">
        <v>140.43</v>
      </c>
      <c r="N23" s="11">
        <v>0</v>
      </c>
      <c r="O23" s="11">
        <v>0</v>
      </c>
      <c r="P23" s="33">
        <v>290.17</v>
      </c>
      <c r="Q23" s="33">
        <v>4</v>
      </c>
      <c r="R23" s="11">
        <v>1917.71</v>
      </c>
      <c r="S23" s="11">
        <v>350</v>
      </c>
      <c r="T23" s="31">
        <f t="shared" si="18"/>
        <v>0.38000000000010914</v>
      </c>
      <c r="U23" s="32">
        <f t="shared" si="19"/>
        <v>237.60000000000036</v>
      </c>
      <c r="V23" s="33">
        <f t="shared" si="20"/>
        <v>0</v>
      </c>
      <c r="W23" s="33">
        <v>0</v>
      </c>
    </row>
    <row r="24" spans="1:23" s="35" customFormat="1" ht="18.75">
      <c r="A24" s="9">
        <v>44577</v>
      </c>
      <c r="B24" s="10" t="s">
        <v>22</v>
      </c>
      <c r="C24" s="11">
        <v>5379.14</v>
      </c>
      <c r="D24" s="11">
        <v>2665.1</v>
      </c>
      <c r="E24" s="11">
        <v>30</v>
      </c>
      <c r="F24" s="11">
        <v>19</v>
      </c>
      <c r="G24" s="11">
        <v>0</v>
      </c>
      <c r="H24" s="11">
        <f t="shared" si="17"/>
        <v>8103.24</v>
      </c>
      <c r="I24" s="11">
        <v>1832.47</v>
      </c>
      <c r="J24" s="11">
        <f t="shared" si="21"/>
        <v>6270.77</v>
      </c>
      <c r="K24" s="11">
        <f>6270.77-20-105.65</f>
        <v>6145.1200000000008</v>
      </c>
      <c r="L24" s="11">
        <v>20</v>
      </c>
      <c r="M24" s="11">
        <v>0</v>
      </c>
      <c r="N24" s="11">
        <v>105.65</v>
      </c>
      <c r="O24" s="11">
        <v>0</v>
      </c>
      <c r="P24" s="33">
        <v>10</v>
      </c>
      <c r="Q24" s="33">
        <v>20</v>
      </c>
      <c r="R24" s="11">
        <v>1799.82</v>
      </c>
      <c r="S24" s="11">
        <v>350</v>
      </c>
      <c r="T24" s="31">
        <f t="shared" si="18"/>
        <v>-2.6500000000000909</v>
      </c>
      <c r="U24" s="32">
        <f t="shared" si="19"/>
        <v>0</v>
      </c>
      <c r="V24" s="33">
        <f t="shared" si="20"/>
        <v>0</v>
      </c>
      <c r="W24" s="33">
        <v>0</v>
      </c>
    </row>
    <row r="25" spans="1:23" ht="37.5" customHeight="1">
      <c r="A25" s="65" t="s">
        <v>27</v>
      </c>
      <c r="B25" s="66"/>
      <c r="C25" s="27">
        <f>SUM(C18:C24)</f>
        <v>38510.81</v>
      </c>
      <c r="D25" s="27">
        <f t="shared" ref="D25:W25" si="22">SUM(D18:D24)</f>
        <v>18931.239999999998</v>
      </c>
      <c r="E25" s="27">
        <f t="shared" si="22"/>
        <v>139</v>
      </c>
      <c r="F25" s="27">
        <f t="shared" si="22"/>
        <v>220</v>
      </c>
      <c r="G25" s="27">
        <f t="shared" si="22"/>
        <v>170.5</v>
      </c>
      <c r="H25" s="27">
        <f t="shared" si="22"/>
        <v>58582.720000000001</v>
      </c>
      <c r="I25" s="27">
        <f t="shared" si="22"/>
        <v>14164.269999999999</v>
      </c>
      <c r="J25" s="27">
        <f t="shared" si="22"/>
        <v>44546.84</v>
      </c>
      <c r="K25" s="27">
        <f t="shared" si="22"/>
        <v>42462.51</v>
      </c>
      <c r="L25" s="27">
        <f t="shared" si="22"/>
        <v>174.2</v>
      </c>
      <c r="M25" s="27">
        <f t="shared" si="22"/>
        <v>1102.81</v>
      </c>
      <c r="N25" s="27">
        <f t="shared" si="22"/>
        <v>807.32</v>
      </c>
      <c r="O25" s="27">
        <f t="shared" si="22"/>
        <v>996.54000000000008</v>
      </c>
      <c r="P25" s="27">
        <f t="shared" si="22"/>
        <v>611.17000000000007</v>
      </c>
      <c r="Q25" s="27">
        <f t="shared" si="22"/>
        <v>104</v>
      </c>
      <c r="R25" s="27">
        <f t="shared" si="22"/>
        <v>12447.529999999999</v>
      </c>
      <c r="S25" s="27">
        <f t="shared" si="22"/>
        <v>2450</v>
      </c>
      <c r="T25" s="27">
        <f t="shared" si="22"/>
        <v>-5.0300000000002001</v>
      </c>
      <c r="U25" s="27">
        <f t="shared" si="22"/>
        <v>252.38999999999942</v>
      </c>
      <c r="V25" s="27">
        <f t="shared" si="22"/>
        <v>46.5</v>
      </c>
      <c r="W25" s="27">
        <f t="shared" si="22"/>
        <v>124</v>
      </c>
    </row>
    <row r="26" spans="1:23" s="35" customFormat="1" ht="18.75">
      <c r="A26" s="9">
        <v>44578</v>
      </c>
      <c r="B26" s="10" t="s">
        <v>23</v>
      </c>
      <c r="C26" s="11">
        <v>6447.64</v>
      </c>
      <c r="D26" s="11">
        <v>2412.1</v>
      </c>
      <c r="E26" s="11">
        <v>0</v>
      </c>
      <c r="F26" s="11">
        <v>21</v>
      </c>
      <c r="G26" s="11">
        <v>0</v>
      </c>
      <c r="H26" s="11">
        <f t="shared" ref="H26:H32" si="23">SUM(C26:G26,P26)</f>
        <v>9041.74</v>
      </c>
      <c r="I26" s="11">
        <v>1895.96</v>
      </c>
      <c r="J26" s="11">
        <f>SUM(K26:N26)</f>
        <v>7027.97</v>
      </c>
      <c r="K26" s="11">
        <f>7027.97-154.17-276.96</f>
        <v>6596.84</v>
      </c>
      <c r="L26" s="11">
        <v>0</v>
      </c>
      <c r="M26" s="11">
        <v>154.16999999999999</v>
      </c>
      <c r="N26" s="11">
        <v>276.95999999999998</v>
      </c>
      <c r="O26" s="11">
        <v>489.81</v>
      </c>
      <c r="P26" s="33">
        <v>161</v>
      </c>
      <c r="Q26" s="33">
        <v>39</v>
      </c>
      <c r="R26" s="11">
        <v>1206.78</v>
      </c>
      <c r="S26" s="11">
        <v>350</v>
      </c>
      <c r="T26" s="31">
        <f t="shared" ref="T26:T32" si="24">SUM(O26,P26,Q26,R26)-I26</f>
        <v>0.62999999999988177</v>
      </c>
      <c r="U26" s="32">
        <f>SUM(I26+J26+W26)-(H26)</f>
        <v>-117.80999999999949</v>
      </c>
      <c r="V26" s="33">
        <f t="shared" ref="V26:V32" si="25">SUM(G26-W26)</f>
        <v>0</v>
      </c>
      <c r="W26" s="33">
        <v>0</v>
      </c>
    </row>
    <row r="27" spans="1:23" s="35" customFormat="1" ht="18.75">
      <c r="A27" s="9">
        <v>44579</v>
      </c>
      <c r="B27" s="10" t="s">
        <v>24</v>
      </c>
      <c r="C27" s="11">
        <v>6801.04</v>
      </c>
      <c r="D27" s="11">
        <v>2764.4</v>
      </c>
      <c r="E27" s="11">
        <v>17</v>
      </c>
      <c r="F27" s="11">
        <v>35</v>
      </c>
      <c r="G27" s="11">
        <v>135.68</v>
      </c>
      <c r="H27" s="11">
        <f t="shared" si="23"/>
        <v>9843.1200000000008</v>
      </c>
      <c r="I27" s="11">
        <v>2724.33</v>
      </c>
      <c r="J27" s="11">
        <f t="shared" ref="J27:J42" si="26">SUM(K27:N27)</f>
        <v>6988.11</v>
      </c>
      <c r="K27" s="11">
        <f>6988.11-306.68-98.01</f>
        <v>6583.4199999999992</v>
      </c>
      <c r="L27" s="11">
        <v>0</v>
      </c>
      <c r="M27" s="11">
        <v>306.68</v>
      </c>
      <c r="N27" s="11">
        <v>98.01</v>
      </c>
      <c r="O27" s="11">
        <v>0</v>
      </c>
      <c r="P27" s="33">
        <v>90</v>
      </c>
      <c r="Q27" s="33">
        <v>15</v>
      </c>
      <c r="R27" s="11">
        <v>2614.83</v>
      </c>
      <c r="S27" s="11">
        <v>350</v>
      </c>
      <c r="T27" s="31">
        <f t="shared" si="24"/>
        <v>-4.5</v>
      </c>
      <c r="U27" s="32">
        <f>SUM(I27+J27+W27)-(H27)</f>
        <v>4.999999999998181</v>
      </c>
      <c r="V27" s="33">
        <f t="shared" si="25"/>
        <v>0</v>
      </c>
      <c r="W27" s="33">
        <v>135.68</v>
      </c>
    </row>
    <row r="28" spans="1:23" s="35" customFormat="1" ht="18.75">
      <c r="A28" s="9">
        <v>44580</v>
      </c>
      <c r="B28" s="10" t="s">
        <v>25</v>
      </c>
      <c r="C28" s="11">
        <v>6509.61</v>
      </c>
      <c r="D28" s="11">
        <v>2755.48</v>
      </c>
      <c r="E28" s="11">
        <v>12</v>
      </c>
      <c r="F28" s="11">
        <v>28</v>
      </c>
      <c r="G28" s="11">
        <v>80</v>
      </c>
      <c r="H28" s="11">
        <f t="shared" si="23"/>
        <v>9456.7000000000007</v>
      </c>
      <c r="I28" s="11">
        <v>1762.07</v>
      </c>
      <c r="J28" s="11">
        <v>7608.01</v>
      </c>
      <c r="K28" s="11">
        <v>6963.53</v>
      </c>
      <c r="L28" s="11">
        <v>10</v>
      </c>
      <c r="M28" s="11">
        <v>243.15</v>
      </c>
      <c r="N28" s="11">
        <v>391.33</v>
      </c>
      <c r="O28" s="11">
        <v>402.56</v>
      </c>
      <c r="P28" s="33">
        <v>71.61</v>
      </c>
      <c r="Q28" s="33">
        <v>12</v>
      </c>
      <c r="R28" s="11">
        <v>1266.73</v>
      </c>
      <c r="S28" s="11">
        <v>350</v>
      </c>
      <c r="T28" s="31">
        <f t="shared" si="24"/>
        <v>-9.1699999999998454</v>
      </c>
      <c r="U28" s="32">
        <f t="shared" ref="U28:U32" si="27">SUM(I28+J28+W28)-(H28)</f>
        <v>-6.6200000000008004</v>
      </c>
      <c r="V28" s="33">
        <f t="shared" si="25"/>
        <v>0</v>
      </c>
      <c r="W28" s="33">
        <v>80</v>
      </c>
    </row>
    <row r="29" spans="1:23" s="35" customFormat="1" ht="18.75">
      <c r="A29" s="9">
        <v>44581</v>
      </c>
      <c r="B29" s="10" t="s">
        <v>26</v>
      </c>
      <c r="C29" s="11">
        <v>5796.94</v>
      </c>
      <c r="D29" s="11">
        <v>2578.9299999999998</v>
      </c>
      <c r="E29" s="11">
        <v>3</v>
      </c>
      <c r="F29" s="11">
        <v>29</v>
      </c>
      <c r="G29" s="11">
        <v>65</v>
      </c>
      <c r="H29" s="11">
        <f t="shared" si="23"/>
        <v>8492.869999999999</v>
      </c>
      <c r="I29" s="11">
        <v>1974.97</v>
      </c>
      <c r="J29" s="11">
        <f t="shared" si="26"/>
        <v>6462.9</v>
      </c>
      <c r="K29" s="11">
        <f>6462.9-41.01-183.32-327.86</f>
        <v>5910.71</v>
      </c>
      <c r="L29" s="11">
        <v>41.01</v>
      </c>
      <c r="M29" s="11">
        <v>183.32</v>
      </c>
      <c r="N29" s="11">
        <v>327.86</v>
      </c>
      <c r="O29" s="11">
        <v>0</v>
      </c>
      <c r="P29" s="33">
        <v>20</v>
      </c>
      <c r="Q29" s="33">
        <v>13</v>
      </c>
      <c r="R29" s="11">
        <v>1941.87</v>
      </c>
      <c r="S29" s="11">
        <v>350</v>
      </c>
      <c r="T29" s="31">
        <f t="shared" si="24"/>
        <v>-0.10000000000013642</v>
      </c>
      <c r="U29" s="32">
        <f t="shared" si="27"/>
        <v>0</v>
      </c>
      <c r="V29" s="33">
        <f t="shared" si="25"/>
        <v>10</v>
      </c>
      <c r="W29" s="33">
        <v>55</v>
      </c>
    </row>
    <row r="30" spans="1:23" s="35" customFormat="1" ht="18.75">
      <c r="A30" s="9">
        <v>44582</v>
      </c>
      <c r="B30" s="10" t="s">
        <v>20</v>
      </c>
      <c r="C30" s="11">
        <v>6406.58</v>
      </c>
      <c r="D30" s="11">
        <v>4044.16</v>
      </c>
      <c r="E30" s="11">
        <v>28</v>
      </c>
      <c r="F30" s="11">
        <v>62</v>
      </c>
      <c r="G30" s="11">
        <v>176.2</v>
      </c>
      <c r="H30" s="11">
        <f t="shared" si="23"/>
        <v>10831.94</v>
      </c>
      <c r="I30" s="11">
        <v>2212.9699999999998</v>
      </c>
      <c r="J30" s="11">
        <f t="shared" si="26"/>
        <v>8582.77</v>
      </c>
      <c r="K30" s="11">
        <f>8582.77-116.96-80.9</f>
        <v>8384.9100000000017</v>
      </c>
      <c r="L30" s="11">
        <v>0</v>
      </c>
      <c r="M30" s="11">
        <v>116.96</v>
      </c>
      <c r="N30" s="11">
        <v>80.900000000000006</v>
      </c>
      <c r="O30" s="11">
        <v>213.5</v>
      </c>
      <c r="P30" s="33">
        <v>115</v>
      </c>
      <c r="Q30" s="33">
        <v>8</v>
      </c>
      <c r="R30" s="11">
        <v>1875.79</v>
      </c>
      <c r="S30" s="11">
        <v>350</v>
      </c>
      <c r="T30" s="31">
        <f t="shared" si="24"/>
        <v>-0.67999999999983629</v>
      </c>
      <c r="U30" s="32">
        <f t="shared" si="27"/>
        <v>0</v>
      </c>
      <c r="V30" s="33">
        <f t="shared" si="25"/>
        <v>140</v>
      </c>
      <c r="W30" s="33">
        <v>36.200000000000003</v>
      </c>
    </row>
    <row r="31" spans="1:23" s="35" customFormat="1" ht="18.75">
      <c r="A31" s="9">
        <v>44583</v>
      </c>
      <c r="B31" s="10" t="s">
        <v>21</v>
      </c>
      <c r="C31" s="11">
        <v>6316.02</v>
      </c>
      <c r="D31" s="11">
        <v>3552.83</v>
      </c>
      <c r="E31" s="11">
        <v>25</v>
      </c>
      <c r="F31" s="11">
        <v>42</v>
      </c>
      <c r="G31" s="11">
        <v>230</v>
      </c>
      <c r="H31" s="11">
        <f t="shared" si="23"/>
        <v>10236.85</v>
      </c>
      <c r="I31" s="11">
        <v>2735.48</v>
      </c>
      <c r="J31" s="11">
        <f t="shared" si="26"/>
        <v>7381.37</v>
      </c>
      <c r="K31" s="11">
        <f>7381.37-52.37-10-80</f>
        <v>7239</v>
      </c>
      <c r="L31" s="11">
        <v>10</v>
      </c>
      <c r="M31" s="11">
        <v>52.37</v>
      </c>
      <c r="N31" s="11">
        <v>80</v>
      </c>
      <c r="O31" s="11">
        <v>0</v>
      </c>
      <c r="P31" s="33">
        <v>71</v>
      </c>
      <c r="Q31" s="33">
        <v>35.1</v>
      </c>
      <c r="R31" s="11">
        <v>2672.48</v>
      </c>
      <c r="S31" s="11">
        <v>350</v>
      </c>
      <c r="T31" s="31">
        <f t="shared" si="24"/>
        <v>43.099999999999909</v>
      </c>
      <c r="U31" s="32">
        <f t="shared" si="27"/>
        <v>0</v>
      </c>
      <c r="V31" s="33">
        <f t="shared" si="25"/>
        <v>110</v>
      </c>
      <c r="W31" s="33">
        <v>120</v>
      </c>
    </row>
    <row r="32" spans="1:23" s="35" customFormat="1" ht="18.75">
      <c r="A32" s="9">
        <v>44584</v>
      </c>
      <c r="B32" s="10" t="s">
        <v>22</v>
      </c>
      <c r="C32" s="11">
        <v>5101.03</v>
      </c>
      <c r="D32" s="11">
        <v>3015.46</v>
      </c>
      <c r="E32" s="11">
        <v>0</v>
      </c>
      <c r="F32" s="11">
        <v>29</v>
      </c>
      <c r="G32" s="11">
        <v>50</v>
      </c>
      <c r="H32" s="11">
        <f t="shared" si="23"/>
        <v>8353.49</v>
      </c>
      <c r="I32" s="11">
        <v>2023.76</v>
      </c>
      <c r="J32" s="11">
        <f t="shared" si="26"/>
        <v>6269.73</v>
      </c>
      <c r="K32" s="11">
        <f>6269.73-354.94-96.12</f>
        <v>5818.67</v>
      </c>
      <c r="L32" s="11">
        <v>0</v>
      </c>
      <c r="M32" s="11">
        <v>354.94</v>
      </c>
      <c r="N32" s="11">
        <v>96.12</v>
      </c>
      <c r="O32" s="11">
        <v>0</v>
      </c>
      <c r="P32" s="33">
        <v>158</v>
      </c>
      <c r="Q32" s="33">
        <v>0</v>
      </c>
      <c r="R32" s="11">
        <v>1667.81</v>
      </c>
      <c r="S32" s="11">
        <v>350</v>
      </c>
      <c r="T32" s="31">
        <f t="shared" si="24"/>
        <v>-197.95000000000005</v>
      </c>
      <c r="U32" s="32">
        <f t="shared" si="27"/>
        <v>-20</v>
      </c>
      <c r="V32" s="33">
        <f t="shared" si="25"/>
        <v>10</v>
      </c>
      <c r="W32" s="33">
        <v>40</v>
      </c>
    </row>
    <row r="33" spans="1:23" ht="37.5" customHeight="1">
      <c r="A33" s="65" t="s">
        <v>27</v>
      </c>
      <c r="B33" s="66"/>
      <c r="C33" s="27">
        <f>SUM(C26:C32)</f>
        <v>43378.86</v>
      </c>
      <c r="D33" s="27">
        <f t="shared" ref="D33:W33" si="28">SUM(D26:D32)</f>
        <v>21123.360000000001</v>
      </c>
      <c r="E33" s="27">
        <f t="shared" si="28"/>
        <v>85</v>
      </c>
      <c r="F33" s="27">
        <f t="shared" si="28"/>
        <v>246</v>
      </c>
      <c r="G33" s="27">
        <f t="shared" si="28"/>
        <v>736.88</v>
      </c>
      <c r="H33" s="27">
        <f t="shared" si="28"/>
        <v>66256.710000000006</v>
      </c>
      <c r="I33" s="27">
        <f t="shared" si="28"/>
        <v>15329.539999999999</v>
      </c>
      <c r="J33" s="27">
        <f t="shared" si="28"/>
        <v>50320.86</v>
      </c>
      <c r="K33" s="27">
        <f t="shared" si="28"/>
        <v>47497.079999999994</v>
      </c>
      <c r="L33" s="27">
        <f t="shared" si="28"/>
        <v>61.01</v>
      </c>
      <c r="M33" s="27">
        <f t="shared" si="28"/>
        <v>1411.59</v>
      </c>
      <c r="N33" s="27">
        <f t="shared" si="28"/>
        <v>1351.1799999999998</v>
      </c>
      <c r="O33" s="27">
        <f t="shared" si="28"/>
        <v>1105.8699999999999</v>
      </c>
      <c r="P33" s="27">
        <f t="shared" si="28"/>
        <v>686.61</v>
      </c>
      <c r="Q33" s="27">
        <f t="shared" si="28"/>
        <v>122.1</v>
      </c>
      <c r="R33" s="27">
        <f t="shared" si="28"/>
        <v>13246.289999999999</v>
      </c>
      <c r="S33" s="27">
        <f t="shared" si="28"/>
        <v>2450</v>
      </c>
      <c r="T33" s="27">
        <f t="shared" si="28"/>
        <v>-168.67000000000007</v>
      </c>
      <c r="U33" s="27">
        <f t="shared" si="28"/>
        <v>-139.43000000000211</v>
      </c>
      <c r="V33" s="27">
        <f t="shared" si="28"/>
        <v>270</v>
      </c>
      <c r="W33" s="27">
        <f t="shared" si="28"/>
        <v>466.88</v>
      </c>
    </row>
    <row r="34" spans="1:23" s="35" customFormat="1" ht="18.75">
      <c r="A34" s="9">
        <v>44585</v>
      </c>
      <c r="B34" s="10" t="s">
        <v>23</v>
      </c>
      <c r="C34" s="11">
        <v>5965.38</v>
      </c>
      <c r="D34" s="11">
        <v>2239.29</v>
      </c>
      <c r="E34" s="11">
        <v>1.5</v>
      </c>
      <c r="F34" s="11">
        <v>97</v>
      </c>
      <c r="G34" s="11">
        <v>20</v>
      </c>
      <c r="H34" s="11">
        <f t="shared" ref="H34:H40" si="29">SUM(C34:G34,P34)</f>
        <v>8398.17</v>
      </c>
      <c r="I34" s="11">
        <v>2152.12</v>
      </c>
      <c r="J34" s="11">
        <f>SUM(K34:N34)</f>
        <v>6246.05</v>
      </c>
      <c r="K34" s="11">
        <f>6246.05-244.19-45.12</f>
        <v>5956.7400000000007</v>
      </c>
      <c r="L34" s="11">
        <v>0</v>
      </c>
      <c r="M34" s="11">
        <v>244.19</v>
      </c>
      <c r="N34" s="11">
        <v>45.12</v>
      </c>
      <c r="O34" s="11">
        <v>58.95</v>
      </c>
      <c r="P34" s="33">
        <v>75</v>
      </c>
      <c r="Q34" s="33">
        <v>40</v>
      </c>
      <c r="R34" s="11">
        <v>1978.24</v>
      </c>
      <c r="S34" s="11">
        <v>350</v>
      </c>
      <c r="T34" s="31">
        <f t="shared" ref="T34:T40" si="30">SUM(O34,P34,Q34,R34)-I34</f>
        <v>7.0000000000163709E-2</v>
      </c>
      <c r="U34" s="32">
        <f>SUM(I34+J34+W34)-(H34)</f>
        <v>0</v>
      </c>
      <c r="V34" s="33">
        <f t="shared" ref="V34:V40" si="31">SUM(G34-W34)</f>
        <v>20</v>
      </c>
      <c r="W34" s="33">
        <v>0</v>
      </c>
    </row>
    <row r="35" spans="1:23" s="35" customFormat="1" ht="18.75">
      <c r="A35" s="9">
        <v>44586</v>
      </c>
      <c r="B35" s="10" t="s">
        <v>24</v>
      </c>
      <c r="C35" s="11">
        <v>6299.5</v>
      </c>
      <c r="D35" s="11">
        <v>2595.37</v>
      </c>
      <c r="E35" s="11">
        <v>0</v>
      </c>
      <c r="F35" s="11">
        <v>74</v>
      </c>
      <c r="G35" s="11">
        <v>0</v>
      </c>
      <c r="H35" s="11">
        <f t="shared" si="29"/>
        <v>9048.869999999999</v>
      </c>
      <c r="I35" s="11">
        <v>2069.2600000000002</v>
      </c>
      <c r="J35" s="11">
        <f t="shared" ref="J35:J40" si="32">SUM(K35:N35)</f>
        <v>6979.61</v>
      </c>
      <c r="K35" s="11">
        <f>6979.61-109.03-74.2</f>
        <v>6796.38</v>
      </c>
      <c r="L35" s="11">
        <v>0</v>
      </c>
      <c r="M35" s="11">
        <v>109.03</v>
      </c>
      <c r="N35" s="11">
        <v>74.2</v>
      </c>
      <c r="O35" s="11">
        <v>6.85</v>
      </c>
      <c r="P35" s="33">
        <v>80</v>
      </c>
      <c r="Q35" s="33">
        <v>5</v>
      </c>
      <c r="R35" s="11">
        <v>1978.43</v>
      </c>
      <c r="S35" s="11">
        <v>350</v>
      </c>
      <c r="T35" s="31">
        <f t="shared" si="30"/>
        <v>1.0199999999999818</v>
      </c>
      <c r="U35" s="32">
        <f>SUM(I35+J35+W35)-(H35)</f>
        <v>0</v>
      </c>
      <c r="V35" s="33">
        <f t="shared" si="31"/>
        <v>0</v>
      </c>
      <c r="W35" s="33">
        <v>0</v>
      </c>
    </row>
    <row r="36" spans="1:23" s="35" customFormat="1" ht="18.75">
      <c r="A36" s="9">
        <v>44587</v>
      </c>
      <c r="B36" s="10" t="s">
        <v>25</v>
      </c>
      <c r="C36" s="11">
        <v>6476.76</v>
      </c>
      <c r="D36" s="11">
        <v>2769.99</v>
      </c>
      <c r="E36" s="11">
        <v>16.5</v>
      </c>
      <c r="F36" s="11">
        <v>62</v>
      </c>
      <c r="G36" s="11">
        <v>0</v>
      </c>
      <c r="H36" s="11">
        <f t="shared" si="29"/>
        <v>9385.25</v>
      </c>
      <c r="I36" s="11">
        <v>2078.4299999999998</v>
      </c>
      <c r="J36" s="11">
        <f t="shared" si="32"/>
        <v>7306.82</v>
      </c>
      <c r="K36" s="11">
        <f>7306.82-308.31-191.41</f>
        <v>6807.0999999999995</v>
      </c>
      <c r="L36" s="11">
        <v>0</v>
      </c>
      <c r="M36" s="11">
        <v>308.31</v>
      </c>
      <c r="N36" s="11">
        <v>191.41</v>
      </c>
      <c r="O36" s="11">
        <f>144.55+252.03</f>
        <v>396.58000000000004</v>
      </c>
      <c r="P36" s="33">
        <v>60</v>
      </c>
      <c r="Q36" s="33">
        <v>58</v>
      </c>
      <c r="R36" s="11">
        <v>1530.9</v>
      </c>
      <c r="S36" s="11">
        <v>350</v>
      </c>
      <c r="T36" s="31">
        <f t="shared" si="30"/>
        <v>-32.949999999999818</v>
      </c>
      <c r="U36" s="32">
        <f t="shared" ref="U36:U40" si="33">SUM(I36+J36+W36)-(H36)</f>
        <v>0</v>
      </c>
      <c r="V36" s="33">
        <f t="shared" si="31"/>
        <v>0</v>
      </c>
      <c r="W36" s="33">
        <v>0</v>
      </c>
    </row>
    <row r="37" spans="1:23" s="35" customFormat="1" ht="18.75">
      <c r="A37" s="9">
        <v>44588</v>
      </c>
      <c r="B37" s="10" t="s">
        <v>26</v>
      </c>
      <c r="C37" s="11">
        <v>6696.18</v>
      </c>
      <c r="D37" s="11">
        <v>2488.5100000000002</v>
      </c>
      <c r="E37" s="11">
        <v>3.5</v>
      </c>
      <c r="F37" s="11">
        <v>88</v>
      </c>
      <c r="G37" s="11">
        <v>0</v>
      </c>
      <c r="H37" s="11">
        <f t="shared" si="29"/>
        <v>9416.19</v>
      </c>
      <c r="I37" s="11">
        <v>2115.69</v>
      </c>
      <c r="J37" s="11">
        <f t="shared" si="32"/>
        <v>7189.96</v>
      </c>
      <c r="K37" s="11">
        <f>7189.96-481.56-143.3</f>
        <v>6565.0999999999995</v>
      </c>
      <c r="L37" s="11">
        <v>0</v>
      </c>
      <c r="M37" s="11">
        <v>481.56</v>
      </c>
      <c r="N37" s="11">
        <v>143.30000000000001</v>
      </c>
      <c r="O37" s="11">
        <v>252.29</v>
      </c>
      <c r="P37" s="33">
        <v>140</v>
      </c>
      <c r="Q37" s="33">
        <v>41</v>
      </c>
      <c r="R37" s="11">
        <v>1685.15</v>
      </c>
      <c r="S37" s="11">
        <v>350</v>
      </c>
      <c r="T37" s="31">
        <f t="shared" si="30"/>
        <v>2.75</v>
      </c>
      <c r="U37" s="32">
        <f t="shared" si="33"/>
        <v>-110.54000000000087</v>
      </c>
      <c r="V37" s="33">
        <f t="shared" si="31"/>
        <v>0</v>
      </c>
      <c r="W37" s="33">
        <v>0</v>
      </c>
    </row>
    <row r="38" spans="1:23" s="35" customFormat="1" ht="18.75">
      <c r="A38" s="9">
        <v>44589</v>
      </c>
      <c r="B38" s="10" t="s">
        <v>20</v>
      </c>
      <c r="C38" s="11">
        <v>7418.39</v>
      </c>
      <c r="D38" s="11">
        <v>4059.67</v>
      </c>
      <c r="E38" s="11">
        <v>53</v>
      </c>
      <c r="F38" s="11">
        <v>92</v>
      </c>
      <c r="G38" s="11">
        <v>0</v>
      </c>
      <c r="H38" s="11">
        <f t="shared" si="29"/>
        <v>11703.060000000001</v>
      </c>
      <c r="I38" s="11">
        <v>2830.15</v>
      </c>
      <c r="J38" s="11">
        <f t="shared" si="32"/>
        <v>8872.91</v>
      </c>
      <c r="K38" s="11">
        <f>8872.91-117.08-294.75</f>
        <v>8461.08</v>
      </c>
      <c r="L38" s="11">
        <v>0</v>
      </c>
      <c r="M38" s="11">
        <v>117.08</v>
      </c>
      <c r="N38" s="11">
        <v>294.75</v>
      </c>
      <c r="O38" s="11">
        <v>0</v>
      </c>
      <c r="P38" s="33">
        <v>80</v>
      </c>
      <c r="Q38" s="33">
        <v>36.6</v>
      </c>
      <c r="R38" s="11">
        <v>2713.05</v>
      </c>
      <c r="S38" s="11">
        <v>350</v>
      </c>
      <c r="T38" s="31">
        <f t="shared" si="30"/>
        <v>-0.5</v>
      </c>
      <c r="U38" s="32">
        <f t="shared" si="33"/>
        <v>0</v>
      </c>
      <c r="V38" s="33">
        <f t="shared" si="31"/>
        <v>0</v>
      </c>
      <c r="W38" s="33">
        <v>0</v>
      </c>
    </row>
    <row r="39" spans="1:23" s="35" customFormat="1" ht="18.75">
      <c r="A39" s="9">
        <v>44590</v>
      </c>
      <c r="B39" s="10" t="s">
        <v>21</v>
      </c>
      <c r="C39" s="11">
        <v>5576.4</v>
      </c>
      <c r="D39" s="11">
        <v>3256.6</v>
      </c>
      <c r="E39" s="11">
        <v>20</v>
      </c>
      <c r="F39" s="11">
        <v>62</v>
      </c>
      <c r="G39" s="11">
        <v>0</v>
      </c>
      <c r="H39" s="11">
        <f t="shared" si="29"/>
        <v>9030</v>
      </c>
      <c r="I39" s="11">
        <v>2128.92</v>
      </c>
      <c r="J39" s="11">
        <f t="shared" si="32"/>
        <v>6901.08</v>
      </c>
      <c r="K39" s="11">
        <f>6901.08</f>
        <v>6901.08</v>
      </c>
      <c r="L39" s="11">
        <v>0</v>
      </c>
      <c r="M39" s="11">
        <v>0</v>
      </c>
      <c r="N39" s="11">
        <v>0</v>
      </c>
      <c r="O39" s="11">
        <v>0</v>
      </c>
      <c r="P39" s="33">
        <v>115</v>
      </c>
      <c r="Q39" s="33">
        <v>22</v>
      </c>
      <c r="R39" s="11">
        <v>1995.15</v>
      </c>
      <c r="S39" s="11">
        <v>350</v>
      </c>
      <c r="T39" s="31">
        <f t="shared" si="30"/>
        <v>3.2300000000000182</v>
      </c>
      <c r="U39" s="32">
        <f t="shared" si="33"/>
        <v>0</v>
      </c>
      <c r="V39" s="33">
        <f t="shared" si="31"/>
        <v>0</v>
      </c>
      <c r="W39" s="33">
        <v>0</v>
      </c>
    </row>
    <row r="40" spans="1:23" s="35" customFormat="1" ht="18.75">
      <c r="A40" s="9">
        <v>44591</v>
      </c>
      <c r="B40" s="10" t="s">
        <v>22</v>
      </c>
      <c r="C40" s="11">
        <v>5945.58</v>
      </c>
      <c r="D40" s="11">
        <v>2621.6</v>
      </c>
      <c r="E40" s="11">
        <v>0</v>
      </c>
      <c r="F40" s="11">
        <v>24</v>
      </c>
      <c r="G40" s="11">
        <v>0</v>
      </c>
      <c r="H40" s="11">
        <f t="shared" si="29"/>
        <v>8641.18</v>
      </c>
      <c r="I40" s="11">
        <v>1891.19</v>
      </c>
      <c r="J40" s="11">
        <f t="shared" si="32"/>
        <v>6763.98</v>
      </c>
      <c r="K40" s="11">
        <f>6763.98-101.16-123.75-38.13</f>
        <v>6500.94</v>
      </c>
      <c r="L40" s="11">
        <v>123.75</v>
      </c>
      <c r="M40" s="11">
        <v>101.16</v>
      </c>
      <c r="N40" s="11">
        <v>38.130000000000003</v>
      </c>
      <c r="O40" s="11">
        <v>0</v>
      </c>
      <c r="P40" s="33">
        <v>50</v>
      </c>
      <c r="Q40" s="33">
        <v>31</v>
      </c>
      <c r="R40" s="11">
        <v>1795.26</v>
      </c>
      <c r="S40" s="11">
        <v>350</v>
      </c>
      <c r="T40" s="31">
        <f t="shared" si="30"/>
        <v>-14.930000000000064</v>
      </c>
      <c r="U40" s="32">
        <f t="shared" si="33"/>
        <v>13.989999999999782</v>
      </c>
      <c r="V40" s="33">
        <f t="shared" si="31"/>
        <v>0</v>
      </c>
      <c r="W40" s="33">
        <v>0</v>
      </c>
    </row>
    <row r="41" spans="1:23" ht="37.5" customHeight="1">
      <c r="A41" s="65" t="s">
        <v>27</v>
      </c>
      <c r="B41" s="66"/>
      <c r="C41" s="27">
        <f>SUM(C34:C40)</f>
        <v>44378.19</v>
      </c>
      <c r="D41" s="27">
        <f t="shared" ref="D41:W41" si="34">SUM(D34:D40)</f>
        <v>20031.03</v>
      </c>
      <c r="E41" s="27">
        <f t="shared" si="34"/>
        <v>94.5</v>
      </c>
      <c r="F41" s="27">
        <f t="shared" si="34"/>
        <v>499</v>
      </c>
      <c r="G41" s="27">
        <f t="shared" si="34"/>
        <v>20</v>
      </c>
      <c r="H41" s="27">
        <f t="shared" si="34"/>
        <v>65622.720000000001</v>
      </c>
      <c r="I41" s="27">
        <f t="shared" si="34"/>
        <v>15265.76</v>
      </c>
      <c r="J41" s="27">
        <f t="shared" si="34"/>
        <v>50260.41</v>
      </c>
      <c r="K41" s="27">
        <f t="shared" si="34"/>
        <v>47988.420000000006</v>
      </c>
      <c r="L41" s="27">
        <f t="shared" si="34"/>
        <v>123.75</v>
      </c>
      <c r="M41" s="27">
        <f t="shared" si="34"/>
        <v>1361.33</v>
      </c>
      <c r="N41" s="27">
        <f t="shared" si="34"/>
        <v>786.91</v>
      </c>
      <c r="O41" s="27">
        <f t="shared" si="34"/>
        <v>714.67000000000007</v>
      </c>
      <c r="P41" s="27">
        <f t="shared" si="34"/>
        <v>600</v>
      </c>
      <c r="Q41" s="27">
        <f t="shared" si="34"/>
        <v>233.6</v>
      </c>
      <c r="R41" s="27">
        <f t="shared" si="34"/>
        <v>13676.18</v>
      </c>
      <c r="S41" s="27">
        <f t="shared" si="34"/>
        <v>2450</v>
      </c>
      <c r="T41" s="27">
        <f t="shared" si="34"/>
        <v>-41.309999999999718</v>
      </c>
      <c r="U41" s="27">
        <f t="shared" si="34"/>
        <v>-96.550000000001091</v>
      </c>
      <c r="V41" s="27">
        <f t="shared" si="34"/>
        <v>20</v>
      </c>
      <c r="W41" s="27">
        <f t="shared" si="34"/>
        <v>0</v>
      </c>
    </row>
    <row r="42" spans="1:23" s="35" customFormat="1" ht="18.75">
      <c r="A42" s="9">
        <v>44592</v>
      </c>
      <c r="B42" s="10" t="s">
        <v>23</v>
      </c>
      <c r="C42" s="11">
        <v>7269.15</v>
      </c>
      <c r="D42" s="11">
        <v>2354.4</v>
      </c>
      <c r="E42" s="11">
        <v>0</v>
      </c>
      <c r="F42" s="11">
        <v>54</v>
      </c>
      <c r="G42" s="11">
        <v>0</v>
      </c>
      <c r="H42" s="11">
        <f t="shared" ref="H42" si="35">SUM(C42:G42,P42)</f>
        <v>9802.5499999999993</v>
      </c>
      <c r="I42" s="11">
        <v>1848.18</v>
      </c>
      <c r="J42" s="11">
        <f t="shared" si="26"/>
        <v>7954.43</v>
      </c>
      <c r="K42" s="11">
        <f>7954.37-235.56-386.03</f>
        <v>7332.78</v>
      </c>
      <c r="L42" s="11">
        <v>0</v>
      </c>
      <c r="M42" s="11">
        <v>235.56</v>
      </c>
      <c r="N42" s="11">
        <v>386.09</v>
      </c>
      <c r="O42" s="11">
        <v>292.77999999999997</v>
      </c>
      <c r="P42" s="33">
        <v>125</v>
      </c>
      <c r="Q42" s="33">
        <v>39</v>
      </c>
      <c r="R42" s="11">
        <v>1412.21</v>
      </c>
      <c r="S42" s="11">
        <v>350</v>
      </c>
      <c r="T42" s="31">
        <f t="shared" ref="T42" si="36">SUM(O42,P42,Q42,R42)-I42</f>
        <v>20.809999999999945</v>
      </c>
      <c r="U42" s="32">
        <f t="shared" ref="U42" si="37">SUM(I42+J42+W42)-(H42)</f>
        <v>6.0000000001309672E-2</v>
      </c>
      <c r="V42" s="33">
        <f t="shared" ref="V42" si="38">SUM(G42-W42)</f>
        <v>0</v>
      </c>
      <c r="W42" s="33">
        <v>0</v>
      </c>
    </row>
    <row r="43" spans="1:23" ht="51.75" customHeight="1">
      <c r="A43" s="67" t="s">
        <v>17</v>
      </c>
      <c r="B43" s="68"/>
      <c r="C43" s="30">
        <f>SUM(C41,C33,C25,C17,C9,C42)</f>
        <v>196833.36000000002</v>
      </c>
      <c r="D43" s="30">
        <f t="shared" ref="D43:W43" si="39">SUM(D41,D33,D25,D17,D9,D42)</f>
        <v>102138.37999999999</v>
      </c>
      <c r="E43" s="30">
        <f t="shared" si="39"/>
        <v>593.5</v>
      </c>
      <c r="F43" s="30">
        <f t="shared" si="39"/>
        <v>1512</v>
      </c>
      <c r="G43" s="30">
        <f t="shared" si="39"/>
        <v>2792.7200000000003</v>
      </c>
      <c r="H43" s="30">
        <f t="shared" si="39"/>
        <v>306682.03999999998</v>
      </c>
      <c r="I43" s="30">
        <f t="shared" si="39"/>
        <v>75328.87999999999</v>
      </c>
      <c r="J43" s="30">
        <f t="shared" si="39"/>
        <v>230232.96999999997</v>
      </c>
      <c r="K43" s="30">
        <f t="shared" si="39"/>
        <v>220231.06000000003</v>
      </c>
      <c r="L43" s="30">
        <f t="shared" si="39"/>
        <v>540.57999999999993</v>
      </c>
      <c r="M43" s="30">
        <f t="shared" si="39"/>
        <v>5242.1099999999997</v>
      </c>
      <c r="N43" s="30">
        <f t="shared" si="39"/>
        <v>4219.22</v>
      </c>
      <c r="O43" s="30">
        <f t="shared" si="39"/>
        <v>3965.84</v>
      </c>
      <c r="P43" s="30">
        <f t="shared" si="39"/>
        <v>2812.08</v>
      </c>
      <c r="Q43" s="30">
        <f t="shared" si="39"/>
        <v>805.19999999999993</v>
      </c>
      <c r="R43" s="30">
        <f t="shared" si="39"/>
        <v>67394.760000000009</v>
      </c>
      <c r="S43" s="30">
        <f t="shared" si="39"/>
        <v>12600</v>
      </c>
      <c r="T43" s="30">
        <f t="shared" si="39"/>
        <v>-350.99999999999955</v>
      </c>
      <c r="U43" s="30">
        <f t="shared" si="39"/>
        <v>83.029999999997926</v>
      </c>
      <c r="V43" s="30">
        <f t="shared" si="39"/>
        <v>1576.5</v>
      </c>
      <c r="W43" s="30">
        <f t="shared" si="39"/>
        <v>1203.22</v>
      </c>
    </row>
    <row r="45" spans="1:23">
      <c r="C45" s="41"/>
      <c r="D45" s="41"/>
      <c r="E45" s="41"/>
      <c r="F45" s="41"/>
      <c r="G45" s="41"/>
      <c r="H45" s="41"/>
      <c r="I45" s="41"/>
      <c r="J45" s="41"/>
      <c r="K45" s="41"/>
      <c r="L45" s="41"/>
      <c r="M45" s="41"/>
      <c r="N45" s="41"/>
      <c r="O45" s="41"/>
      <c r="P45" s="41"/>
      <c r="Q45" s="41"/>
      <c r="R45" s="41"/>
      <c r="S45" s="41"/>
      <c r="T45" s="41"/>
      <c r="U45" s="41"/>
      <c r="V45" s="41"/>
      <c r="W45" s="41"/>
    </row>
    <row r="46" spans="1:23">
      <c r="C46" s="41"/>
      <c r="D46" s="41"/>
      <c r="E46" s="41"/>
      <c r="F46" s="41"/>
      <c r="G46" s="41"/>
      <c r="H46" s="41"/>
      <c r="I46" s="41"/>
      <c r="J46" s="41"/>
      <c r="K46" s="41"/>
      <c r="L46" s="41"/>
      <c r="M46" s="41"/>
      <c r="N46" s="41"/>
      <c r="O46" s="41"/>
      <c r="P46" s="41"/>
      <c r="Q46" s="41"/>
      <c r="R46" s="41"/>
      <c r="S46" s="41"/>
      <c r="T46" s="41"/>
      <c r="U46" s="41"/>
      <c r="V46" s="41"/>
      <c r="W46" s="41"/>
    </row>
    <row r="47" spans="1:23">
      <c r="C47" s="42"/>
      <c r="D47" s="42"/>
      <c r="E47" s="42"/>
      <c r="F47" s="42"/>
      <c r="G47" s="42"/>
      <c r="H47" s="42"/>
      <c r="I47" s="42"/>
      <c r="J47" s="42"/>
      <c r="K47" s="42"/>
      <c r="L47" s="42"/>
      <c r="M47" s="42"/>
      <c r="N47" s="42"/>
      <c r="O47" s="42"/>
      <c r="P47" s="42"/>
      <c r="Q47" s="42"/>
      <c r="R47" s="42"/>
      <c r="S47" s="42"/>
      <c r="T47" s="42"/>
      <c r="U47" s="42"/>
      <c r="V47" s="42"/>
      <c r="W47" s="42"/>
    </row>
    <row r="48" spans="1:23">
      <c r="C48" s="42"/>
      <c r="D48" s="42"/>
      <c r="E48" s="42"/>
      <c r="F48" s="42"/>
      <c r="G48" s="42"/>
      <c r="H48" s="42"/>
      <c r="I48" s="42"/>
      <c r="J48" s="42"/>
      <c r="K48" s="42"/>
      <c r="L48" s="42"/>
      <c r="M48" s="42"/>
      <c r="N48" s="42"/>
      <c r="O48" s="42"/>
      <c r="P48" s="42"/>
      <c r="Q48" s="42"/>
      <c r="R48" s="42"/>
      <c r="S48" s="42"/>
      <c r="T48" s="42"/>
      <c r="U48" s="42"/>
      <c r="V48" s="42"/>
      <c r="W48" s="42"/>
    </row>
    <row r="49" spans="1:23">
      <c r="C49" s="41"/>
      <c r="D49" s="41"/>
      <c r="E49" s="41"/>
      <c r="F49" s="41"/>
      <c r="G49" s="41"/>
      <c r="H49" s="41"/>
      <c r="I49" s="41"/>
      <c r="J49" s="41"/>
      <c r="K49" s="41"/>
      <c r="L49" s="41"/>
      <c r="M49" s="41"/>
      <c r="N49" s="41"/>
      <c r="O49" s="41"/>
      <c r="P49" s="41"/>
      <c r="Q49" s="41"/>
      <c r="R49" s="41"/>
      <c r="S49" s="41"/>
      <c r="T49" s="41"/>
      <c r="U49" s="41"/>
      <c r="V49" s="41"/>
      <c r="W49" s="41"/>
    </row>
    <row r="51" spans="1:23" hidden="1"/>
    <row r="52" spans="1:23" ht="18.75" hidden="1">
      <c r="C52" s="11"/>
      <c r="D52" s="11"/>
      <c r="E52" s="11"/>
      <c r="F52" s="11"/>
      <c r="G52" s="11"/>
      <c r="H52" s="11"/>
      <c r="I52" s="11"/>
      <c r="J52" s="11"/>
      <c r="K52" s="11"/>
      <c r="L52" s="11"/>
      <c r="M52" s="11"/>
      <c r="N52" s="11"/>
      <c r="O52" s="11"/>
      <c r="P52" s="33"/>
      <c r="Q52" s="33"/>
      <c r="R52" s="11"/>
      <c r="S52" s="11"/>
      <c r="T52" s="31"/>
      <c r="U52" s="32"/>
      <c r="V52" s="33"/>
      <c r="W52" s="33"/>
    </row>
    <row r="53" spans="1:23" ht="18.75" hidden="1"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33"/>
      <c r="Q53" s="33"/>
      <c r="R53" s="11"/>
      <c r="S53" s="11"/>
      <c r="T53" s="31"/>
      <c r="U53" s="32"/>
      <c r="V53" s="33"/>
      <c r="W53" s="33"/>
    </row>
    <row r="54" spans="1:23" s="28" customFormat="1" ht="18.75" hidden="1">
      <c r="A54"/>
      <c r="B54"/>
      <c r="C54" s="11"/>
      <c r="D54" s="11"/>
      <c r="E54" s="11"/>
      <c r="F54" s="11"/>
      <c r="G54" s="11"/>
      <c r="H54" s="11"/>
      <c r="I54" s="11"/>
      <c r="J54" s="11"/>
      <c r="K54" s="11"/>
      <c r="L54" s="11"/>
      <c r="M54" s="11"/>
      <c r="N54" s="11"/>
      <c r="O54" s="11"/>
      <c r="P54" s="33"/>
      <c r="Q54" s="33"/>
      <c r="R54" s="11"/>
      <c r="S54" s="11"/>
      <c r="T54" s="31"/>
      <c r="U54" s="32"/>
      <c r="V54" s="33"/>
      <c r="W54" s="33"/>
    </row>
    <row r="55" spans="1:23" s="28" customFormat="1" hidden="1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</row>
    <row r="56" spans="1:23" s="28" customFormat="1" hidden="1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</row>
    <row r="57" spans="1:23" s="28" customFormat="1" hidden="1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</row>
  </sheetData>
  <mergeCells count="6">
    <mergeCell ref="A9:B9"/>
    <mergeCell ref="A17:B17"/>
    <mergeCell ref="A25:B25"/>
    <mergeCell ref="A33:B33"/>
    <mergeCell ref="A43:B43"/>
    <mergeCell ref="A41:B41"/>
  </mergeCells>
  <conditionalFormatting sqref="T52:U54 T18:U24 T10:U16 T26:U32 T42:U42 T34:U40 T7:U8">
    <cfRule type="cellIs" dxfId="322" priority="14" operator="lessThan">
      <formula>0</formula>
    </cfRule>
    <cfRule type="cellIs" dxfId="321" priority="15" operator="greaterThan">
      <formula>0</formula>
    </cfRule>
  </conditionalFormatting>
  <conditionalFormatting sqref="T52:V54 T26:V32 T10:V16 T18:V24 T42:V42 T34:V40 T7:V8">
    <cfRule type="cellIs" dxfId="320" priority="11" operator="equal">
      <formula>0</formula>
    </cfRule>
    <cfRule type="cellIs" dxfId="319" priority="12" operator="lessThan">
      <formula>0</formula>
    </cfRule>
    <cfRule type="cellIs" dxfId="318" priority="13" operator="greaterThan">
      <formula>0</formula>
    </cfRule>
  </conditionalFormatting>
  <conditionalFormatting sqref="T2:U6">
    <cfRule type="cellIs" dxfId="317" priority="4" operator="lessThan">
      <formula>0</formula>
    </cfRule>
    <cfRule type="cellIs" dxfId="316" priority="5" operator="greaterThan">
      <formula>0</formula>
    </cfRule>
  </conditionalFormatting>
  <conditionalFormatting sqref="T2:V6">
    <cfRule type="cellIs" dxfId="315" priority="1" operator="equal">
      <formula>0</formula>
    </cfRule>
    <cfRule type="cellIs" dxfId="314" priority="2" operator="lessThan">
      <formula>0</formula>
    </cfRule>
    <cfRule type="cellIs" dxfId="313" priority="3" operator="greaterThan">
      <formula>0</formula>
    </cfRule>
  </conditionalFormatting>
  <pageMargins left="0.7" right="0.7" top="0.75" bottom="0.75" header="0.3" footer="0.3"/>
  <ignoredErrors>
    <ignoredError sqref="H17 H25 J17 J25 J33 H33 H41 J41 T17:V17 T25:V25 T33:V33 T41:V41" formula="1"/>
    <ignoredError sqref="J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32</vt:i4>
      </vt:variant>
    </vt:vector>
  </HeadingPairs>
  <TitlesOfParts>
    <vt:vector size="32" baseType="lpstr">
      <vt:lpstr>Aug - 20</vt:lpstr>
      <vt:lpstr>Sep-20</vt:lpstr>
      <vt:lpstr>Oct-20</vt:lpstr>
      <vt:lpstr>Nov-20</vt:lpstr>
      <vt:lpstr>Dec-20</vt:lpstr>
      <vt:lpstr>Oct-21</vt:lpstr>
      <vt:lpstr>Nov-21</vt:lpstr>
      <vt:lpstr>Dec-21</vt:lpstr>
      <vt:lpstr>Jan-22</vt:lpstr>
      <vt:lpstr>Feb-22</vt:lpstr>
      <vt:lpstr>Mar-22</vt:lpstr>
      <vt:lpstr>Apr-22</vt:lpstr>
      <vt:lpstr>May-22</vt:lpstr>
      <vt:lpstr>Jun-22</vt:lpstr>
      <vt:lpstr>Jul-22</vt:lpstr>
      <vt:lpstr>Aug-22</vt:lpstr>
      <vt:lpstr>Sep-22</vt:lpstr>
      <vt:lpstr>Oct-22</vt:lpstr>
      <vt:lpstr>Nov-22</vt:lpstr>
      <vt:lpstr>Dec-22</vt:lpstr>
      <vt:lpstr>Jan-23</vt:lpstr>
      <vt:lpstr>Feb-23</vt:lpstr>
      <vt:lpstr>Mar-23</vt:lpstr>
      <vt:lpstr>Apr-23</vt:lpstr>
      <vt:lpstr>May-23</vt:lpstr>
      <vt:lpstr>Jun-23</vt:lpstr>
      <vt:lpstr>Jul-23</vt:lpstr>
      <vt:lpstr>Aug-23</vt:lpstr>
      <vt:lpstr>Sep-23</vt:lpstr>
      <vt:lpstr>Oct-23</vt:lpstr>
      <vt:lpstr>Nov-23</vt:lpstr>
      <vt:lpstr>Dec-23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2023-12-28T20:03:05Z</dcterms:modified>
</cp:coreProperties>
</file>