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84.xml"/>
  <Override ContentType="application/vnd.openxmlformats-officedocument.spreadsheetml.worksheet+xml" PartName="/xl/worksheets/sheet141.xml"/>
  <Override ContentType="application/vnd.openxmlformats-officedocument.spreadsheetml.worksheet+xml" PartName="/xl/worksheets/sheet49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192.xml"/>
  <Override ContentType="application/vnd.openxmlformats-officedocument.spreadsheetml.worksheet+xml" PartName="/xl/worksheets/sheet202.xml"/>
  <Override ContentType="application/vnd.openxmlformats-officedocument.spreadsheetml.worksheet+xml" PartName="/xl/worksheets/sheet50.xml"/>
  <Override ContentType="application/vnd.openxmlformats-officedocument.spreadsheetml.worksheet+xml" PartName="/xl/worksheets/sheet148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9.xml"/>
  <Override ContentType="application/vnd.openxmlformats-officedocument.spreadsheetml.worksheet+xml" PartName="/xl/worksheets/sheet42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73.xml"/>
  <Override ContentType="application/vnd.openxmlformats-officedocument.spreadsheetml.worksheet+xml" PartName="/xl/worksheets/sheet156.xml"/>
  <Override ContentType="application/vnd.openxmlformats-officedocument.spreadsheetml.worksheet+xml" PartName="/xl/worksheets/sheet199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72.xml"/>
  <Override ContentType="application/vnd.openxmlformats-officedocument.spreadsheetml.worksheet+xml" PartName="/xl/worksheets/sheet188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45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179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196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17.xml"/>
  <Override ContentType="application/vnd.openxmlformats-officedocument.spreadsheetml.worksheet+xml" PartName="/xl/worksheets/sheet65.xml"/>
  <Override ContentType="application/vnd.openxmlformats-officedocument.spreadsheetml.worksheet+xml" PartName="/xl/worksheets/sheet82.xml"/>
  <Override ContentType="application/vnd.openxmlformats-officedocument.spreadsheetml.worksheet+xml" PartName="/xl/worksheets/sheet18.xml"/>
  <Override ContentType="application/vnd.openxmlformats-officedocument.spreadsheetml.worksheet+xml" PartName="/xl/worksheets/sheet181.xml"/>
  <Override ContentType="application/vnd.openxmlformats-officedocument.spreadsheetml.worksheet+xml" PartName="/xl/worksheets/sheet22.xml"/>
  <Override ContentType="application/vnd.openxmlformats-officedocument.spreadsheetml.worksheet+xml" PartName="/xl/worksheets/sheet58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1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39.xml"/>
  <Override ContentType="application/vnd.openxmlformats-officedocument.spreadsheetml.worksheet+xml" PartName="/xl/worksheets/sheet80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25.xml"/>
  <Override ContentType="application/vnd.openxmlformats-officedocument.spreadsheetml.worksheet+xml" PartName="/xl/worksheets/sheet173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08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85.xml"/>
  <Override ContentType="application/vnd.openxmlformats-officedocument.spreadsheetml.worksheet+xml" PartName="/xl/worksheets/sheet3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95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78.xml"/>
  <Override ContentType="application/vnd.openxmlformats-officedocument.spreadsheetml.worksheet+xml" PartName="/xl/worksheets/sheet118.xml"/>
  <Override ContentType="application/vnd.openxmlformats-officedocument.spreadsheetml.worksheet+xml" PartName="/xl/worksheets/sheet47.xml"/>
  <Override ContentType="application/vnd.openxmlformats-officedocument.spreadsheetml.worksheet+xml" PartName="/xl/worksheets/sheet64.xml"/>
  <Override ContentType="application/vnd.openxmlformats-officedocument.spreadsheetml.worksheet+xml" PartName="/xl/worksheets/sheet180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89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29.xml"/>
  <Override ContentType="application/vnd.openxmlformats-officedocument.spreadsheetml.worksheet+xml" PartName="/xl/worksheets/sheet70.xml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123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182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74.xml"/>
  <Override ContentType="application/vnd.openxmlformats-officedocument.spreadsheetml.worksheet+xml" PartName="/xl/worksheets/sheet2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55.xml"/>
  <Override ContentType="application/vnd.openxmlformats-officedocument.spreadsheetml.worksheet+xml" PartName="/xl/worksheets/sheet186.xml"/>
  <Override ContentType="application/vnd.openxmlformats-officedocument.spreadsheetml.worksheet+xml" PartName="/xl/worksheets/sheet100.xml"/>
  <Override ContentType="application/vnd.openxmlformats-officedocument.spreadsheetml.worksheet+xml" PartName="/xl/worksheets/sheet60.xml"/>
  <Override ContentType="application/vnd.openxmlformats-officedocument.spreadsheetml.worksheet+xml" PartName="/xl/worksheets/sheet143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90.xml"/>
  <Override ContentType="application/vnd.openxmlformats-officedocument.spreadsheetml.worksheet+xml" PartName="/xl/worksheets/sheet138.xml"/>
  <Override ContentType="application/vnd.openxmlformats-officedocument.spreadsheetml.worksheet+xml" PartName="/xl/worksheets/sheet44.xml"/>
  <Override ContentType="application/vnd.openxmlformats-officedocument.spreadsheetml.worksheet+xml" PartName="/xl/worksheets/sheet107.xml"/>
  <Override ContentType="application/vnd.openxmlformats-officedocument.spreadsheetml.worksheet+xml" PartName="/xl/worksheets/sheet87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19.xml"/>
  <Override ContentType="application/vnd.openxmlformats-officedocument.spreadsheetml.worksheet+xml" PartName="/xl/worksheets/sheet71.xml"/>
  <Override ContentType="application/vnd.openxmlformats-officedocument.spreadsheetml.worksheet+xml" PartName="/xl/worksheets/sheet20.xml"/>
  <Override ContentType="application/vnd.openxmlformats-officedocument.spreadsheetml.worksheet+xml" PartName="/xl/worksheets/sheet63.xml"/>
  <Override ContentType="application/vnd.openxmlformats-officedocument.spreadsheetml.worksheet+xml" PartName="/xl/worksheets/sheet170.xml"/>
  <Override ContentType="application/vnd.openxmlformats-officedocument.spreadsheetml.worksheet+xml" PartName="/xl/worksheets/sheet194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77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04.xml"/>
  <Override ContentType="application/vnd.openxmlformats-officedocument.spreadsheetml.worksheet+xml" PartName="/xl/worksheets/sheet78.xml"/>
  <Override ContentType="application/vnd.openxmlformats-officedocument.spreadsheetml.worksheet+xml" PartName="/xl/worksheets/sheet200.xml"/>
  <Override ContentType="application/vnd.openxmlformats-officedocument.spreadsheetml.worksheet+xml" PartName="/xl/worksheets/sheet52.xml"/>
  <Override ContentType="application/vnd.openxmlformats-officedocument.spreadsheetml.worksheet+xml" PartName="/xl/worksheets/sheet95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35.xml"/>
  <Override ContentType="application/vnd.openxmlformats-officedocument.spreadsheetml.worksheet+xml" PartName="/xl/worksheets/sheet140.xml"/>
  <Override ContentType="application/vnd.openxmlformats-officedocument.spreadsheetml.worksheet+xml" PartName="/xl/worksheets/sheet23.xml"/>
  <Override ContentType="application/vnd.openxmlformats-officedocument.spreadsheetml.worksheet+xml" PartName="/xl/worksheets/sheet66.xml"/>
  <Override ContentType="application/vnd.openxmlformats-officedocument.spreadsheetml.worksheet+xml" PartName="/xl/worksheets/sheet17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32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122.xml"/>
  <Override ContentType="application/vnd.openxmlformats-officedocument.spreadsheetml.worksheet+xml" PartName="/xl/worksheets/sheet8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183.xml"/>
  <Override ContentType="application/vnd.openxmlformats-officedocument.spreadsheetml.worksheet+xml" PartName="/xl/worksheets/sheet72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26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6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55.xml"/>
  <Override ContentType="application/vnd.openxmlformats-officedocument.spreadsheetml.worksheet+xml" PartName="/xl/worksheets/sheet61.xml"/>
  <Override ContentType="application/vnd.openxmlformats-officedocument.spreadsheetml.worksheet+xml" PartName="/xl/worksheets/sheet198.xml"/>
  <Override ContentType="application/vnd.openxmlformats-officedocument.spreadsheetml.worksheet+xml" PartName="/xl/worksheets/sheet28.xml"/>
  <Override ContentType="application/vnd.openxmlformats-officedocument.spreadsheetml.worksheet+xml" PartName="/xl/worksheets/sheet137.xml"/>
  <Override ContentType="application/vnd.openxmlformats-officedocument.spreadsheetml.worksheet+xml" PartName="/xl/worksheets/sheet62.xml"/>
  <Override ContentType="application/vnd.openxmlformats-officedocument.spreadsheetml.worksheet+xml" PartName="/xl/worksheets/sheet154.xml"/>
  <Override ContentType="application/vnd.openxmlformats-officedocument.spreadsheetml.worksheet+xml" PartName="/xl/worksheets/sheet45.xml"/>
  <Override ContentType="application/vnd.openxmlformats-officedocument.spreadsheetml.worksheet+xml" PartName="/xl/worksheets/sheet88.xml"/>
  <Override ContentType="application/vnd.openxmlformats-officedocument.spreadsheetml.worksheet+xml" PartName="/xl/worksheets/sheet197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71.xml"/>
  <Override ContentType="application/vnd.openxmlformats-officedocument.spreadsheetml.worksheet+xml" PartName="/xl/worksheets/sheet187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144.xml"/>
  <Override ContentType="application/vnd.openxmlformats-officedocument.spreadsheetml.worksheet+xml" PartName="/xl/worksheets/sheet7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1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193.xml"/>
  <Override ContentType="application/vnd.openxmlformats-officedocument.spreadsheetml.worksheet+xml" PartName="/xl/worksheets/sheet34.xml"/>
  <Override ContentType="application/vnd.openxmlformats-officedocument.spreadsheetml.worksheet+xml" PartName="/xl/worksheets/sheet176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16.xml"/>
  <Override ContentType="application/vnd.openxmlformats-officedocument.spreadsheetml.sharedStrings+xml" PartName="/xl/sharedStrings.xml"/>
  <Override ContentType="application/vnd.openxmlformats-officedocument.drawing+xml" PartName="/xl/drawings/drawing100.xml"/>
  <Override ContentType="application/vnd.openxmlformats-officedocument.drawing+xml" PartName="/xl/drawings/drawing178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86.xml"/>
  <Override ContentType="application/vnd.openxmlformats-officedocument.drawing+xml" PartName="/xl/drawings/drawing13.xml"/>
  <Override ContentType="application/vnd.openxmlformats-officedocument.drawing+xml" PartName="/xl/drawings/drawing135.xml"/>
  <Override ContentType="application/vnd.openxmlformats-officedocument.drawing+xml" PartName="/xl/drawings/drawing119.xml"/>
  <Override ContentType="application/vnd.openxmlformats-officedocument.drawing+xml" PartName="/xl/drawings/drawing143.xml"/>
  <Override ContentType="application/vnd.openxmlformats-officedocument.drawing+xml" PartName="/xl/drawings/drawing21.xml"/>
  <Override ContentType="application/vnd.openxmlformats-officedocument.drawing+xml" PartName="/xl/drawings/drawing48.xml"/>
  <Override ContentType="application/vnd.openxmlformats-officedocument.drawing+xml" PartName="/xl/drawings/drawing194.xml"/>
  <Override ContentType="application/vnd.openxmlformats-officedocument.drawing+xml" PartName="/xl/drawings/drawing2.xml"/>
  <Override ContentType="application/vnd.openxmlformats-officedocument.drawing+xml" PartName="/xl/drawings/drawing151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163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158.xml"/>
  <Override ContentType="application/vnd.openxmlformats-officedocument.drawing+xml" PartName="/xl/drawings/drawing115.xml"/>
  <Override ContentType="application/vnd.openxmlformats-officedocument.drawing+xml" PartName="/xl/drawings/drawing131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174.xml"/>
  <Override ContentType="application/vnd.openxmlformats-officedocument.drawing+xml" PartName="/xl/drawings/drawing127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52.xml"/>
  <Override ContentType="application/vnd.openxmlformats-officedocument.drawing+xml" PartName="/xl/drawings/drawing147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138.xml"/>
  <Override ContentType="application/vnd.openxmlformats-officedocument.drawing+xml" PartName="/xl/drawings/drawing198.xml"/>
  <Override ContentType="application/vnd.openxmlformats-officedocument.drawing+xml" PartName="/xl/drawings/drawing87.xml"/>
  <Override ContentType="application/vnd.openxmlformats-officedocument.drawing+xml" PartName="/xl/drawings/drawing15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166.xml"/>
  <Override ContentType="application/vnd.openxmlformats-officedocument.drawing+xml" PartName="/xl/drawings/drawing16.xml"/>
  <Override ContentType="application/vnd.openxmlformats-officedocument.drawing+xml" PartName="/xl/drawings/drawing12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170.xml"/>
  <Override ContentType="application/vnd.openxmlformats-officedocument.drawing+xml" PartName="/xl/drawings/drawing59.xml"/>
  <Override ContentType="application/vnd.openxmlformats-officedocument.drawing+xml" PartName="/xl/drawings/drawing183.xml"/>
  <Override ContentType="application/vnd.openxmlformats-officedocument.drawing+xml" PartName="/xl/drawings/drawing140.xml"/>
  <Override ContentType="application/vnd.openxmlformats-officedocument.drawing+xml" PartName="/xl/drawings/drawing39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152.xml"/>
  <Override ContentType="application/vnd.openxmlformats-officedocument.drawing+xml" PartName="/xl/drawings/drawing30.xml"/>
  <Override ContentType="application/vnd.openxmlformats-officedocument.drawing+xml" PartName="/xl/drawings/drawing195.xml"/>
  <Override ContentType="application/vnd.openxmlformats-officedocument.drawing+xml" PartName="/xl/drawings/drawing185.xml"/>
  <Override ContentType="application/vnd.openxmlformats-officedocument.drawing+xml" PartName="/xl/drawings/drawing3.xml"/>
  <Override ContentType="application/vnd.openxmlformats-officedocument.drawing+xml" PartName="/xl/drawings/drawing134.xml"/>
  <Override ContentType="application/vnd.openxmlformats-officedocument.drawing+xml" PartName="/xl/drawings/drawing177.xml"/>
  <Override ContentType="application/vnd.openxmlformats-officedocument.drawing+xml" PartName="/xl/drawings/drawing142.xml"/>
  <Override ContentType="application/vnd.openxmlformats-officedocument.drawing+xml" PartName="/xl/drawings/drawing83.xml"/>
  <Override ContentType="application/vnd.openxmlformats-officedocument.drawing+xml" PartName="/xl/drawings/drawing162.xml"/>
  <Override ContentType="application/vnd.openxmlformats-officedocument.drawing+xml" PartName="/xl/drawings/drawing189.xml"/>
  <Override ContentType="application/vnd.openxmlformats-officedocument.drawing+xml" PartName="/xl/drawings/drawing40.xml"/>
  <Override ContentType="application/vnd.openxmlformats-officedocument.drawing+xml" PartName="/xl/drawings/drawing108.xml"/>
  <Override ContentType="application/vnd.openxmlformats-officedocument.drawing+xml" PartName="/xl/drawings/drawing128.xml"/>
  <Override ContentType="application/vnd.openxmlformats-officedocument.drawing+xml" PartName="/xl/drawings/drawing180.xml"/>
  <Override ContentType="application/vnd.openxmlformats-officedocument.drawing+xml" PartName="/xl/drawings/drawing49.xml"/>
  <Override ContentType="application/vnd.openxmlformats-officedocument.drawing+xml" PartName="/xl/drawings/drawing191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157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30.xml"/>
  <Override ContentType="application/vnd.openxmlformats-officedocument.drawing+xml" PartName="/xl/drawings/drawing173.xml"/>
  <Override ContentType="application/vnd.openxmlformats-officedocument.drawing+xml" PartName="/xl/drawings/drawing51.xml"/>
  <Override ContentType="application/vnd.openxmlformats-officedocument.drawing+xml" PartName="/xl/drawings/drawing190.xml"/>
  <Override ContentType="application/vnd.openxmlformats-officedocument.drawing+xml" PartName="/xl/drawings/drawing94.xml"/>
  <Override ContentType="application/vnd.openxmlformats-officedocument.drawing+xml" PartName="/xl/drawings/drawing17.xml"/>
  <Override ContentType="application/vnd.openxmlformats-officedocument.drawing+xml" PartName="/xl/drawings/drawing139.xml"/>
  <Override ContentType="application/vnd.openxmlformats-officedocument.drawing+xml" PartName="/xl/drawings/drawing199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34.xml"/>
  <Override ContentType="application/vnd.openxmlformats-officedocument.drawing+xml" PartName="/xl/drawings/drawing156.xml"/>
  <Override ContentType="application/vnd.openxmlformats-officedocument.drawing+xml" PartName="/xl/drawings/drawing120.xml"/>
  <Override ContentType="application/vnd.openxmlformats-officedocument.drawing+xml" PartName="/xl/drawings/drawing107.xml"/>
  <Override ContentType="application/vnd.openxmlformats-officedocument.drawing+xml" PartName="/xl/drawings/drawing146.xml"/>
  <Override ContentType="application/vnd.openxmlformats-officedocument.drawing+xml" PartName="/xl/drawings/drawing103.xml"/>
  <Override ContentType="application/vnd.openxmlformats-officedocument.drawing+xml" PartName="/xl/drawings/drawing129.xml"/>
  <Override ContentType="application/vnd.openxmlformats-officedocument.drawing+xml" PartName="/xl/drawings/drawing124.xml"/>
  <Override ContentType="application/vnd.openxmlformats-officedocument.drawing+xml" PartName="/xl/drawings/drawing167.xml"/>
  <Override ContentType="application/vnd.openxmlformats-officedocument.drawing+xml" PartName="/xl/drawings/drawing184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2.xml"/>
  <Override ContentType="application/vnd.openxmlformats-officedocument.drawing+xml" PartName="/xl/drawings/drawing88.xml"/>
  <Override ContentType="application/vnd.openxmlformats-officedocument.drawing+xml" PartName="/xl/drawings/drawing141.xml"/>
  <Override ContentType="application/vnd.openxmlformats-officedocument.drawing+xml" PartName="/xl/drawings/drawing8.xml"/>
  <Override ContentType="application/vnd.openxmlformats-officedocument.drawing+xml" PartName="/xl/drawings/drawing118.xml"/>
  <Override ContentType="application/vnd.openxmlformats-officedocument.drawing+xml" PartName="/xl/drawings/drawing4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125.xml"/>
  <Override ContentType="application/vnd.openxmlformats-officedocument.drawing+xml" PartName="/xl/drawings/drawing133.xml"/>
  <Override ContentType="application/vnd.openxmlformats-officedocument.drawing+xml" PartName="/xl/drawings/drawing31.xml"/>
  <Override ContentType="application/vnd.openxmlformats-officedocument.drawing+xml" PartName="/xl/drawings/drawing168.xml"/>
  <Override ContentType="application/vnd.openxmlformats-officedocument.drawing+xml" PartName="/xl/drawings/drawing74.xml"/>
  <Override ContentType="application/vnd.openxmlformats-officedocument.drawing+xml" PartName="/xl/drawings/drawing192.xml"/>
  <Override ContentType="application/vnd.openxmlformats-officedocument.drawing+xml" PartName="/xl/drawings/drawing70.xml"/>
  <Override ContentType="application/vnd.openxmlformats-officedocument.drawing+xml" PartName="/xl/drawings/drawing176.xml"/>
  <Override ContentType="application/vnd.openxmlformats-officedocument.drawing+xml" PartName="/xl/drawings/drawing97.xml"/>
  <Override ContentType="application/vnd.openxmlformats-officedocument.drawing+xml" PartName="/xl/drawings/drawing145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90.xml"/>
  <Override ContentType="application/vnd.openxmlformats-officedocument.drawing+xml" PartName="/xl/drawings/drawing109.xml"/>
  <Override ContentType="application/vnd.openxmlformats-officedocument.drawing+xml" PartName="/xl/drawings/drawing188.xml"/>
  <Override ContentType="application/vnd.openxmlformats-officedocument.drawing+xml" PartName="/xl/drawings/drawing54.xml"/>
  <Override ContentType="application/vnd.openxmlformats-officedocument.drawing+xml" PartName="/xl/drawings/drawing161.xml"/>
  <Override ContentType="application/vnd.openxmlformats-officedocument.drawing+xml" PartName="/xl/drawings/drawing11.xml"/>
  <Override ContentType="application/vnd.openxmlformats-officedocument.drawing+xml" PartName="/xl/drawings/drawing202.xml"/>
  <Override ContentType="application/vnd.openxmlformats-officedocument.drawing+xml" PartName="/xl/drawings/drawing121.xml"/>
  <Override ContentType="application/vnd.openxmlformats-officedocument.drawing+xml" PartName="/xl/drawings/drawing27.xml"/>
  <Override ContentType="application/vnd.openxmlformats-officedocument.drawing+xml" PartName="/xl/drawings/drawing172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164.xml"/>
  <Override ContentType="application/vnd.openxmlformats-officedocument.drawing+xml" PartName="/xl/drawings/drawing35.xml"/>
  <Override ContentType="application/vnd.openxmlformats-officedocument.drawing+xml" PartName="/xl/drawings/drawing181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79.xml"/>
  <Override ContentType="application/vnd.openxmlformats-officedocument.drawing+xml" PartName="/xl/drawings/drawing106.xml"/>
  <Override ContentType="application/vnd.openxmlformats-officedocument.drawing+xml" PartName="/xl/drawings/drawing93.xml"/>
  <Override ContentType="application/vnd.openxmlformats-officedocument.drawing+xml" PartName="/xl/drawings/drawing149.xml"/>
  <Override ContentType="application/vnd.openxmlformats-officedocument.drawing+xml" PartName="/xl/drawings/drawing110.xml"/>
  <Override ContentType="application/vnd.openxmlformats-officedocument.drawing+xml" PartName="/xl/drawings/drawing136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153.xml"/>
  <Override ContentType="application/vnd.openxmlformats-officedocument.drawing+xml" PartName="/xl/drawings/drawing196.xml"/>
  <Override ContentType="application/vnd.openxmlformats-officedocument.drawing+xml" PartName="/xl/drawings/drawing81.xml"/>
  <Override ContentType="application/vnd.openxmlformats-officedocument.drawing+xml" PartName="/xl/drawings/drawing160.xml"/>
  <Override ContentType="application/vnd.openxmlformats-officedocument.drawing+xml" PartName="/xl/drawings/drawing169.xml"/>
  <Override ContentType="application/vnd.openxmlformats-officedocument.drawing+xml" PartName="/xl/drawings/drawing126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150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16.xml"/>
  <Override ContentType="application/vnd.openxmlformats-officedocument.drawing+xml" PartName="/xl/drawings/drawing10.xml"/>
  <Override ContentType="application/vnd.openxmlformats-officedocument.drawing+xml" PartName="/xl/drawings/drawing159.xml"/>
  <Override ContentType="application/vnd.openxmlformats-officedocument.drawing+xml" PartName="/xl/drawings/drawing53.xml"/>
  <Override ContentType="application/vnd.openxmlformats-officedocument.drawing+xml" PartName="/xl/drawings/drawing200.xml"/>
  <Override ContentType="application/vnd.openxmlformats-officedocument.drawing+xml" PartName="/xl/drawings/drawing96.xml"/>
  <Override ContentType="application/vnd.openxmlformats-officedocument.drawing+xml" PartName="/xl/drawings/drawing175.xml"/>
  <Override ContentType="application/vnd.openxmlformats-officedocument.drawing+xml" PartName="/xl/drawings/drawing132.xml"/>
  <Override ContentType="application/vnd.openxmlformats-officedocument.drawing+xml" PartName="/xl/drawings/drawing193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187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44.xml"/>
  <Override ContentType="application/vnd.openxmlformats-officedocument.drawing+xml" PartName="/xl/drawings/drawing105.xml"/>
  <Override ContentType="application/vnd.openxmlformats-officedocument.drawing+xml" PartName="/xl/drawings/drawing148.xml"/>
  <Override ContentType="application/vnd.openxmlformats-officedocument.drawing+xml" PartName="/xl/drawings/drawing26.xml"/>
  <Override ContentType="application/vnd.openxmlformats-officedocument.drawing+xml" PartName="/xl/drawings/drawing165.xml"/>
  <Override ContentType="application/vnd.openxmlformats-officedocument.drawing+xml" PartName="/xl/drawings/drawing69.xml"/>
  <Override ContentType="application/vnd.openxmlformats-officedocument.drawing+xml" PartName="/xl/drawings/drawing122.xml"/>
  <Override ContentType="application/vnd.openxmlformats-officedocument.drawing+xml" PartName="/xl/drawings/drawing182.xml"/>
  <Override ContentType="application/vnd.openxmlformats-officedocument.drawing+xml" PartName="/xl/drawings/drawing43.xml"/>
  <Override ContentType="application/vnd.openxmlformats-officedocument.drawing+xml" PartName="/xl/drawings/drawing86.xml"/>
  <Override ContentType="application/vnd.openxmlformats-officedocument.drawing+xml" PartName="/xl/drawings/drawing60.xml"/>
  <Override ContentType="application/vnd.openxmlformats-officedocument.drawing+xml" PartName="/xl/drawings/drawing201.xml"/>
  <Override ContentType="application/vnd.openxmlformats-officedocument.drawing+xml" PartName="/xl/drawings/drawing154.xml"/>
  <Override ContentType="application/vnd.openxmlformats-officedocument.drawing+xml" PartName="/xl/drawings/drawing197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137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171.xml"/>
  <Override ContentType="application/vnd.openxmlformats-officedocument.drawing+xml" PartName="/xl/drawings/drawing32.xml"/>
  <Override ContentType="application/vnd.openxmlformats-officedocument.drawing+xml" PartName="/xl/drawings/drawing75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gSheet" sheetId="1" r:id="rId4"/>
    <sheet state="visible" name="NSEABB" sheetId="2" r:id="rId5"/>
    <sheet state="visible" name="NSEABCAPITAL" sheetId="3" r:id="rId6"/>
    <sheet state="visible" name="NSEABFRL" sheetId="4" r:id="rId7"/>
    <sheet state="visible" name="NSEACC" sheetId="5" r:id="rId8"/>
    <sheet state="visible" name="NSEADANIENSOL" sheetId="6" r:id="rId9"/>
    <sheet state="visible" name="NSEADANIENT" sheetId="7" r:id="rId10"/>
    <sheet state="visible" name="NSEADANIGREEN" sheetId="8" r:id="rId11"/>
    <sheet state="visible" name="NSEADANIPORTS" sheetId="9" r:id="rId12"/>
    <sheet state="visible" name="NSEADANIPOWER" sheetId="10" r:id="rId13"/>
    <sheet state="visible" name="NSEALKEM" sheetId="11" r:id="rId14"/>
    <sheet state="visible" name="NSEAMBUJACEM" sheetId="12" r:id="rId15"/>
    <sheet state="visible" name="NSEAPLAPOLLO" sheetId="13" r:id="rId16"/>
    <sheet state="visible" name="NSEAPOLLOHOSP" sheetId="14" r:id="rId17"/>
    <sheet state="visible" name="NSEAPOLLOTYRE" sheetId="15" r:id="rId18"/>
    <sheet state="visible" name="NSEASHOKLEY" sheetId="16" r:id="rId19"/>
    <sheet state="visible" name="NSEASIANPAINT" sheetId="17" r:id="rId20"/>
    <sheet state="visible" name="NSEASTRAL" sheetId="18" r:id="rId21"/>
    <sheet state="visible" name="NSEATGL" sheetId="19" r:id="rId22"/>
    <sheet state="visible" name="NSEAUBANK" sheetId="20" r:id="rId23"/>
    <sheet state="visible" name="NSEAUROPHARMA" sheetId="21" r:id="rId24"/>
    <sheet state="visible" name="NSEAXISBANK" sheetId="22" r:id="rId25"/>
    <sheet state="visible" name="NSEBAJAJ-AUTO" sheetId="23" r:id="rId26"/>
    <sheet state="visible" name="NSEBAJAJFINSV" sheetId="24" r:id="rId27"/>
    <sheet state="visible" name="NSEBAJAJHFL" sheetId="25" r:id="rId28"/>
    <sheet state="visible" name="NSEBAJAJHLDNG" sheetId="26" r:id="rId29"/>
    <sheet state="visible" name="NSEBAJFINANCE" sheetId="27" r:id="rId30"/>
    <sheet state="visible" name="NSEBANDHANBNK" sheetId="28" r:id="rId31"/>
    <sheet state="visible" name="NSEBANKBARODA" sheetId="29" r:id="rId32"/>
    <sheet state="visible" name="NSEBANKINDIA" sheetId="30" r:id="rId33"/>
    <sheet state="visible" name="NSEBDL" sheetId="31" r:id="rId34"/>
    <sheet state="visible" name="NSEBEL" sheetId="32" r:id="rId35"/>
    <sheet state="visible" name="NSEBHARATFORG" sheetId="33" r:id="rId36"/>
    <sheet state="visible" name="NSEBHARTIARTL" sheetId="34" r:id="rId37"/>
    <sheet state="visible" name="NSEBHARTIHEXA" sheetId="35" r:id="rId38"/>
    <sheet state="visible" name="NSEBHEL" sheetId="36" r:id="rId39"/>
    <sheet state="visible" name="NSEBIOCON" sheetId="37" r:id="rId40"/>
    <sheet state="visible" name="NSEBOSCHLTD" sheetId="38" r:id="rId41"/>
    <sheet state="visible" name="NSEBPCL" sheetId="39" r:id="rId42"/>
    <sheet state="visible" name="NSEBRITANNIA" sheetId="40" r:id="rId43"/>
    <sheet state="visible" name="NSEBSE" sheetId="41" r:id="rId44"/>
    <sheet state="visible" name="NSECANBK" sheetId="42" r:id="rId45"/>
    <sheet state="visible" name="NSECGPOWER" sheetId="43" r:id="rId46"/>
    <sheet state="visible" name="NSECHOLAFIN" sheetId="44" r:id="rId47"/>
    <sheet state="visible" name="NSECIPLA" sheetId="45" r:id="rId48"/>
    <sheet state="visible" name="NSECOALINDIA" sheetId="46" r:id="rId49"/>
    <sheet state="visible" name="NSECOCHINSHIP" sheetId="47" r:id="rId50"/>
    <sheet state="visible" name="NSECOFORGE" sheetId="48" r:id="rId51"/>
    <sheet state="visible" name="NSECOLPAL" sheetId="49" r:id="rId52"/>
    <sheet state="visible" name="NSECONCOR" sheetId="50" r:id="rId53"/>
    <sheet state="visible" name="NSECUMMINSIND" sheetId="51" r:id="rId54"/>
    <sheet state="visible" name="NSEDABUR" sheetId="52" r:id="rId55"/>
    <sheet state="visible" name="NSEDIVISLAB" sheetId="53" r:id="rId56"/>
    <sheet state="visible" name="NSEDIXON" sheetId="54" r:id="rId57"/>
    <sheet state="visible" name="NSEDLF" sheetId="55" r:id="rId58"/>
    <sheet state="visible" name="NSEDMART" sheetId="56" r:id="rId59"/>
    <sheet state="visible" name="NSEDRREDDY" sheetId="57" r:id="rId60"/>
    <sheet state="visible" name="NSEEICHERMOT" sheetId="58" r:id="rId61"/>
    <sheet state="visible" name="NSEESCORTS" sheetId="59" r:id="rId62"/>
    <sheet state="visible" name="NSEETERNAL" sheetId="60" r:id="rId63"/>
    <sheet state="visible" name="NSEEXIDEIND" sheetId="61" r:id="rId64"/>
    <sheet state="visible" name="NSEFEDERALBNK" sheetId="62" r:id="rId65"/>
    <sheet state="visible" name="NSEGAIL" sheetId="63" r:id="rId66"/>
    <sheet state="visible" name="NSEGLENMARK" sheetId="64" r:id="rId67"/>
    <sheet state="visible" name="NSEGMRAIRPORT" sheetId="65" r:id="rId68"/>
    <sheet state="visible" name="NSEGODREJCP" sheetId="66" r:id="rId69"/>
    <sheet state="visible" name="NSEGODREJPROP" sheetId="67" r:id="rId70"/>
    <sheet state="visible" name="NSEGRASIM" sheetId="68" r:id="rId71"/>
    <sheet state="visible" name="NSEHAL" sheetId="69" r:id="rId72"/>
    <sheet state="visible" name="NSEHAVELLS" sheetId="70" r:id="rId73"/>
    <sheet state="visible" name="NSEHCLTECH" sheetId="71" r:id="rId74"/>
    <sheet state="visible" name="NSEHDFCAMC" sheetId="72" r:id="rId75"/>
    <sheet state="visible" name="NSEHDFCBANK" sheetId="73" r:id="rId76"/>
    <sheet state="visible" name="NSEHDFCLIFE" sheetId="74" r:id="rId77"/>
    <sheet state="visible" name="NSEHEROMOTOCO" sheetId="75" r:id="rId78"/>
    <sheet state="visible" name="NSEHINDALCO" sheetId="76" r:id="rId79"/>
    <sheet state="visible" name="NSEHINDPETRO" sheetId="77" r:id="rId80"/>
    <sheet state="visible" name="NSEHINDUNILVR" sheetId="78" r:id="rId81"/>
    <sheet state="visible" name="NSEHINDZINC" sheetId="79" r:id="rId82"/>
    <sheet state="visible" name="NSEHUDCO" sheetId="80" r:id="rId83"/>
    <sheet state="visible" name="NSEHYUNDAI" sheetId="81" r:id="rId84"/>
    <sheet state="visible" name="NSEICICIBANK" sheetId="82" r:id="rId85"/>
    <sheet state="visible" name="NSEICICIGI" sheetId="83" r:id="rId86"/>
    <sheet state="visible" name="NSEICICIPRULI" sheetId="84" r:id="rId87"/>
    <sheet state="visible" name="NSEIDEA" sheetId="85" r:id="rId88"/>
    <sheet state="visible" name="NSEIDFCFIRSTB" sheetId="86" r:id="rId89"/>
    <sheet state="visible" name="NSEIGL" sheetId="87" r:id="rId90"/>
    <sheet state="visible" name="NSEINDHOTEL" sheetId="88" r:id="rId91"/>
    <sheet state="visible" name="NSEINDIANB" sheetId="89" r:id="rId92"/>
    <sheet state="visible" name="NSEINDIGO" sheetId="90" r:id="rId93"/>
    <sheet state="visible" name="NSEINDUSINDBK" sheetId="91" r:id="rId94"/>
    <sheet state="visible" name="NSEINDUSTOWER" sheetId="92" r:id="rId95"/>
    <sheet state="visible" name="NSEINFY" sheetId="93" r:id="rId96"/>
    <sheet state="visible" name="NSEIOC" sheetId="94" r:id="rId97"/>
    <sheet state="visible" name="NSEIRB" sheetId="95" r:id="rId98"/>
    <sheet state="visible" name="NSEIRCTC" sheetId="96" r:id="rId99"/>
    <sheet state="visible" name="NSEIREDA" sheetId="97" r:id="rId100"/>
    <sheet state="visible" name="NSEIRFC" sheetId="98" r:id="rId101"/>
    <sheet state="visible" name="NSEITC" sheetId="99" r:id="rId102"/>
    <sheet state="visible" name="NSEJINDALSTEL" sheetId="100" r:id="rId103"/>
    <sheet state="visible" name="NSEJIOFIN" sheetId="101" r:id="rId104"/>
    <sheet state="visible" name="NSEJSWENERGY" sheetId="102" r:id="rId105"/>
    <sheet state="visible" name="NSEJSWSTEEL" sheetId="103" r:id="rId106"/>
    <sheet state="visible" name="NSEJUBLFOOD" sheetId="104" r:id="rId107"/>
    <sheet state="visible" name="NSEKALYANKJIL" sheetId="105" r:id="rId108"/>
    <sheet state="visible" name="NSEKOTAKBANK" sheetId="106" r:id="rId109"/>
    <sheet state="visible" name="NSEKPITTECH" sheetId="107" r:id="rId110"/>
    <sheet state="visible" name="NSELICHSGFIN" sheetId="108" r:id="rId111"/>
    <sheet state="visible" name="NSELICI" sheetId="109" r:id="rId112"/>
    <sheet state="visible" name="NSELODHA" sheetId="110" r:id="rId113"/>
    <sheet state="visible" name="NSELT" sheetId="111" r:id="rId114"/>
    <sheet state="visible" name="NSELTF" sheetId="112" r:id="rId115"/>
    <sheet state="visible" name="NSELTIM" sheetId="113" r:id="rId116"/>
    <sheet state="visible" name="NSELUPIN" sheetId="114" r:id="rId117"/>
    <sheet state="visible" name="NSEM&amp;M" sheetId="115" r:id="rId118"/>
    <sheet state="visible" name="NSEM&amp;MFIN" sheetId="116" r:id="rId119"/>
    <sheet state="visible" name="NSEMAHABANK" sheetId="117" r:id="rId120"/>
    <sheet state="visible" name="NSEMANKIND" sheetId="118" r:id="rId121"/>
    <sheet state="visible" name="NSEMARICO" sheetId="119" r:id="rId122"/>
    <sheet state="visible" name="NSEMARUTI" sheetId="120" r:id="rId123"/>
    <sheet state="visible" name="NSEMAXHEALTH" sheetId="121" r:id="rId124"/>
    <sheet state="visible" name="NSEMAZDOCK" sheetId="122" r:id="rId125"/>
    <sheet state="visible" name="NSEMFSL" sheetId="123" r:id="rId126"/>
    <sheet state="visible" name="NSEMOTHERSON" sheetId="124" r:id="rId127"/>
    <sheet state="visible" name="NSEMOTILALOFS" sheetId="125" r:id="rId128"/>
    <sheet state="visible" name="NSEMPHASIS" sheetId="126" r:id="rId129"/>
    <sheet state="visible" name="NSEMRF" sheetId="127" r:id="rId130"/>
    <sheet state="visible" name="NSEMUTHOOTFIN" sheetId="128" r:id="rId131"/>
    <sheet state="visible" name="NSENATIONALUM" sheetId="129" r:id="rId132"/>
    <sheet state="visible" name="NSENAUKRI" sheetId="130" r:id="rId133"/>
    <sheet state="visible" name="NSENESTLEIND" sheetId="131" r:id="rId134"/>
    <sheet state="visible" name="NSENHPC" sheetId="132" r:id="rId135"/>
    <sheet state="visible" name="NSENMDC" sheetId="133" r:id="rId136"/>
    <sheet state="visible" name="NSENTPC" sheetId="134" r:id="rId137"/>
    <sheet state="visible" name="NSENTPCGREEN" sheetId="135" r:id="rId138"/>
    <sheet state="visible" name="NSENYKAA" sheetId="136" r:id="rId139"/>
    <sheet state="visible" name="NSEOBEROIRLTY" sheetId="137" r:id="rId140"/>
    <sheet state="visible" name="NSEOFSS" sheetId="138" r:id="rId141"/>
    <sheet state="visible" name="NSEOIL" sheetId="139" r:id="rId142"/>
    <sheet state="visible" name="NSEOLAELEC" sheetId="140" r:id="rId143"/>
    <sheet state="visible" name="NSEONGC" sheetId="141" r:id="rId144"/>
    <sheet state="visible" name="NSEPAGEIND" sheetId="142" r:id="rId145"/>
    <sheet state="visible" name="NSEPATANJALI" sheetId="143" r:id="rId146"/>
    <sheet state="visible" name="NSEPAYTM" sheetId="144" r:id="rId147"/>
    <sheet state="visible" name="NSEPERSISTENT" sheetId="145" r:id="rId148"/>
    <sheet state="visible" name="NSEPETRONET" sheetId="146" r:id="rId149"/>
    <sheet state="visible" name="NSEPFC" sheetId="147" r:id="rId150"/>
    <sheet state="visible" name="NSEPHOENIXLTD" sheetId="148" r:id="rId151"/>
    <sheet state="visible" name="NSEPIDILITIND" sheetId="149" r:id="rId152"/>
    <sheet state="visible" name="NSEPIIND" sheetId="150" r:id="rId153"/>
    <sheet state="visible" name="NSEPNB" sheetId="151" r:id="rId154"/>
    <sheet state="visible" name="NSEPOLICYBZR" sheetId="152" r:id="rId155"/>
    <sheet state="visible" name="NSEPOLYCAB" sheetId="153" r:id="rId156"/>
    <sheet state="visible" name="NSEPOWERGRID" sheetId="154" r:id="rId157"/>
    <sheet state="visible" name="NSEPREMIERENE" sheetId="155" r:id="rId158"/>
    <sheet state="visible" name="NSEPRESTIGE" sheetId="156" r:id="rId159"/>
    <sheet state="visible" name="NSERECLTD" sheetId="157" r:id="rId160"/>
    <sheet state="visible" name="NSERELIANCE" sheetId="158" r:id="rId161"/>
    <sheet state="visible" name="NSERVNL" sheetId="159" r:id="rId162"/>
    <sheet state="visible" name="NSESAIL" sheetId="160" r:id="rId163"/>
    <sheet state="visible" name="NSESBICARD" sheetId="161" r:id="rId164"/>
    <sheet state="visible" name="NSESBILIFE" sheetId="162" r:id="rId165"/>
    <sheet state="visible" name="NSESBIN" sheetId="163" r:id="rId166"/>
    <sheet state="visible" name="NSESHREECEM" sheetId="164" r:id="rId167"/>
    <sheet state="visible" name="NSESHRIRAMFIN" sheetId="165" r:id="rId168"/>
    <sheet state="visible" name="NSESIEMENS" sheetId="166" r:id="rId169"/>
    <sheet state="visible" name="NSESJVN" sheetId="167" r:id="rId170"/>
    <sheet state="visible" name="NSESOLARINDS" sheetId="168" r:id="rId171"/>
    <sheet state="visible" name="NSESONACOMS" sheetId="169" r:id="rId172"/>
    <sheet state="visible" name="NSESRF" sheetId="170" r:id="rId173"/>
    <sheet state="visible" name="NSESUNPHARMA" sheetId="171" r:id="rId174"/>
    <sheet state="visible" name="NSESUPREMEIND" sheetId="172" r:id="rId175"/>
    <sheet state="visible" name="NSESUZLON" sheetId="173" r:id="rId176"/>
    <sheet state="visible" name="NSESWIGGY" sheetId="174" r:id="rId177"/>
    <sheet state="visible" name="NSETATACOMM" sheetId="175" r:id="rId178"/>
    <sheet state="visible" name="NSETATACONSUM" sheetId="176" r:id="rId179"/>
    <sheet state="visible" name="NSETATAELXSI" sheetId="177" r:id="rId180"/>
    <sheet state="visible" name="NSETATAMOTORS" sheetId="178" r:id="rId181"/>
    <sheet state="visible" name="NSETATAPOWER" sheetId="179" r:id="rId182"/>
    <sheet state="visible" name="NSETATASTEEL" sheetId="180" r:id="rId183"/>
    <sheet state="visible" name="NSETATATECH" sheetId="181" r:id="rId184"/>
    <sheet state="visible" name="NSETCS" sheetId="182" r:id="rId185"/>
    <sheet state="visible" name="NSETECHM" sheetId="183" r:id="rId186"/>
    <sheet state="visible" name="NSETIINDIA" sheetId="184" r:id="rId187"/>
    <sheet state="visible" name="NSETITAN" sheetId="185" r:id="rId188"/>
    <sheet state="visible" name="NSETORNTPHARM" sheetId="186" r:id="rId189"/>
    <sheet state="visible" name="NSETORNTPOWER" sheetId="187" r:id="rId190"/>
    <sheet state="visible" name="NSETRENT" sheetId="188" r:id="rId191"/>
    <sheet state="visible" name="NSETVSMOTOR" sheetId="189" r:id="rId192"/>
    <sheet state="visible" name="NSEULTRACEMCO" sheetId="190" r:id="rId193"/>
    <sheet state="visible" name="NSEUNIONBANK" sheetId="191" r:id="rId194"/>
    <sheet state="visible" name="NSEUNITDSPR" sheetId="192" r:id="rId195"/>
    <sheet state="visible" name="NSEUPL" sheetId="193" r:id="rId196"/>
    <sheet state="visible" name="NSEVBL" sheetId="194" r:id="rId197"/>
    <sheet state="visible" name="NSEVEDL" sheetId="195" r:id="rId198"/>
    <sheet state="visible" name="NSEVMM" sheetId="196" r:id="rId199"/>
    <sheet state="visible" name="NSEVOLTAS" sheetId="197" r:id="rId200"/>
    <sheet state="visible" name="NSEWAAREEENER" sheetId="198" r:id="rId201"/>
    <sheet state="visible" name="NSEWIPRO" sheetId="199" r:id="rId202"/>
    <sheet state="visible" name="NSEYESBANK" sheetId="200" r:id="rId203"/>
    <sheet state="visible" name="NSEZYDUSLIFE" sheetId="201" r:id="rId204"/>
    <sheet state="visible" name="Nifty200Symbol" sheetId="202" r:id="rId205"/>
  </sheets>
  <definedNames>
    <definedName hidden="1" localSheetId="201" name="_xlnm._FilterDatabase">Nifty200Symbol!$A$1:$Z$202</definedName>
  </definedNames>
  <calcPr/>
</workbook>
</file>

<file path=xl/sharedStrings.xml><?xml version="1.0" encoding="utf-8"?>
<sst xmlns="http://schemas.openxmlformats.org/spreadsheetml/2006/main" count="409" uniqueCount="409">
  <si>
    <t>HISTORY</t>
  </si>
  <si>
    <t>ENDDATE</t>
  </si>
  <si>
    <t>INTERVAL</t>
  </si>
  <si>
    <t>WEEKLY</t>
  </si>
  <si>
    <t xml:space="preserve"> </t>
  </si>
  <si>
    <t>API_SYMBOL</t>
  </si>
  <si>
    <t>STOCK_SYMBOL</t>
  </si>
  <si>
    <t>NSE:ABB</t>
  </si>
  <si>
    <t>ABB</t>
  </si>
  <si>
    <t>NSE:ABCAPITAL</t>
  </si>
  <si>
    <t>ABCAPITAL</t>
  </si>
  <si>
    <t>NSE:ABFRL</t>
  </si>
  <si>
    <t>ABFRL</t>
  </si>
  <si>
    <t>NSE:ACC</t>
  </si>
  <si>
    <t>ACC</t>
  </si>
  <si>
    <t>NSE:ADANIENSOL</t>
  </si>
  <si>
    <t>ADANIENSOL</t>
  </si>
  <si>
    <t>NSE:ADANIENT</t>
  </si>
  <si>
    <t>ADANIENT</t>
  </si>
  <si>
    <t>NSE:ADANIGREEN</t>
  </si>
  <si>
    <t>ADANIGREEN</t>
  </si>
  <si>
    <t>NSE:ADANIPORTS</t>
  </si>
  <si>
    <t>ADANIPORTS</t>
  </si>
  <si>
    <t>NSE:ADANIPOWER</t>
  </si>
  <si>
    <t>ADANIPOWER</t>
  </si>
  <si>
    <t>NSE:ALKEM</t>
  </si>
  <si>
    <t>ALKEM</t>
  </si>
  <si>
    <t>NSE:AMBUJACEM</t>
  </si>
  <si>
    <t>AMBUJACEM</t>
  </si>
  <si>
    <t>NSE:APLAPOLLO</t>
  </si>
  <si>
    <t>APLAPOLLO</t>
  </si>
  <si>
    <t>NSE:APOLLOHOSP</t>
  </si>
  <si>
    <t>APOLLOHOSP</t>
  </si>
  <si>
    <t>NSE:APOLLOTYRE</t>
  </si>
  <si>
    <t>APOLLOTYRE</t>
  </si>
  <si>
    <t>NSE:ASHOKLEY</t>
  </si>
  <si>
    <t>ASHOKLEY</t>
  </si>
  <si>
    <t>NSE:ASIANPAINT</t>
  </si>
  <si>
    <t>ASIANPAINT</t>
  </si>
  <si>
    <t>NSE:ASTRAL</t>
  </si>
  <si>
    <t>ASTRAL</t>
  </si>
  <si>
    <t>NSE:ATGL</t>
  </si>
  <si>
    <t>ATGL</t>
  </si>
  <si>
    <t>NSE:AUBANK</t>
  </si>
  <si>
    <t>AUBANK</t>
  </si>
  <si>
    <t>NSE:AUROPHARMA</t>
  </si>
  <si>
    <t>AUROPHARMA</t>
  </si>
  <si>
    <t>NSE:AXISBANK</t>
  </si>
  <si>
    <t>AXISBANK</t>
  </si>
  <si>
    <t>NSE:BAJAJ-AUTO</t>
  </si>
  <si>
    <t>BAJAJ-AUTO</t>
  </si>
  <si>
    <t>NSE:BAJAJFINSV</t>
  </si>
  <si>
    <t>BAJAJFINSV</t>
  </si>
  <si>
    <t>NSE:BAJAJHFL</t>
  </si>
  <si>
    <t>BAJAJHFL</t>
  </si>
  <si>
    <t>NSE:BAJAJHLDNG</t>
  </si>
  <si>
    <t>BAJAJHLDNG</t>
  </si>
  <si>
    <t>NSE:BAJFINANCE</t>
  </si>
  <si>
    <t>BAJFINANCE</t>
  </si>
  <si>
    <t>NSE:BANDHANBNK</t>
  </si>
  <si>
    <t>BANDHANBNK</t>
  </si>
  <si>
    <t>NSE:BANKBARODA</t>
  </si>
  <si>
    <t>BANKBARODA</t>
  </si>
  <si>
    <t>NSE:BANKINDIA</t>
  </si>
  <si>
    <t>BANKINDIA</t>
  </si>
  <si>
    <t>NSE:BDL</t>
  </si>
  <si>
    <t>BDL</t>
  </si>
  <si>
    <t>NSE:BEL</t>
  </si>
  <si>
    <t>BEL</t>
  </si>
  <si>
    <t>NSE:BHARATFORG</t>
  </si>
  <si>
    <t>BHARATFORG</t>
  </si>
  <si>
    <t>NSE:BHARTIARTL</t>
  </si>
  <si>
    <t>BHARTIARTL</t>
  </si>
  <si>
    <t>NSE:BHARTIHEXA</t>
  </si>
  <si>
    <t>BHARTIHEXA</t>
  </si>
  <si>
    <t>NSE:BHEL</t>
  </si>
  <si>
    <t>BHEL</t>
  </si>
  <si>
    <t>NSE:BIOCON</t>
  </si>
  <si>
    <t>BIOCON</t>
  </si>
  <si>
    <t>NSE:BOSCHLTD</t>
  </si>
  <si>
    <t>BOSCHLTD</t>
  </si>
  <si>
    <t>NSE:BPCL</t>
  </si>
  <si>
    <t>BPCL</t>
  </si>
  <si>
    <t>NSE:BRITANNIA</t>
  </si>
  <si>
    <t>BRITANNIA</t>
  </si>
  <si>
    <t>NSE:BSE</t>
  </si>
  <si>
    <t>BSE</t>
  </si>
  <si>
    <t>NSE:CANBK</t>
  </si>
  <si>
    <t>CANBK</t>
  </si>
  <si>
    <t>NSE:CGPOWER</t>
  </si>
  <si>
    <t>CGPOWER</t>
  </si>
  <si>
    <t>NSE:CHOLAFIN</t>
  </si>
  <si>
    <t>CHOLAFIN</t>
  </si>
  <si>
    <t>NSE:CIPLA</t>
  </si>
  <si>
    <t>CIPLA</t>
  </si>
  <si>
    <t>NSE:COALINDIA</t>
  </si>
  <si>
    <t>COALINDIA</t>
  </si>
  <si>
    <t>NSE:COCHINSHIP</t>
  </si>
  <si>
    <t>COCHINSHIP</t>
  </si>
  <si>
    <t>NSE:COFORGE</t>
  </si>
  <si>
    <t>COFORGE</t>
  </si>
  <si>
    <t>NSE:COLPAL</t>
  </si>
  <si>
    <t>COLPAL</t>
  </si>
  <si>
    <t>NSE:CONCOR</t>
  </si>
  <si>
    <t>CONCOR</t>
  </si>
  <si>
    <t>NSE:CUMMINSIND</t>
  </si>
  <si>
    <t>CUMMINSIND</t>
  </si>
  <si>
    <t>NSE:DABUR</t>
  </si>
  <si>
    <t>DABUR</t>
  </si>
  <si>
    <t>NSE:DIVISLAB</t>
  </si>
  <si>
    <t>DIVISLAB</t>
  </si>
  <si>
    <t>NSE:DIXON</t>
  </si>
  <si>
    <t>DIXON</t>
  </si>
  <si>
    <t>NSE:DLF</t>
  </si>
  <si>
    <t>DLF</t>
  </si>
  <si>
    <t>NSE:DMART</t>
  </si>
  <si>
    <t>DMART</t>
  </si>
  <si>
    <t>NSE:DRREDDY</t>
  </si>
  <si>
    <t>DRREDDY</t>
  </si>
  <si>
    <t>NSE:EICHERMOT</t>
  </si>
  <si>
    <t>EICHERMOT</t>
  </si>
  <si>
    <t>NSE:ESCORTS</t>
  </si>
  <si>
    <t>ESCORTS</t>
  </si>
  <si>
    <t>NSE:ETERNAL</t>
  </si>
  <si>
    <t>ETERNAL</t>
  </si>
  <si>
    <t>NSE:EXIDEIND</t>
  </si>
  <si>
    <t>EXIDEIND</t>
  </si>
  <si>
    <t>NSE:FEDERALBNK</t>
  </si>
  <si>
    <t>FEDERALBNK</t>
  </si>
  <si>
    <t>NSE:GAIL</t>
  </si>
  <si>
    <t>GAIL</t>
  </si>
  <si>
    <t>NSE:GLENMARK</t>
  </si>
  <si>
    <t>GLENMARK</t>
  </si>
  <si>
    <t>NSE:GMRAIRPORT</t>
  </si>
  <si>
    <t>GMRAIRPORT</t>
  </si>
  <si>
    <t>NSE:GODREJCP</t>
  </si>
  <si>
    <t>GODREJCP</t>
  </si>
  <si>
    <t>NSE:GODREJPROP</t>
  </si>
  <si>
    <t>GODREJPROP</t>
  </si>
  <si>
    <t>NSE:GRASIM</t>
  </si>
  <si>
    <t>GRASIM</t>
  </si>
  <si>
    <t>NSE:HAL</t>
  </si>
  <si>
    <t>HAL</t>
  </si>
  <si>
    <t>NSE:HAVELLS</t>
  </si>
  <si>
    <t>HAVELLS</t>
  </si>
  <si>
    <t>NSE:HCLTECH</t>
  </si>
  <si>
    <t>HCLTECH</t>
  </si>
  <si>
    <t>NSE:HDFCAMC</t>
  </si>
  <si>
    <t>HDFCAMC</t>
  </si>
  <si>
    <t>NSE:HDFCBANK</t>
  </si>
  <si>
    <t>HDFCBANK</t>
  </si>
  <si>
    <t>NSE:HDFCLIFE</t>
  </si>
  <si>
    <t>HDFCLIFE</t>
  </si>
  <si>
    <t>NSE:HEROMOTOCO</t>
  </si>
  <si>
    <t>HEROMOTOCO</t>
  </si>
  <si>
    <t>NSE:HINDALCO</t>
  </si>
  <si>
    <t>HINDALCO</t>
  </si>
  <si>
    <t>NSE:HINDPETRO</t>
  </si>
  <si>
    <t>HINDPETRO</t>
  </si>
  <si>
    <t>NSE:HINDUNILVR</t>
  </si>
  <si>
    <t>HINDUNILVR</t>
  </si>
  <si>
    <t>NSE:HINDZINC</t>
  </si>
  <si>
    <t>HINDZINC</t>
  </si>
  <si>
    <t>NSE:HUDCO</t>
  </si>
  <si>
    <t>HUDCO</t>
  </si>
  <si>
    <t>NSE:HYUNDAI</t>
  </si>
  <si>
    <t>HYUNDAI</t>
  </si>
  <si>
    <t>NSE:ICICIBANK</t>
  </si>
  <si>
    <t>ICICIBANK</t>
  </si>
  <si>
    <t>NSE:ICICIGI</t>
  </si>
  <si>
    <t>ICICIGI</t>
  </si>
  <si>
    <t>NSE:ICICIPRULI</t>
  </si>
  <si>
    <t>ICICIPRULI</t>
  </si>
  <si>
    <t>NSE:IDEA</t>
  </si>
  <si>
    <t>IDEA</t>
  </si>
  <si>
    <t>NSE:IDFCFIRSTB</t>
  </si>
  <si>
    <t>IDFCFIRSTB</t>
  </si>
  <si>
    <t>NSE:IGL</t>
  </si>
  <si>
    <t>IGL</t>
  </si>
  <si>
    <t>NSE:INDHOTEL</t>
  </si>
  <si>
    <t>INDHOTEL</t>
  </si>
  <si>
    <t>NSE:INDIANB</t>
  </si>
  <si>
    <t>INDIANB</t>
  </si>
  <si>
    <t>NSE:INDIGO</t>
  </si>
  <si>
    <t>INDIGO</t>
  </si>
  <si>
    <t>NSE:INDUSINDBK</t>
  </si>
  <si>
    <t>INDUSINDBK</t>
  </si>
  <si>
    <t>NSE:INDUSTOWER</t>
  </si>
  <si>
    <t>INDUSTOWER</t>
  </si>
  <si>
    <t>NSE:INFY</t>
  </si>
  <si>
    <t>INFY</t>
  </si>
  <si>
    <t>NSE:IOC</t>
  </si>
  <si>
    <t>IOC</t>
  </si>
  <si>
    <t>NSE:IRB</t>
  </si>
  <si>
    <t>IRB</t>
  </si>
  <si>
    <t>NSE:IRCTC</t>
  </si>
  <si>
    <t>IRCTC</t>
  </si>
  <si>
    <t>NSE:IREDA</t>
  </si>
  <si>
    <t>IREDA</t>
  </si>
  <si>
    <t>NSE:IRFC</t>
  </si>
  <si>
    <t>IRFC</t>
  </si>
  <si>
    <t>NSE:ITC</t>
  </si>
  <si>
    <t>ITC</t>
  </si>
  <si>
    <t>NSE:JINDALSTEL</t>
  </si>
  <si>
    <t>JINDALSTEL</t>
  </si>
  <si>
    <t>NSE:JIOFIN</t>
  </si>
  <si>
    <t>JIOFIN</t>
  </si>
  <si>
    <t>NSE:JSWENERGY</t>
  </si>
  <si>
    <t>JSWENERGY</t>
  </si>
  <si>
    <t>NSE:JSWSTEEL</t>
  </si>
  <si>
    <t>JSWSTEEL</t>
  </si>
  <si>
    <t>NSE:JUBLFOOD</t>
  </si>
  <si>
    <t>JUBLFOOD</t>
  </si>
  <si>
    <t>NSE:KALYANKJIL</t>
  </si>
  <si>
    <t>KALYANKJIL</t>
  </si>
  <si>
    <t>NSE:KOTAKBANK</t>
  </si>
  <si>
    <t>KOTAKBANK</t>
  </si>
  <si>
    <t>NSE:KPITTECH</t>
  </si>
  <si>
    <t>KPITTECH</t>
  </si>
  <si>
    <t>NSE:LICHSGFIN</t>
  </si>
  <si>
    <t>LICHSGFIN</t>
  </si>
  <si>
    <t>NSE:LICI</t>
  </si>
  <si>
    <t>LICI</t>
  </si>
  <si>
    <t>NSE:LODHA</t>
  </si>
  <si>
    <t>LODHA</t>
  </si>
  <si>
    <t>NSE:LT</t>
  </si>
  <si>
    <t>LT</t>
  </si>
  <si>
    <t>NSE:LTF</t>
  </si>
  <si>
    <t>LTF</t>
  </si>
  <si>
    <t>NSE:LTIM</t>
  </si>
  <si>
    <t>LTIM</t>
  </si>
  <si>
    <t>NSE:LUPIN</t>
  </si>
  <si>
    <t>LUPIN</t>
  </si>
  <si>
    <t>NSE:M&amp;M</t>
  </si>
  <si>
    <t>M&amp;M</t>
  </si>
  <si>
    <t>NSE:M&amp;MFIN</t>
  </si>
  <si>
    <t>M&amp;MFIN</t>
  </si>
  <si>
    <t>NSE:MAHABANK</t>
  </si>
  <si>
    <t>MAHABANK</t>
  </si>
  <si>
    <t>NSE:MANKIND</t>
  </si>
  <si>
    <t>MANKIND</t>
  </si>
  <si>
    <t>NSE:MARICO</t>
  </si>
  <si>
    <t>MARICO</t>
  </si>
  <si>
    <t>NSE:MARUTI</t>
  </si>
  <si>
    <t>MARUTI</t>
  </si>
  <si>
    <t>NSE:MAXHEALTH</t>
  </si>
  <si>
    <t>MAXHEALTH</t>
  </si>
  <si>
    <t>NSE:MAZDOCK</t>
  </si>
  <si>
    <t>MAZDOCK</t>
  </si>
  <si>
    <t>NSE:MFSL</t>
  </si>
  <si>
    <t>MFSL</t>
  </si>
  <si>
    <t>NSE:MOTHERSON</t>
  </si>
  <si>
    <t>MOTHERSON</t>
  </si>
  <si>
    <t>NSE:MOTILALOFS</t>
  </si>
  <si>
    <t>MOTILALOFS</t>
  </si>
  <si>
    <t>NSE:MPHASIS</t>
  </si>
  <si>
    <t>MPHASIS</t>
  </si>
  <si>
    <t>NSE:MRF</t>
  </si>
  <si>
    <t>MRF</t>
  </si>
  <si>
    <t>NSE:MUTHOOTFIN</t>
  </si>
  <si>
    <t>MUTHOOTFIN</t>
  </si>
  <si>
    <t>NSE:NATIONALUM</t>
  </si>
  <si>
    <t>NATIONALUM</t>
  </si>
  <si>
    <t>NSE:NAUKRI</t>
  </si>
  <si>
    <t>NAUKRI</t>
  </si>
  <si>
    <t>NSE:NESTLEIND</t>
  </si>
  <si>
    <t>NESTLEIND</t>
  </si>
  <si>
    <t>NSE:NHPC</t>
  </si>
  <si>
    <t>NHPC</t>
  </si>
  <si>
    <t>NSE:NIFTY 200</t>
  </si>
  <si>
    <t>NIFTY 200</t>
  </si>
  <si>
    <t>NSE:NMDC</t>
  </si>
  <si>
    <t>NMDC</t>
  </si>
  <si>
    <t>NSE:NTPC</t>
  </si>
  <si>
    <t>NTPC</t>
  </si>
  <si>
    <t>NSE:NTPCGREEN</t>
  </si>
  <si>
    <t>NTPCGREEN</t>
  </si>
  <si>
    <t>NSE:NYKAA</t>
  </si>
  <si>
    <t>NYKAA</t>
  </si>
  <si>
    <t>NSE:OBEROIRLTY</t>
  </si>
  <si>
    <t>OBEROIRLTY</t>
  </si>
  <si>
    <t>NSE:OFSS</t>
  </si>
  <si>
    <t>OFSS</t>
  </si>
  <si>
    <t>NSE:OIL</t>
  </si>
  <si>
    <t>OIL</t>
  </si>
  <si>
    <t>NSE:OLAELEC</t>
  </si>
  <si>
    <t>OLAELEC</t>
  </si>
  <si>
    <t>NSE:ONGC</t>
  </si>
  <si>
    <t>ONGC</t>
  </si>
  <si>
    <t>NSE:PAGEIND</t>
  </si>
  <si>
    <t>PAGEIND</t>
  </si>
  <si>
    <t>NSE:PATANJALI</t>
  </si>
  <si>
    <t>PATANJALI</t>
  </si>
  <si>
    <t>NSE:PAYTM</t>
  </si>
  <si>
    <t>PAYTM</t>
  </si>
  <si>
    <t>NSE:PERSISTENT</t>
  </si>
  <si>
    <t>PERSISTENT</t>
  </si>
  <si>
    <t>NSE:PETRONET</t>
  </si>
  <si>
    <t>PETRONET</t>
  </si>
  <si>
    <t>NSE:PFC</t>
  </si>
  <si>
    <t>PFC</t>
  </si>
  <si>
    <t>NSE:PHOENIXLTD</t>
  </si>
  <si>
    <t>PHOENIXLTD</t>
  </si>
  <si>
    <t>NSE:PIDILITIND</t>
  </si>
  <si>
    <t>PIDILITIND</t>
  </si>
  <si>
    <t>NSE:PIIND</t>
  </si>
  <si>
    <t>PIIND</t>
  </si>
  <si>
    <t>NSE:PNB</t>
  </si>
  <si>
    <t>PNB</t>
  </si>
  <si>
    <t>NSE:POLICYBZR</t>
  </si>
  <si>
    <t>POLICYBZR</t>
  </si>
  <si>
    <t>NSE:POLYCAB</t>
  </si>
  <si>
    <t>POLYCAB</t>
  </si>
  <si>
    <t>NSE:POWERGRID</t>
  </si>
  <si>
    <t>POWERGRID</t>
  </si>
  <si>
    <t>NSE:PREMIERENE</t>
  </si>
  <si>
    <t>PREMIERENE</t>
  </si>
  <si>
    <t>NSE:PRESTIGE</t>
  </si>
  <si>
    <t>PRESTIGE</t>
  </si>
  <si>
    <t>NSE:RECLTD</t>
  </si>
  <si>
    <t>RECLTD</t>
  </si>
  <si>
    <t>NSE:RELIANCE</t>
  </si>
  <si>
    <t>RELIANCE</t>
  </si>
  <si>
    <t>NSE:RVNL</t>
  </si>
  <si>
    <t>RVNL</t>
  </si>
  <si>
    <t>NSE:SAIL</t>
  </si>
  <si>
    <t>SAIL</t>
  </si>
  <si>
    <t>NSE:SBICARD</t>
  </si>
  <si>
    <t>SBICARD</t>
  </si>
  <si>
    <t>NSE:SBILIFE</t>
  </si>
  <si>
    <t>SBILIFE</t>
  </si>
  <si>
    <t>NSE:SBIN</t>
  </si>
  <si>
    <t>SBIN</t>
  </si>
  <si>
    <t>NSE:SHREECEM</t>
  </si>
  <si>
    <t>SHREECEM</t>
  </si>
  <si>
    <t>NSE:SHRIRAMFIN</t>
  </si>
  <si>
    <t>SHRIRAMFIN</t>
  </si>
  <si>
    <t>NSE:SIEMENS</t>
  </si>
  <si>
    <t>SIEMENS</t>
  </si>
  <si>
    <t>NSE:SJVN</t>
  </si>
  <si>
    <t>SJVN</t>
  </si>
  <si>
    <t>NSE:SOLARINDS</t>
  </si>
  <si>
    <t>SOLARINDS</t>
  </si>
  <si>
    <t>NSE:SONACOMS</t>
  </si>
  <si>
    <t>SONACOMS</t>
  </si>
  <si>
    <t>NSE:SRF</t>
  </si>
  <si>
    <t>SRF</t>
  </si>
  <si>
    <t>NSE:SUNPHARMA</t>
  </si>
  <si>
    <t>SUNPHARMA</t>
  </si>
  <si>
    <t>NSE:SUPREMEIND</t>
  </si>
  <si>
    <t>SUPREMEIND</t>
  </si>
  <si>
    <t>NSE:SUZLON</t>
  </si>
  <si>
    <t>SUZLON</t>
  </si>
  <si>
    <t>NSE:SWIGGY</t>
  </si>
  <si>
    <t>SWIGGY</t>
  </si>
  <si>
    <t>NSE:TATACOMM</t>
  </si>
  <si>
    <t>TATACOMM</t>
  </si>
  <si>
    <t>NSE:TATACONSUM</t>
  </si>
  <si>
    <t>TATACONSUM</t>
  </si>
  <si>
    <t>NSE:TATAELXSI</t>
  </si>
  <si>
    <t>TATAELXSI</t>
  </si>
  <si>
    <t>NSE:TATAMOTORS</t>
  </si>
  <si>
    <t>TATAMOTORS</t>
  </si>
  <si>
    <t>NSE:TATAPOWER</t>
  </si>
  <si>
    <t>TATAPOWER</t>
  </si>
  <si>
    <t>NSE:TATASTEEL</t>
  </si>
  <si>
    <t>TATASTEEL</t>
  </si>
  <si>
    <t>NSE:TATATECH</t>
  </si>
  <si>
    <t>TATATECH</t>
  </si>
  <si>
    <t>NSE:TCS</t>
  </si>
  <si>
    <t>TCS</t>
  </si>
  <si>
    <t>NSE:TECHM</t>
  </si>
  <si>
    <t>TECHM</t>
  </si>
  <si>
    <t>NSE:TIINDIA</t>
  </si>
  <si>
    <t>TIINDIA</t>
  </si>
  <si>
    <t>NSE:TITAN</t>
  </si>
  <si>
    <t>TITAN</t>
  </si>
  <si>
    <t>NSE:TORNTPHARM</t>
  </si>
  <si>
    <t>TORNTPHARM</t>
  </si>
  <si>
    <t>NSE:TORNTPOWER</t>
  </si>
  <si>
    <t>TORNTPOWER</t>
  </si>
  <si>
    <t>NSE:TRENT</t>
  </si>
  <si>
    <t>TRENT</t>
  </si>
  <si>
    <t>NSE:TVSMOTOR</t>
  </si>
  <si>
    <t>TVSMOTOR</t>
  </si>
  <si>
    <t>NSE:ULTRACEMCO</t>
  </si>
  <si>
    <t>ULTRACEMCO</t>
  </si>
  <si>
    <t>NSE:UNIONBANK</t>
  </si>
  <si>
    <t>UNIONBANK</t>
  </si>
  <si>
    <t>NSE:UNITDSPR</t>
  </si>
  <si>
    <t>UNITDSPR</t>
  </si>
  <si>
    <t>NSE:UPL</t>
  </si>
  <si>
    <t>UPL</t>
  </si>
  <si>
    <t>NSE:VBL</t>
  </si>
  <si>
    <t>VBL</t>
  </si>
  <si>
    <t>NSE:VEDL</t>
  </si>
  <si>
    <t>VEDL</t>
  </si>
  <si>
    <t>NSE:VMM</t>
  </si>
  <si>
    <t>VMM</t>
  </si>
  <si>
    <t>NSE:VOLTAS</t>
  </si>
  <si>
    <t>VOLTAS</t>
  </si>
  <si>
    <t>NSE:WAAREEENER</t>
  </si>
  <si>
    <t>WAAREEENER</t>
  </si>
  <si>
    <t>NSE:WIPRO</t>
  </si>
  <si>
    <t>WIPRO</t>
  </si>
  <si>
    <t>NSE:YESBANK</t>
  </si>
  <si>
    <t>YESBANK</t>
  </si>
  <si>
    <t>NSE:ZYDUSLIFE</t>
  </si>
  <si>
    <t>ZYDUSLIFE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</si>
</sst>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190" Type="http://schemas.openxmlformats.org/officeDocument/2006/relationships/worksheet" Target="worksheets/sheet18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194" Type="http://schemas.openxmlformats.org/officeDocument/2006/relationships/worksheet" Target="worksheets/sheet191.xml"/><Relationship Id="rId43" Type="http://schemas.openxmlformats.org/officeDocument/2006/relationships/worksheet" Target="worksheets/sheet40.xml"/><Relationship Id="rId193" Type="http://schemas.openxmlformats.org/officeDocument/2006/relationships/worksheet" Target="worksheets/sheet190.xml"/><Relationship Id="rId46" Type="http://schemas.openxmlformats.org/officeDocument/2006/relationships/worksheet" Target="worksheets/sheet43.xml"/><Relationship Id="rId192" Type="http://schemas.openxmlformats.org/officeDocument/2006/relationships/worksheet" Target="worksheets/sheet189.xml"/><Relationship Id="rId45" Type="http://schemas.openxmlformats.org/officeDocument/2006/relationships/worksheet" Target="worksheets/sheet42.xml"/><Relationship Id="rId191" Type="http://schemas.openxmlformats.org/officeDocument/2006/relationships/worksheet" Target="worksheets/sheet188.xml"/><Relationship Id="rId48" Type="http://schemas.openxmlformats.org/officeDocument/2006/relationships/worksheet" Target="worksheets/sheet45.xml"/><Relationship Id="rId187" Type="http://schemas.openxmlformats.org/officeDocument/2006/relationships/worksheet" Target="worksheets/sheet184.xml"/><Relationship Id="rId47" Type="http://schemas.openxmlformats.org/officeDocument/2006/relationships/worksheet" Target="worksheets/sheet44.xml"/><Relationship Id="rId186" Type="http://schemas.openxmlformats.org/officeDocument/2006/relationships/worksheet" Target="worksheets/sheet183.xml"/><Relationship Id="rId185" Type="http://schemas.openxmlformats.org/officeDocument/2006/relationships/worksheet" Target="worksheets/sheet182.xml"/><Relationship Id="rId49" Type="http://schemas.openxmlformats.org/officeDocument/2006/relationships/worksheet" Target="worksheets/sheet46.xml"/><Relationship Id="rId184" Type="http://schemas.openxmlformats.org/officeDocument/2006/relationships/worksheet" Target="worksheets/sheet181.xml"/><Relationship Id="rId189" Type="http://schemas.openxmlformats.org/officeDocument/2006/relationships/worksheet" Target="worksheets/sheet186.xml"/><Relationship Id="rId188" Type="http://schemas.openxmlformats.org/officeDocument/2006/relationships/worksheet" Target="worksheets/sheet18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183" Type="http://schemas.openxmlformats.org/officeDocument/2006/relationships/worksheet" Target="worksheets/sheet180.xml"/><Relationship Id="rId32" Type="http://schemas.openxmlformats.org/officeDocument/2006/relationships/worksheet" Target="worksheets/sheet29.xml"/><Relationship Id="rId182" Type="http://schemas.openxmlformats.org/officeDocument/2006/relationships/worksheet" Target="worksheets/sheet179.xml"/><Relationship Id="rId35" Type="http://schemas.openxmlformats.org/officeDocument/2006/relationships/worksheet" Target="worksheets/sheet32.xml"/><Relationship Id="rId181" Type="http://schemas.openxmlformats.org/officeDocument/2006/relationships/worksheet" Target="worksheets/sheet178.xml"/><Relationship Id="rId34" Type="http://schemas.openxmlformats.org/officeDocument/2006/relationships/worksheet" Target="worksheets/sheet31.xml"/><Relationship Id="rId180" Type="http://schemas.openxmlformats.org/officeDocument/2006/relationships/worksheet" Target="worksheets/sheet177.xml"/><Relationship Id="rId37" Type="http://schemas.openxmlformats.org/officeDocument/2006/relationships/worksheet" Target="worksheets/sheet34.xml"/><Relationship Id="rId176" Type="http://schemas.openxmlformats.org/officeDocument/2006/relationships/worksheet" Target="worksheets/sheet173.xml"/><Relationship Id="rId36" Type="http://schemas.openxmlformats.org/officeDocument/2006/relationships/worksheet" Target="worksheets/sheet33.xml"/><Relationship Id="rId175" Type="http://schemas.openxmlformats.org/officeDocument/2006/relationships/worksheet" Target="worksheets/sheet172.xml"/><Relationship Id="rId39" Type="http://schemas.openxmlformats.org/officeDocument/2006/relationships/worksheet" Target="worksheets/sheet36.xml"/><Relationship Id="rId174" Type="http://schemas.openxmlformats.org/officeDocument/2006/relationships/worksheet" Target="worksheets/sheet171.xml"/><Relationship Id="rId38" Type="http://schemas.openxmlformats.org/officeDocument/2006/relationships/worksheet" Target="worksheets/sheet35.xml"/><Relationship Id="rId173" Type="http://schemas.openxmlformats.org/officeDocument/2006/relationships/worksheet" Target="worksheets/sheet170.xml"/><Relationship Id="rId179" Type="http://schemas.openxmlformats.org/officeDocument/2006/relationships/worksheet" Target="worksheets/sheet176.xml"/><Relationship Id="rId178" Type="http://schemas.openxmlformats.org/officeDocument/2006/relationships/worksheet" Target="worksheets/sheet175.xml"/><Relationship Id="rId177" Type="http://schemas.openxmlformats.org/officeDocument/2006/relationships/worksheet" Target="worksheets/sheet174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98" Type="http://schemas.openxmlformats.org/officeDocument/2006/relationships/worksheet" Target="worksheets/sheet195.xml"/><Relationship Id="rId14" Type="http://schemas.openxmlformats.org/officeDocument/2006/relationships/worksheet" Target="worksheets/sheet11.xml"/><Relationship Id="rId197" Type="http://schemas.openxmlformats.org/officeDocument/2006/relationships/worksheet" Target="worksheets/sheet194.xml"/><Relationship Id="rId17" Type="http://schemas.openxmlformats.org/officeDocument/2006/relationships/worksheet" Target="worksheets/sheet14.xml"/><Relationship Id="rId196" Type="http://schemas.openxmlformats.org/officeDocument/2006/relationships/worksheet" Target="worksheets/sheet193.xml"/><Relationship Id="rId16" Type="http://schemas.openxmlformats.org/officeDocument/2006/relationships/worksheet" Target="worksheets/sheet13.xml"/><Relationship Id="rId195" Type="http://schemas.openxmlformats.org/officeDocument/2006/relationships/worksheet" Target="worksheets/sheet192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99" Type="http://schemas.openxmlformats.org/officeDocument/2006/relationships/worksheet" Target="worksheets/sheet196.xml"/><Relationship Id="rId84" Type="http://schemas.openxmlformats.org/officeDocument/2006/relationships/worksheet" Target="worksheets/sheet81.xml"/><Relationship Id="rId83" Type="http://schemas.openxmlformats.org/officeDocument/2006/relationships/worksheet" Target="worksheets/sheet80.xml"/><Relationship Id="rId86" Type="http://schemas.openxmlformats.org/officeDocument/2006/relationships/worksheet" Target="worksheets/sheet83.xml"/><Relationship Id="rId85" Type="http://schemas.openxmlformats.org/officeDocument/2006/relationships/worksheet" Target="worksheets/sheet82.xml"/><Relationship Id="rId88" Type="http://schemas.openxmlformats.org/officeDocument/2006/relationships/worksheet" Target="worksheets/sheet85.xml"/><Relationship Id="rId150" Type="http://schemas.openxmlformats.org/officeDocument/2006/relationships/worksheet" Target="worksheets/sheet147.xml"/><Relationship Id="rId87" Type="http://schemas.openxmlformats.org/officeDocument/2006/relationships/worksheet" Target="worksheets/sheet84.xml"/><Relationship Id="rId89" Type="http://schemas.openxmlformats.org/officeDocument/2006/relationships/worksheet" Target="worksheets/sheet86.xml"/><Relationship Id="rId80" Type="http://schemas.openxmlformats.org/officeDocument/2006/relationships/worksheet" Target="worksheets/sheet77.xml"/><Relationship Id="rId82" Type="http://schemas.openxmlformats.org/officeDocument/2006/relationships/worksheet" Target="worksheets/sheet79.xml"/><Relationship Id="rId81" Type="http://schemas.openxmlformats.org/officeDocument/2006/relationships/worksheet" Target="worksheets/sheet7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149" Type="http://schemas.openxmlformats.org/officeDocument/2006/relationships/worksheet" Target="worksheets/sheet146.xml"/><Relationship Id="rId4" Type="http://schemas.openxmlformats.org/officeDocument/2006/relationships/worksheet" Target="worksheets/sheet1.xml"/><Relationship Id="rId148" Type="http://schemas.openxmlformats.org/officeDocument/2006/relationships/worksheet" Target="worksheets/sheet145.xml"/><Relationship Id="rId9" Type="http://schemas.openxmlformats.org/officeDocument/2006/relationships/worksheet" Target="worksheets/sheet6.xml"/><Relationship Id="rId143" Type="http://schemas.openxmlformats.org/officeDocument/2006/relationships/worksheet" Target="worksheets/sheet140.xml"/><Relationship Id="rId142" Type="http://schemas.openxmlformats.org/officeDocument/2006/relationships/worksheet" Target="worksheets/sheet139.xml"/><Relationship Id="rId141" Type="http://schemas.openxmlformats.org/officeDocument/2006/relationships/worksheet" Target="worksheets/sheet138.xml"/><Relationship Id="rId140" Type="http://schemas.openxmlformats.org/officeDocument/2006/relationships/worksheet" Target="worksheets/sheet137.xml"/><Relationship Id="rId5" Type="http://schemas.openxmlformats.org/officeDocument/2006/relationships/worksheet" Target="worksheets/sheet2.xml"/><Relationship Id="rId147" Type="http://schemas.openxmlformats.org/officeDocument/2006/relationships/worksheet" Target="worksheets/sheet144.xml"/><Relationship Id="rId6" Type="http://schemas.openxmlformats.org/officeDocument/2006/relationships/worksheet" Target="worksheets/sheet3.xml"/><Relationship Id="rId146" Type="http://schemas.openxmlformats.org/officeDocument/2006/relationships/worksheet" Target="worksheets/sheet143.xml"/><Relationship Id="rId7" Type="http://schemas.openxmlformats.org/officeDocument/2006/relationships/worksheet" Target="worksheets/sheet4.xml"/><Relationship Id="rId145" Type="http://schemas.openxmlformats.org/officeDocument/2006/relationships/worksheet" Target="worksheets/sheet142.xml"/><Relationship Id="rId8" Type="http://schemas.openxmlformats.org/officeDocument/2006/relationships/worksheet" Target="worksheets/sheet5.xml"/><Relationship Id="rId144" Type="http://schemas.openxmlformats.org/officeDocument/2006/relationships/worksheet" Target="worksheets/sheet141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75" Type="http://schemas.openxmlformats.org/officeDocument/2006/relationships/worksheet" Target="worksheets/sheet72.xml"/><Relationship Id="rId74" Type="http://schemas.openxmlformats.org/officeDocument/2006/relationships/worksheet" Target="worksheets/sheet71.xml"/><Relationship Id="rId77" Type="http://schemas.openxmlformats.org/officeDocument/2006/relationships/worksheet" Target="worksheets/sheet74.xml"/><Relationship Id="rId76" Type="http://schemas.openxmlformats.org/officeDocument/2006/relationships/worksheet" Target="worksheets/sheet73.xml"/><Relationship Id="rId79" Type="http://schemas.openxmlformats.org/officeDocument/2006/relationships/worksheet" Target="worksheets/sheet76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139" Type="http://schemas.openxmlformats.org/officeDocument/2006/relationships/worksheet" Target="worksheets/sheet136.xml"/><Relationship Id="rId138" Type="http://schemas.openxmlformats.org/officeDocument/2006/relationships/worksheet" Target="worksheets/sheet135.xml"/><Relationship Id="rId137" Type="http://schemas.openxmlformats.org/officeDocument/2006/relationships/worksheet" Target="worksheets/sheet134.xml"/><Relationship Id="rId132" Type="http://schemas.openxmlformats.org/officeDocument/2006/relationships/worksheet" Target="worksheets/sheet129.xml"/><Relationship Id="rId131" Type="http://schemas.openxmlformats.org/officeDocument/2006/relationships/worksheet" Target="worksheets/sheet128.xml"/><Relationship Id="rId130" Type="http://schemas.openxmlformats.org/officeDocument/2006/relationships/worksheet" Target="worksheets/sheet127.xml"/><Relationship Id="rId136" Type="http://schemas.openxmlformats.org/officeDocument/2006/relationships/worksheet" Target="worksheets/sheet133.xml"/><Relationship Id="rId135" Type="http://schemas.openxmlformats.org/officeDocument/2006/relationships/worksheet" Target="worksheets/sheet132.xml"/><Relationship Id="rId134" Type="http://schemas.openxmlformats.org/officeDocument/2006/relationships/worksheet" Target="worksheets/sheet131.xml"/><Relationship Id="rId133" Type="http://schemas.openxmlformats.org/officeDocument/2006/relationships/worksheet" Target="worksheets/sheet130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66" Type="http://schemas.openxmlformats.org/officeDocument/2006/relationships/worksheet" Target="worksheets/sheet63.xml"/><Relationship Id="rId172" Type="http://schemas.openxmlformats.org/officeDocument/2006/relationships/worksheet" Target="worksheets/sheet169.xml"/><Relationship Id="rId65" Type="http://schemas.openxmlformats.org/officeDocument/2006/relationships/worksheet" Target="worksheets/sheet62.xml"/><Relationship Id="rId171" Type="http://schemas.openxmlformats.org/officeDocument/2006/relationships/worksheet" Target="worksheets/sheet168.xml"/><Relationship Id="rId68" Type="http://schemas.openxmlformats.org/officeDocument/2006/relationships/worksheet" Target="worksheets/sheet65.xml"/><Relationship Id="rId170" Type="http://schemas.openxmlformats.org/officeDocument/2006/relationships/worksheet" Target="worksheets/sheet167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165" Type="http://schemas.openxmlformats.org/officeDocument/2006/relationships/worksheet" Target="worksheets/sheet162.xml"/><Relationship Id="rId69" Type="http://schemas.openxmlformats.org/officeDocument/2006/relationships/worksheet" Target="worksheets/sheet66.xml"/><Relationship Id="rId164" Type="http://schemas.openxmlformats.org/officeDocument/2006/relationships/worksheet" Target="worksheets/sheet161.xml"/><Relationship Id="rId163" Type="http://schemas.openxmlformats.org/officeDocument/2006/relationships/worksheet" Target="worksheets/sheet160.xml"/><Relationship Id="rId162" Type="http://schemas.openxmlformats.org/officeDocument/2006/relationships/worksheet" Target="worksheets/sheet159.xml"/><Relationship Id="rId169" Type="http://schemas.openxmlformats.org/officeDocument/2006/relationships/worksheet" Target="worksheets/sheet166.xml"/><Relationship Id="rId168" Type="http://schemas.openxmlformats.org/officeDocument/2006/relationships/worksheet" Target="worksheets/sheet165.xml"/><Relationship Id="rId167" Type="http://schemas.openxmlformats.org/officeDocument/2006/relationships/worksheet" Target="worksheets/sheet164.xml"/><Relationship Id="rId166" Type="http://schemas.openxmlformats.org/officeDocument/2006/relationships/worksheet" Target="worksheets/sheet163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55" Type="http://schemas.openxmlformats.org/officeDocument/2006/relationships/worksheet" Target="worksheets/sheet52.xml"/><Relationship Id="rId161" Type="http://schemas.openxmlformats.org/officeDocument/2006/relationships/worksheet" Target="worksheets/sheet158.xml"/><Relationship Id="rId54" Type="http://schemas.openxmlformats.org/officeDocument/2006/relationships/worksheet" Target="worksheets/sheet51.xml"/><Relationship Id="rId160" Type="http://schemas.openxmlformats.org/officeDocument/2006/relationships/worksheet" Target="worksheets/sheet157.xml"/><Relationship Id="rId57" Type="http://schemas.openxmlformats.org/officeDocument/2006/relationships/worksheet" Target="worksheets/sheet54.xml"/><Relationship Id="rId56" Type="http://schemas.openxmlformats.org/officeDocument/2006/relationships/worksheet" Target="worksheets/sheet53.xml"/><Relationship Id="rId159" Type="http://schemas.openxmlformats.org/officeDocument/2006/relationships/worksheet" Target="worksheets/sheet156.xml"/><Relationship Id="rId59" Type="http://schemas.openxmlformats.org/officeDocument/2006/relationships/worksheet" Target="worksheets/sheet56.xml"/><Relationship Id="rId154" Type="http://schemas.openxmlformats.org/officeDocument/2006/relationships/worksheet" Target="worksheets/sheet151.xml"/><Relationship Id="rId58" Type="http://schemas.openxmlformats.org/officeDocument/2006/relationships/worksheet" Target="worksheets/sheet55.xml"/><Relationship Id="rId153" Type="http://schemas.openxmlformats.org/officeDocument/2006/relationships/worksheet" Target="worksheets/sheet150.xml"/><Relationship Id="rId152" Type="http://schemas.openxmlformats.org/officeDocument/2006/relationships/worksheet" Target="worksheets/sheet149.xml"/><Relationship Id="rId151" Type="http://schemas.openxmlformats.org/officeDocument/2006/relationships/worksheet" Target="worksheets/sheet148.xml"/><Relationship Id="rId158" Type="http://schemas.openxmlformats.org/officeDocument/2006/relationships/worksheet" Target="worksheets/sheet155.xml"/><Relationship Id="rId157" Type="http://schemas.openxmlformats.org/officeDocument/2006/relationships/worksheet" Target="worksheets/sheet154.xml"/><Relationship Id="rId156" Type="http://schemas.openxmlformats.org/officeDocument/2006/relationships/worksheet" Target="worksheets/sheet153.xml"/><Relationship Id="rId155" Type="http://schemas.openxmlformats.org/officeDocument/2006/relationships/worksheet" Target="worksheets/sheet152.xml"/><Relationship Id="rId107" Type="http://schemas.openxmlformats.org/officeDocument/2006/relationships/worksheet" Target="worksheets/sheet104.xml"/><Relationship Id="rId106" Type="http://schemas.openxmlformats.org/officeDocument/2006/relationships/worksheet" Target="worksheets/sheet103.xml"/><Relationship Id="rId105" Type="http://schemas.openxmlformats.org/officeDocument/2006/relationships/worksheet" Target="worksheets/sheet102.xml"/><Relationship Id="rId104" Type="http://schemas.openxmlformats.org/officeDocument/2006/relationships/worksheet" Target="worksheets/sheet101.xml"/><Relationship Id="rId109" Type="http://schemas.openxmlformats.org/officeDocument/2006/relationships/worksheet" Target="worksheets/sheet106.xml"/><Relationship Id="rId108" Type="http://schemas.openxmlformats.org/officeDocument/2006/relationships/worksheet" Target="worksheets/sheet105.xml"/><Relationship Id="rId103" Type="http://schemas.openxmlformats.org/officeDocument/2006/relationships/worksheet" Target="worksheets/sheet100.xml"/><Relationship Id="rId102" Type="http://schemas.openxmlformats.org/officeDocument/2006/relationships/worksheet" Target="worksheets/sheet99.xml"/><Relationship Id="rId101" Type="http://schemas.openxmlformats.org/officeDocument/2006/relationships/worksheet" Target="worksheets/sheet98.xml"/><Relationship Id="rId100" Type="http://schemas.openxmlformats.org/officeDocument/2006/relationships/worksheet" Target="worksheets/sheet97.xml"/><Relationship Id="rId129" Type="http://schemas.openxmlformats.org/officeDocument/2006/relationships/worksheet" Target="worksheets/sheet126.xml"/><Relationship Id="rId128" Type="http://schemas.openxmlformats.org/officeDocument/2006/relationships/worksheet" Target="worksheets/sheet125.xml"/><Relationship Id="rId127" Type="http://schemas.openxmlformats.org/officeDocument/2006/relationships/worksheet" Target="worksheets/sheet124.xml"/><Relationship Id="rId126" Type="http://schemas.openxmlformats.org/officeDocument/2006/relationships/worksheet" Target="worksheets/sheet123.xml"/><Relationship Id="rId121" Type="http://schemas.openxmlformats.org/officeDocument/2006/relationships/worksheet" Target="worksheets/sheet118.xml"/><Relationship Id="rId120" Type="http://schemas.openxmlformats.org/officeDocument/2006/relationships/worksheet" Target="worksheets/sheet117.xml"/><Relationship Id="rId125" Type="http://schemas.openxmlformats.org/officeDocument/2006/relationships/worksheet" Target="worksheets/sheet122.xml"/><Relationship Id="rId124" Type="http://schemas.openxmlformats.org/officeDocument/2006/relationships/worksheet" Target="worksheets/sheet121.xml"/><Relationship Id="rId123" Type="http://schemas.openxmlformats.org/officeDocument/2006/relationships/worksheet" Target="worksheets/sheet120.xml"/><Relationship Id="rId122" Type="http://schemas.openxmlformats.org/officeDocument/2006/relationships/worksheet" Target="worksheets/sheet119.xml"/><Relationship Id="rId95" Type="http://schemas.openxmlformats.org/officeDocument/2006/relationships/worksheet" Target="worksheets/sheet92.xml"/><Relationship Id="rId94" Type="http://schemas.openxmlformats.org/officeDocument/2006/relationships/worksheet" Target="worksheets/sheet91.xml"/><Relationship Id="rId97" Type="http://schemas.openxmlformats.org/officeDocument/2006/relationships/worksheet" Target="worksheets/sheet94.xml"/><Relationship Id="rId96" Type="http://schemas.openxmlformats.org/officeDocument/2006/relationships/worksheet" Target="worksheets/sheet93.xml"/><Relationship Id="rId99" Type="http://schemas.openxmlformats.org/officeDocument/2006/relationships/worksheet" Target="worksheets/sheet96.xml"/><Relationship Id="rId98" Type="http://schemas.openxmlformats.org/officeDocument/2006/relationships/worksheet" Target="worksheets/sheet95.xml"/><Relationship Id="rId91" Type="http://schemas.openxmlformats.org/officeDocument/2006/relationships/worksheet" Target="worksheets/sheet88.xml"/><Relationship Id="rId90" Type="http://schemas.openxmlformats.org/officeDocument/2006/relationships/worksheet" Target="worksheets/sheet87.xml"/><Relationship Id="rId93" Type="http://schemas.openxmlformats.org/officeDocument/2006/relationships/worksheet" Target="worksheets/sheet90.xml"/><Relationship Id="rId92" Type="http://schemas.openxmlformats.org/officeDocument/2006/relationships/worksheet" Target="worksheets/sheet89.xml"/><Relationship Id="rId118" Type="http://schemas.openxmlformats.org/officeDocument/2006/relationships/worksheet" Target="worksheets/sheet115.xml"/><Relationship Id="rId117" Type="http://schemas.openxmlformats.org/officeDocument/2006/relationships/worksheet" Target="worksheets/sheet114.xml"/><Relationship Id="rId116" Type="http://schemas.openxmlformats.org/officeDocument/2006/relationships/worksheet" Target="worksheets/sheet113.xml"/><Relationship Id="rId115" Type="http://schemas.openxmlformats.org/officeDocument/2006/relationships/worksheet" Target="worksheets/sheet112.xml"/><Relationship Id="rId119" Type="http://schemas.openxmlformats.org/officeDocument/2006/relationships/worksheet" Target="worksheets/sheet116.xml"/><Relationship Id="rId110" Type="http://schemas.openxmlformats.org/officeDocument/2006/relationships/worksheet" Target="worksheets/sheet107.xml"/><Relationship Id="rId114" Type="http://schemas.openxmlformats.org/officeDocument/2006/relationships/worksheet" Target="worksheets/sheet111.xml"/><Relationship Id="rId113" Type="http://schemas.openxmlformats.org/officeDocument/2006/relationships/worksheet" Target="worksheets/sheet110.xml"/><Relationship Id="rId112" Type="http://schemas.openxmlformats.org/officeDocument/2006/relationships/worksheet" Target="worksheets/sheet109.xml"/><Relationship Id="rId111" Type="http://schemas.openxmlformats.org/officeDocument/2006/relationships/worksheet" Target="worksheets/sheet108.xml"/><Relationship Id="rId205" Type="http://schemas.openxmlformats.org/officeDocument/2006/relationships/worksheet" Target="worksheets/sheet202.xml"/><Relationship Id="rId204" Type="http://schemas.openxmlformats.org/officeDocument/2006/relationships/worksheet" Target="worksheets/sheet201.xml"/><Relationship Id="rId203" Type="http://schemas.openxmlformats.org/officeDocument/2006/relationships/worksheet" Target="worksheets/sheet200.xml"/><Relationship Id="rId202" Type="http://schemas.openxmlformats.org/officeDocument/2006/relationships/worksheet" Target="worksheets/sheet199.xml"/><Relationship Id="rId201" Type="http://schemas.openxmlformats.org/officeDocument/2006/relationships/worksheet" Target="worksheets/sheet198.xml"/><Relationship Id="rId200" Type="http://schemas.openxmlformats.org/officeDocument/2006/relationships/worksheet" Target="worksheets/sheet19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8.xml"/></Relationships>
</file>

<file path=xl/worksheets/_rels/sheet1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9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0.xml"/></Relationships>
</file>

<file path=xl/worksheets/_rels/sheet1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1.xml"/></Relationships>
</file>

<file path=xl/worksheets/_rels/sheet1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2.xml"/></Relationships>
</file>

<file path=xl/worksheets/_rels/sheet1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3.xml"/></Relationships>
</file>

<file path=xl/worksheets/_rels/sheet1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4.xml"/></Relationships>
</file>

<file path=xl/worksheets/_rels/sheet1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5.xml"/></Relationships>
</file>

<file path=xl/worksheets/_rels/sheet1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6.xml"/></Relationships>
</file>

<file path=xl/worksheets/_rels/sheet1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7.xml"/></Relationships>
</file>

<file path=xl/worksheets/_rels/sheet1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8.xml"/></Relationships>
</file>

<file path=xl/worksheets/_rels/sheet1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9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0.xml"/></Relationships>
</file>

<file path=xl/worksheets/_rels/sheet1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1.xml"/></Relationships>
</file>

<file path=xl/worksheets/_rels/sheet1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2.xml"/></Relationships>
</file>

<file path=xl/worksheets/_rels/sheet1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3.xml"/></Relationships>
</file>

<file path=xl/worksheets/_rels/sheet1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4.xml"/></Relationships>
</file>

<file path=xl/worksheets/_rels/sheet1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5.xml"/></Relationships>
</file>

<file path=xl/worksheets/_rels/sheet1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6.xml"/></Relationships>
</file>

<file path=xl/worksheets/_rels/sheet1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7.xml"/></Relationships>
</file>

<file path=xl/worksheets/_rels/sheet1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8.xml"/></Relationships>
</file>

<file path=xl/worksheets/_rels/sheet1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9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0.xml"/></Relationships>
</file>

<file path=xl/worksheets/_rels/sheet1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1.xml"/></Relationships>
</file>

<file path=xl/worksheets/_rels/sheet1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2.xml"/></Relationships>
</file>

<file path=xl/worksheets/_rels/sheet1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3.xml"/></Relationships>
</file>

<file path=xl/worksheets/_rels/sheet1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4.xml"/></Relationships>
</file>

<file path=xl/worksheets/_rels/sheet1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5.xml"/></Relationships>
</file>

<file path=xl/worksheets/_rels/sheet1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6.xml"/></Relationships>
</file>

<file path=xl/worksheets/_rels/sheet1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7.xml"/></Relationships>
</file>

<file path=xl/worksheets/_rels/sheet1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8.xml"/></Relationships>
</file>

<file path=xl/worksheets/_rels/sheet1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9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0.xml"/></Relationships>
</file>

<file path=xl/worksheets/_rels/sheet1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1.xml"/></Relationships>
</file>

<file path=xl/worksheets/_rels/sheet1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2.xml"/></Relationships>
</file>

<file path=xl/worksheets/_rels/sheet1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3.xml"/></Relationships>
</file>

<file path=xl/worksheets/_rels/sheet1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4.xml"/></Relationships>
</file>

<file path=xl/worksheets/_rels/sheet1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5.xml"/></Relationships>
</file>

<file path=xl/worksheets/_rels/sheet1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6.xml"/></Relationships>
</file>

<file path=xl/worksheets/_rels/sheet1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7.xml"/></Relationships>
</file>

<file path=xl/worksheets/_rels/sheet1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8.xml"/></Relationships>
</file>

<file path=xl/worksheets/_rels/sheet1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0.xml"/></Relationships>
</file>

<file path=xl/worksheets/_rels/sheet2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1.xml"/></Relationships>
</file>

<file path=xl/worksheets/_rels/sheet2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2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</cols>
  <sheetData>
    <row r="1">
      <c r="A1" s="1" t="s">
        <v>0</v>
      </c>
      <c r="B1" s="2">
        <v>730.0</v>
      </c>
    </row>
    <row r="2">
      <c r="A2" s="1" t="s">
        <v>1</v>
      </c>
      <c r="B2" s="3">
        <f>TODAY()+5</f>
        <v>45898</v>
      </c>
    </row>
    <row r="3">
      <c r="A3" s="1" t="s">
        <v>2</v>
      </c>
      <c r="B3" s="2" t="s">
        <v>3</v>
      </c>
    </row>
    <row r="4">
      <c r="B4" s="4"/>
    </row>
    <row r="5">
      <c r="B5" s="4"/>
    </row>
    <row r="6">
      <c r="B6" s="4"/>
    </row>
    <row r="7">
      <c r="B7" s="4"/>
    </row>
    <row r="8">
      <c r="B8" s="4"/>
    </row>
    <row r="9">
      <c r="B9" s="4"/>
    </row>
    <row r="10">
      <c r="B10" s="4"/>
    </row>
    <row r="11">
      <c r="B11" s="4"/>
    </row>
    <row r="12">
      <c r="B12" s="4"/>
    </row>
    <row r="13">
      <c r="B13" s="4"/>
    </row>
    <row r="14">
      <c r="B14" s="4"/>
    </row>
    <row r="15">
      <c r="B15" s="4"/>
    </row>
    <row r="16">
      <c r="B16" s="4"/>
    </row>
    <row r="17">
      <c r="B17" s="4"/>
    </row>
    <row r="18">
      <c r="B18" s="4"/>
    </row>
    <row r="19">
      <c r="B19" s="4"/>
    </row>
    <row r="20">
      <c r="B20" s="4"/>
    </row>
    <row r="21">
      <c r="B21" s="4"/>
    </row>
    <row r="22">
      <c r="B22" s="4"/>
    </row>
    <row r="23">
      <c r="B23" s="4"/>
    </row>
    <row r="24">
      <c r="B24" s="4"/>
    </row>
    <row r="25">
      <c r="B25" s="4"/>
    </row>
    <row r="26">
      <c r="B26" s="4"/>
    </row>
    <row r="27">
      <c r="B27" s="4"/>
    </row>
    <row r="28">
      <c r="B28" s="4"/>
    </row>
    <row r="29">
      <c r="B29" s="4"/>
    </row>
    <row r="30">
      <c r="B30" s="4"/>
    </row>
    <row r="31">
      <c r="B31" s="4"/>
    </row>
    <row r="32">
      <c r="B32" s="4"/>
    </row>
    <row r="33">
      <c r="B33" s="4"/>
    </row>
    <row r="34">
      <c r="B34" s="4"/>
    </row>
    <row r="35">
      <c r="B35" s="4"/>
    </row>
    <row r="36">
      <c r="B36" s="4"/>
    </row>
    <row r="37">
      <c r="B37" s="4"/>
    </row>
    <row r="38">
      <c r="B38" s="4"/>
    </row>
    <row r="39"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B51" s="4"/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  <row r="997">
      <c r="B997" s="4"/>
    </row>
    <row r="998">
      <c r="B998" s="4"/>
    </row>
    <row r="999">
      <c r="B999" s="4"/>
    </row>
    <row r="1000">
      <c r="B100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ConfigSheet!$A14</f>
        <v/>
      </c>
    </row>
  </sheetData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IFERROR(__xludf.DUMMYFUNCTION("GOOGLEFINANCE(""NSE:JINDALSTEL"", ""all"",ConfigSheet!B2 -ConfigSheet!B1,ConfigSheet!B2,ConfigSheet!B3)"),"#N/A")</f>
        <v>#N/A</v>
      </c>
    </row>
  </sheetData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IFERROR(__xludf.DUMMYFUNCTION("GOOGLEFINANCE(""NSE:JIOFIN"", ""all"",ConfigSheet!B2 -ConfigSheet!B1,ConfigSheet!B2,ConfigSheet!B3)"),"#N/A")</f>
        <v>#N/A</v>
      </c>
    </row>
  </sheetData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IFERROR(__xludf.DUMMYFUNCTION("GOOGLEFINANCE(""NSE:JSWENERGY"", ""all"",ConfigSheet!B2 -ConfigSheet!B1,ConfigSheet!B2,ConfigSheet!B3)"),"#N/A")</f>
        <v>#N/A</v>
      </c>
    </row>
  </sheetData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IFERROR(__xludf.DUMMYFUNCTION("GOOGLEFINANCE(""NSE:JSWSTEEL"", ""all"",ConfigSheet!B2 -ConfigSheet!B1,ConfigSheet!B2,ConfigSheet!B3)"),"#N/A")</f>
        <v>#N/A</v>
      </c>
    </row>
  </sheetData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IFERROR(__xludf.DUMMYFUNCTION("GOOGLEFINANCE(""NSE:JUBLFOOD"", ""all"",ConfigSheet!B2 -ConfigSheet!B1,ConfigSheet!B2,ConfigSheet!B3)"),"#N/A")</f>
        <v>#N/A</v>
      </c>
    </row>
  </sheetData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IFERROR(__xludf.DUMMYFUNCTION("GOOGLEFINANCE(""NSE:KALYANKJIL"", ""all"",ConfigSheet!B2 -ConfigSheet!B1,ConfigSheet!B2,ConfigSheet!B3)"),"#N/A")</f>
        <v>#N/A</v>
      </c>
    </row>
  </sheetData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IFERROR(__xludf.DUMMYFUNCTION("GOOGLEFINANCE(""NSE:KOTAKBANK"", ""all"",ConfigSheet!B2 -ConfigSheet!B1,ConfigSheet!B2,ConfigSheet!B3)"),"#N/A")</f>
        <v>#N/A</v>
      </c>
    </row>
  </sheetData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IFERROR(__xludf.DUMMYFUNCTION("GOOGLEFINANCE(""NSE:KPITTECH"", ""all"",ConfigSheet!B2 -ConfigSheet!B1,ConfigSheet!B2,ConfigSheet!B3)"),"#N/A")</f>
        <v>#N/A</v>
      </c>
    </row>
  </sheetData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IFERROR(__xludf.DUMMYFUNCTION("GOOGLEFINANCE(""NSE:LICHSGFIN"", ""all"",ConfigSheet!B2 -ConfigSheet!B1,ConfigSheet!B2,ConfigSheet!B3)"),"#N/A")</f>
        <v>#N/A</v>
      </c>
    </row>
  </sheetData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IFERROR(__xludf.DUMMYFUNCTION("GOOGLEFINANCE(""NSE:LICI"", ""all"",ConfigSheet!B2 -ConfigSheet!B1,ConfigSheet!B2,ConfigSheet!B3)"),"#N/A")</f>
        <v>#N/A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IFERROR(__xludf.DUMMYFUNCTION("GOOGLEFINANCE(""NSE:ALKEM"", ""all"",ConfigSheet!B2 -ConfigSheet!B1,ConfigSheet!B2,ConfigSheet!B3)"),"Date")</f>
        <v>Date</v>
      </c>
      <c r="B1" s="5" t="str">
        <f>IFERROR(__xludf.DUMMYFUNCTION("""COMPUTED_VALUE"""),"Open")</f>
        <v>Open</v>
      </c>
      <c r="C1" s="5" t="str">
        <f>IFERROR(__xludf.DUMMYFUNCTION("""COMPUTED_VALUE"""),"High")</f>
        <v>High</v>
      </c>
      <c r="D1" s="5" t="str">
        <f>IFERROR(__xludf.DUMMYFUNCTION("""COMPUTED_VALUE"""),"Low")</f>
        <v>Low</v>
      </c>
      <c r="E1" s="5" t="str">
        <f>IFERROR(__xludf.DUMMYFUNCTION("""COMPUTED_VALUE"""),"Close")</f>
        <v>Close</v>
      </c>
      <c r="F1" s="5" t="str">
        <f>IFERROR(__xludf.DUMMYFUNCTION("""COMPUTED_VALUE"""),"Volume")</f>
        <v>Volume</v>
      </c>
    </row>
    <row r="2">
      <c r="A2" s="6">
        <f>IFERROR(__xludf.DUMMYFUNCTION("""COMPUTED_VALUE"""),45170.64583333333)</f>
        <v>45170.64583</v>
      </c>
      <c r="B2" s="5">
        <f>IFERROR(__xludf.DUMMYFUNCTION("""COMPUTED_VALUE"""),3677.75)</f>
        <v>3677.75</v>
      </c>
      <c r="C2" s="5">
        <f>IFERROR(__xludf.DUMMYFUNCTION("""COMPUTED_VALUE"""),3756.95)</f>
        <v>3756.95</v>
      </c>
      <c r="D2" s="5">
        <f>IFERROR(__xludf.DUMMYFUNCTION("""COMPUTED_VALUE"""),3606.6)</f>
        <v>3606.6</v>
      </c>
      <c r="E2" s="5">
        <f>IFERROR(__xludf.DUMMYFUNCTION("""COMPUTED_VALUE"""),3614.75)</f>
        <v>3614.75</v>
      </c>
      <c r="F2" s="5">
        <f>IFERROR(__xludf.DUMMYFUNCTION("""COMPUTED_VALUE"""),872957.0)</f>
        <v>872957</v>
      </c>
    </row>
    <row r="3">
      <c r="A3" s="6">
        <f>IFERROR(__xludf.DUMMYFUNCTION("""COMPUTED_VALUE"""),45177.64583333333)</f>
        <v>45177.64583</v>
      </c>
      <c r="B3" s="5">
        <f>IFERROR(__xludf.DUMMYFUNCTION("""COMPUTED_VALUE"""),3619.5)</f>
        <v>3619.5</v>
      </c>
      <c r="C3" s="5">
        <f>IFERROR(__xludf.DUMMYFUNCTION("""COMPUTED_VALUE"""),3706.95)</f>
        <v>3706.95</v>
      </c>
      <c r="D3" s="5">
        <f>IFERROR(__xludf.DUMMYFUNCTION("""COMPUTED_VALUE"""),3612.45)</f>
        <v>3612.45</v>
      </c>
      <c r="E3" s="5">
        <f>IFERROR(__xludf.DUMMYFUNCTION("""COMPUTED_VALUE"""),3621.25)</f>
        <v>3621.25</v>
      </c>
      <c r="F3" s="5">
        <f>IFERROR(__xludf.DUMMYFUNCTION("""COMPUTED_VALUE"""),768447.0)</f>
        <v>768447</v>
      </c>
    </row>
    <row r="4">
      <c r="A4" s="6">
        <f>IFERROR(__xludf.DUMMYFUNCTION("""COMPUTED_VALUE"""),45184.64583333333)</f>
        <v>45184.64583</v>
      </c>
      <c r="B4" s="5">
        <f>IFERROR(__xludf.DUMMYFUNCTION("""COMPUTED_VALUE"""),3635.0)</f>
        <v>3635</v>
      </c>
      <c r="C4" s="5">
        <f>IFERROR(__xludf.DUMMYFUNCTION("""COMPUTED_VALUE"""),3770.95)</f>
        <v>3770.95</v>
      </c>
      <c r="D4" s="5">
        <f>IFERROR(__xludf.DUMMYFUNCTION("""COMPUTED_VALUE"""),3621.25)</f>
        <v>3621.25</v>
      </c>
      <c r="E4" s="5">
        <f>IFERROR(__xludf.DUMMYFUNCTION("""COMPUTED_VALUE"""),3675.95)</f>
        <v>3675.95</v>
      </c>
      <c r="F4" s="5">
        <f>IFERROR(__xludf.DUMMYFUNCTION("""COMPUTED_VALUE"""),1090307.0)</f>
        <v>1090307</v>
      </c>
    </row>
    <row r="5">
      <c r="A5" s="6">
        <f>IFERROR(__xludf.DUMMYFUNCTION("""COMPUTED_VALUE"""),45191.64583333333)</f>
        <v>45191.64583</v>
      </c>
      <c r="B5" s="5">
        <f>IFERROR(__xludf.DUMMYFUNCTION("""COMPUTED_VALUE"""),3690.95)</f>
        <v>3690.95</v>
      </c>
      <c r="C5" s="5">
        <f>IFERROR(__xludf.DUMMYFUNCTION("""COMPUTED_VALUE"""),3709.85)</f>
        <v>3709.85</v>
      </c>
      <c r="D5" s="5">
        <f>IFERROR(__xludf.DUMMYFUNCTION("""COMPUTED_VALUE"""),3541.05)</f>
        <v>3541.05</v>
      </c>
      <c r="E5" s="5">
        <f>IFERROR(__xludf.DUMMYFUNCTION("""COMPUTED_VALUE"""),3550.65)</f>
        <v>3550.65</v>
      </c>
      <c r="F5" s="5">
        <f>IFERROR(__xludf.DUMMYFUNCTION("""COMPUTED_VALUE"""),595095.0)</f>
        <v>595095</v>
      </c>
    </row>
    <row r="6">
      <c r="A6" s="6">
        <f>IFERROR(__xludf.DUMMYFUNCTION("""COMPUTED_VALUE"""),45198.64583333333)</f>
        <v>45198.64583</v>
      </c>
      <c r="B6" s="5">
        <f>IFERROR(__xludf.DUMMYFUNCTION("""COMPUTED_VALUE"""),3552.6)</f>
        <v>3552.6</v>
      </c>
      <c r="C6" s="5">
        <f>IFERROR(__xludf.DUMMYFUNCTION("""COMPUTED_VALUE"""),3626.3)</f>
        <v>3626.3</v>
      </c>
      <c r="D6" s="5">
        <f>IFERROR(__xludf.DUMMYFUNCTION("""COMPUTED_VALUE"""),3512.05)</f>
        <v>3512.05</v>
      </c>
      <c r="E6" s="5">
        <f>IFERROR(__xludf.DUMMYFUNCTION("""COMPUTED_VALUE"""),3605.9)</f>
        <v>3605.9</v>
      </c>
      <c r="F6" s="5">
        <f>IFERROR(__xludf.DUMMYFUNCTION("""COMPUTED_VALUE"""),456827.0)</f>
        <v>456827</v>
      </c>
    </row>
    <row r="7">
      <c r="A7" s="6">
        <f>IFERROR(__xludf.DUMMYFUNCTION("""COMPUTED_VALUE"""),45205.64583333333)</f>
        <v>45205.64583</v>
      </c>
      <c r="B7" s="5">
        <f>IFERROR(__xludf.DUMMYFUNCTION("""COMPUTED_VALUE"""),3629.95)</f>
        <v>3629.95</v>
      </c>
      <c r="C7" s="5">
        <f>IFERROR(__xludf.DUMMYFUNCTION("""COMPUTED_VALUE"""),3649.0)</f>
        <v>3649</v>
      </c>
      <c r="D7" s="5">
        <f>IFERROR(__xludf.DUMMYFUNCTION("""COMPUTED_VALUE"""),3447.0)</f>
        <v>3447</v>
      </c>
      <c r="E7" s="5">
        <f>IFERROR(__xludf.DUMMYFUNCTION("""COMPUTED_VALUE"""),3522.5)</f>
        <v>3522.5</v>
      </c>
      <c r="F7" s="5">
        <f>IFERROR(__xludf.DUMMYFUNCTION("""COMPUTED_VALUE"""),614269.0)</f>
        <v>614269</v>
      </c>
    </row>
    <row r="8">
      <c r="A8" s="6">
        <f>IFERROR(__xludf.DUMMYFUNCTION("""COMPUTED_VALUE"""),45212.64583333333)</f>
        <v>45212.64583</v>
      </c>
      <c r="B8" s="5">
        <f>IFERROR(__xludf.DUMMYFUNCTION("""COMPUTED_VALUE"""),3502.5)</f>
        <v>3502.5</v>
      </c>
      <c r="C8" s="5">
        <f>IFERROR(__xludf.DUMMYFUNCTION("""COMPUTED_VALUE"""),3646.3)</f>
        <v>3646.3</v>
      </c>
      <c r="D8" s="5">
        <f>IFERROR(__xludf.DUMMYFUNCTION("""COMPUTED_VALUE"""),3490.05)</f>
        <v>3490.05</v>
      </c>
      <c r="E8" s="5">
        <f>IFERROR(__xludf.DUMMYFUNCTION("""COMPUTED_VALUE"""),3612.45)</f>
        <v>3612.45</v>
      </c>
      <c r="F8" s="5">
        <f>IFERROR(__xludf.DUMMYFUNCTION("""COMPUTED_VALUE"""),664207.0)</f>
        <v>664207</v>
      </c>
    </row>
    <row r="9">
      <c r="A9" s="6">
        <f>IFERROR(__xludf.DUMMYFUNCTION("""COMPUTED_VALUE"""),45219.64583333333)</f>
        <v>45219.64583</v>
      </c>
      <c r="B9" s="5">
        <f>IFERROR(__xludf.DUMMYFUNCTION("""COMPUTED_VALUE"""),3615.0)</f>
        <v>3615</v>
      </c>
      <c r="C9" s="5">
        <f>IFERROR(__xludf.DUMMYFUNCTION("""COMPUTED_VALUE"""),3650.0)</f>
        <v>3650</v>
      </c>
      <c r="D9" s="5">
        <f>IFERROR(__xludf.DUMMYFUNCTION("""COMPUTED_VALUE"""),3540.0)</f>
        <v>3540</v>
      </c>
      <c r="E9" s="5">
        <f>IFERROR(__xludf.DUMMYFUNCTION("""COMPUTED_VALUE"""),3585.6)</f>
        <v>3585.6</v>
      </c>
      <c r="F9" s="5">
        <f>IFERROR(__xludf.DUMMYFUNCTION("""COMPUTED_VALUE"""),636935.0)</f>
        <v>636935</v>
      </c>
    </row>
    <row r="10">
      <c r="A10" s="6">
        <f>IFERROR(__xludf.DUMMYFUNCTION("""COMPUTED_VALUE"""),45226.64583333333)</f>
        <v>45226.64583</v>
      </c>
      <c r="B10" s="5">
        <f>IFERROR(__xludf.DUMMYFUNCTION("""COMPUTED_VALUE"""),3576.0)</f>
        <v>3576</v>
      </c>
      <c r="C10" s="5">
        <f>IFERROR(__xludf.DUMMYFUNCTION("""COMPUTED_VALUE"""),3687.0)</f>
        <v>3687</v>
      </c>
      <c r="D10" s="5">
        <f>IFERROR(__xludf.DUMMYFUNCTION("""COMPUTED_VALUE"""),3509.95)</f>
        <v>3509.95</v>
      </c>
      <c r="E10" s="5">
        <f>IFERROR(__xludf.DUMMYFUNCTION("""COMPUTED_VALUE"""),3675.15)</f>
        <v>3675.15</v>
      </c>
      <c r="F10" s="5">
        <f>IFERROR(__xludf.DUMMYFUNCTION("""COMPUTED_VALUE"""),389546.0)</f>
        <v>389546</v>
      </c>
    </row>
    <row r="11">
      <c r="A11" s="6">
        <f>IFERROR(__xludf.DUMMYFUNCTION("""COMPUTED_VALUE"""),45233.64583333333)</f>
        <v>45233.64583</v>
      </c>
      <c r="B11" s="5">
        <f>IFERROR(__xludf.DUMMYFUNCTION("""COMPUTED_VALUE"""),3694.5)</f>
        <v>3694.5</v>
      </c>
      <c r="C11" s="5">
        <f>IFERROR(__xludf.DUMMYFUNCTION("""COMPUTED_VALUE"""),3855.0)</f>
        <v>3855</v>
      </c>
      <c r="D11" s="5">
        <f>IFERROR(__xludf.DUMMYFUNCTION("""COMPUTED_VALUE"""),3650.2)</f>
        <v>3650.2</v>
      </c>
      <c r="E11" s="5">
        <f>IFERROR(__xludf.DUMMYFUNCTION("""COMPUTED_VALUE"""),3808.95)</f>
        <v>3808.95</v>
      </c>
      <c r="F11" s="5">
        <f>IFERROR(__xludf.DUMMYFUNCTION("""COMPUTED_VALUE"""),1018882.0)</f>
        <v>1018882</v>
      </c>
    </row>
    <row r="12">
      <c r="A12" s="6">
        <f>IFERROR(__xludf.DUMMYFUNCTION("""COMPUTED_VALUE"""),45240.64583333333)</f>
        <v>45240.64583</v>
      </c>
      <c r="B12" s="5">
        <f>IFERROR(__xludf.DUMMYFUNCTION("""COMPUTED_VALUE"""),3809.0)</f>
        <v>3809</v>
      </c>
      <c r="C12" s="5">
        <f>IFERROR(__xludf.DUMMYFUNCTION("""COMPUTED_VALUE"""),4337.5)</f>
        <v>4337.5</v>
      </c>
      <c r="D12" s="5">
        <f>IFERROR(__xludf.DUMMYFUNCTION("""COMPUTED_VALUE"""),3783.55)</f>
        <v>3783.55</v>
      </c>
      <c r="E12" s="5">
        <f>IFERROR(__xludf.DUMMYFUNCTION("""COMPUTED_VALUE"""),4306.25)</f>
        <v>4306.25</v>
      </c>
      <c r="F12" s="5">
        <f>IFERROR(__xludf.DUMMYFUNCTION("""COMPUTED_VALUE"""),2933484.0)</f>
        <v>2933484</v>
      </c>
    </row>
    <row r="13">
      <c r="A13" s="6">
        <f>IFERROR(__xludf.DUMMYFUNCTION("""COMPUTED_VALUE"""),45247.64583333333)</f>
        <v>45247.64583</v>
      </c>
      <c r="B13" s="5">
        <f>IFERROR(__xludf.DUMMYFUNCTION("""COMPUTED_VALUE"""),4330.0)</f>
        <v>4330</v>
      </c>
      <c r="C13" s="5">
        <f>IFERROR(__xludf.DUMMYFUNCTION("""COMPUTED_VALUE"""),4450.0)</f>
        <v>4450</v>
      </c>
      <c r="D13" s="5">
        <f>IFERROR(__xludf.DUMMYFUNCTION("""COMPUTED_VALUE"""),4289.15)</f>
        <v>4289.15</v>
      </c>
      <c r="E13" s="5">
        <f>IFERROR(__xludf.DUMMYFUNCTION("""COMPUTED_VALUE"""),4448.45)</f>
        <v>4448.45</v>
      </c>
      <c r="F13" s="5">
        <f>IFERROR(__xludf.DUMMYFUNCTION("""COMPUTED_VALUE"""),766751.0)</f>
        <v>766751</v>
      </c>
    </row>
    <row r="14">
      <c r="A14" s="6">
        <f>IFERROR(__xludf.DUMMYFUNCTION("""COMPUTED_VALUE"""),45254.64583333333)</f>
        <v>45254.64583</v>
      </c>
      <c r="B14" s="5">
        <f>IFERROR(__xludf.DUMMYFUNCTION("""COMPUTED_VALUE"""),4450.0)</f>
        <v>4450</v>
      </c>
      <c r="C14" s="5">
        <f>IFERROR(__xludf.DUMMYFUNCTION("""COMPUTED_VALUE"""),4593.45)</f>
        <v>4593.45</v>
      </c>
      <c r="D14" s="5">
        <f>IFERROR(__xludf.DUMMYFUNCTION("""COMPUTED_VALUE"""),4380.8)</f>
        <v>4380.8</v>
      </c>
      <c r="E14" s="5">
        <f>IFERROR(__xludf.DUMMYFUNCTION("""COMPUTED_VALUE"""),4557.8)</f>
        <v>4557.8</v>
      </c>
      <c r="F14" s="5">
        <f>IFERROR(__xludf.DUMMYFUNCTION("""COMPUTED_VALUE"""),1326015.0)</f>
        <v>1326015</v>
      </c>
    </row>
    <row r="15">
      <c r="A15" s="6">
        <f>IFERROR(__xludf.DUMMYFUNCTION("""COMPUTED_VALUE"""),45261.64583333333)</f>
        <v>45261.64583</v>
      </c>
      <c r="B15" s="5">
        <f>IFERROR(__xludf.DUMMYFUNCTION("""COMPUTED_VALUE"""),4587.0)</f>
        <v>4587</v>
      </c>
      <c r="C15" s="5">
        <f>IFERROR(__xludf.DUMMYFUNCTION("""COMPUTED_VALUE"""),4795.5)</f>
        <v>4795.5</v>
      </c>
      <c r="D15" s="5">
        <f>IFERROR(__xludf.DUMMYFUNCTION("""COMPUTED_VALUE"""),4515.05)</f>
        <v>4515.05</v>
      </c>
      <c r="E15" s="5">
        <f>IFERROR(__xludf.DUMMYFUNCTION("""COMPUTED_VALUE"""),4647.9)</f>
        <v>4647.9</v>
      </c>
      <c r="F15" s="5">
        <f>IFERROR(__xludf.DUMMYFUNCTION("""COMPUTED_VALUE"""),1185893.0)</f>
        <v>1185893</v>
      </c>
    </row>
    <row r="16">
      <c r="A16" s="6">
        <f>IFERROR(__xludf.DUMMYFUNCTION("""COMPUTED_VALUE"""),45268.64583333333)</f>
        <v>45268.64583</v>
      </c>
      <c r="B16" s="5">
        <f>IFERROR(__xludf.DUMMYFUNCTION("""COMPUTED_VALUE"""),4649.0)</f>
        <v>4649</v>
      </c>
      <c r="C16" s="5">
        <f>IFERROR(__xludf.DUMMYFUNCTION("""COMPUTED_VALUE"""),4900.0)</f>
        <v>4900</v>
      </c>
      <c r="D16" s="5">
        <f>IFERROR(__xludf.DUMMYFUNCTION("""COMPUTED_VALUE"""),4589.25)</f>
        <v>4589.25</v>
      </c>
      <c r="E16" s="5">
        <f>IFERROR(__xludf.DUMMYFUNCTION("""COMPUTED_VALUE"""),4796.05)</f>
        <v>4796.05</v>
      </c>
      <c r="F16" s="5">
        <f>IFERROR(__xludf.DUMMYFUNCTION("""COMPUTED_VALUE"""),1500519.0)</f>
        <v>1500519</v>
      </c>
    </row>
    <row r="17">
      <c r="A17" s="6">
        <f>IFERROR(__xludf.DUMMYFUNCTION("""COMPUTED_VALUE"""),45275.64583333333)</f>
        <v>45275.64583</v>
      </c>
      <c r="B17" s="5">
        <f>IFERROR(__xludf.DUMMYFUNCTION("""COMPUTED_VALUE"""),4795.95)</f>
        <v>4795.95</v>
      </c>
      <c r="C17" s="5">
        <f>IFERROR(__xludf.DUMMYFUNCTION("""COMPUTED_VALUE"""),5009.85)</f>
        <v>5009.85</v>
      </c>
      <c r="D17" s="5">
        <f>IFERROR(__xludf.DUMMYFUNCTION("""COMPUTED_VALUE"""),4681.9)</f>
        <v>4681.9</v>
      </c>
      <c r="E17" s="5">
        <f>IFERROR(__xludf.DUMMYFUNCTION("""COMPUTED_VALUE"""),4919.35)</f>
        <v>4919.35</v>
      </c>
      <c r="F17" s="5">
        <f>IFERROR(__xludf.DUMMYFUNCTION("""COMPUTED_VALUE"""),3044223.0)</f>
        <v>3044223</v>
      </c>
    </row>
    <row r="18">
      <c r="A18" s="6">
        <f>IFERROR(__xludf.DUMMYFUNCTION("""COMPUTED_VALUE"""),45282.64583333333)</f>
        <v>45282.64583</v>
      </c>
      <c r="B18" s="5">
        <f>IFERROR(__xludf.DUMMYFUNCTION("""COMPUTED_VALUE"""),4899.1)</f>
        <v>4899.1</v>
      </c>
      <c r="C18" s="5">
        <f>IFERROR(__xludf.DUMMYFUNCTION("""COMPUTED_VALUE"""),5009.0)</f>
        <v>5009</v>
      </c>
      <c r="D18" s="5">
        <f>IFERROR(__xludf.DUMMYFUNCTION("""COMPUTED_VALUE"""),4818.65)</f>
        <v>4818.65</v>
      </c>
      <c r="E18" s="5">
        <f>IFERROR(__xludf.DUMMYFUNCTION("""COMPUTED_VALUE"""),4914.4)</f>
        <v>4914.4</v>
      </c>
      <c r="F18" s="5">
        <f>IFERROR(__xludf.DUMMYFUNCTION("""COMPUTED_VALUE"""),747872.0)</f>
        <v>747872</v>
      </c>
    </row>
    <row r="19">
      <c r="A19" s="6">
        <f>IFERROR(__xludf.DUMMYFUNCTION("""COMPUTED_VALUE"""),45289.64583333333)</f>
        <v>45289.64583</v>
      </c>
      <c r="B19" s="5">
        <f>IFERROR(__xludf.DUMMYFUNCTION("""COMPUTED_VALUE"""),4916.45)</f>
        <v>4916.45</v>
      </c>
      <c r="C19" s="5">
        <f>IFERROR(__xludf.DUMMYFUNCTION("""COMPUTED_VALUE"""),5216.75)</f>
        <v>5216.75</v>
      </c>
      <c r="D19" s="5">
        <f>IFERROR(__xludf.DUMMYFUNCTION("""COMPUTED_VALUE"""),4901.1)</f>
        <v>4901.1</v>
      </c>
      <c r="E19" s="5">
        <f>IFERROR(__xludf.DUMMYFUNCTION("""COMPUTED_VALUE"""),5202.6)</f>
        <v>5202.6</v>
      </c>
      <c r="F19" s="5">
        <f>IFERROR(__xludf.DUMMYFUNCTION("""COMPUTED_VALUE"""),919366.0)</f>
        <v>919366</v>
      </c>
    </row>
    <row r="20">
      <c r="A20" s="6">
        <f>IFERROR(__xludf.DUMMYFUNCTION("""COMPUTED_VALUE"""),45296.64583333333)</f>
        <v>45296.64583</v>
      </c>
      <c r="B20" s="5">
        <f>IFERROR(__xludf.DUMMYFUNCTION("""COMPUTED_VALUE"""),5209.95)</f>
        <v>5209.95</v>
      </c>
      <c r="C20" s="5">
        <f>IFERROR(__xludf.DUMMYFUNCTION("""COMPUTED_VALUE"""),5315.5)</f>
        <v>5315.5</v>
      </c>
      <c r="D20" s="5">
        <f>IFERROR(__xludf.DUMMYFUNCTION("""COMPUTED_VALUE"""),5093.2)</f>
        <v>5093.2</v>
      </c>
      <c r="E20" s="5">
        <f>IFERROR(__xludf.DUMMYFUNCTION("""COMPUTED_VALUE"""),5238.6)</f>
        <v>5238.6</v>
      </c>
      <c r="F20" s="5">
        <f>IFERROR(__xludf.DUMMYFUNCTION("""COMPUTED_VALUE"""),1143487.0)</f>
        <v>1143487</v>
      </c>
    </row>
    <row r="21">
      <c r="A21" s="6">
        <f>IFERROR(__xludf.DUMMYFUNCTION("""COMPUTED_VALUE"""),45303.64583333333)</f>
        <v>45303.64583</v>
      </c>
      <c r="B21" s="5">
        <f>IFERROR(__xludf.DUMMYFUNCTION("""COMPUTED_VALUE"""),5230.0)</f>
        <v>5230</v>
      </c>
      <c r="C21" s="5">
        <f>IFERROR(__xludf.DUMMYFUNCTION("""COMPUTED_VALUE"""),5268.7)</f>
        <v>5268.7</v>
      </c>
      <c r="D21" s="5">
        <f>IFERROR(__xludf.DUMMYFUNCTION("""COMPUTED_VALUE"""),5012.0)</f>
        <v>5012</v>
      </c>
      <c r="E21" s="5">
        <f>IFERROR(__xludf.DUMMYFUNCTION("""COMPUTED_VALUE"""),5048.7)</f>
        <v>5048.7</v>
      </c>
      <c r="F21" s="5">
        <f>IFERROR(__xludf.DUMMYFUNCTION("""COMPUTED_VALUE"""),711454.0)</f>
        <v>711454</v>
      </c>
    </row>
    <row r="22">
      <c r="A22" s="6">
        <f>IFERROR(__xludf.DUMMYFUNCTION("""COMPUTED_VALUE"""),45316.64583333333)</f>
        <v>45316.64583</v>
      </c>
      <c r="B22" s="5">
        <f>IFERROR(__xludf.DUMMYFUNCTION("""COMPUTED_VALUE"""),4878.7)</f>
        <v>4878.7</v>
      </c>
      <c r="C22" s="5">
        <f>IFERROR(__xludf.DUMMYFUNCTION("""COMPUTED_VALUE"""),5044.85)</f>
        <v>5044.85</v>
      </c>
      <c r="D22" s="5">
        <f>IFERROR(__xludf.DUMMYFUNCTION("""COMPUTED_VALUE"""),4763.25)</f>
        <v>4763.25</v>
      </c>
      <c r="E22" s="5">
        <f>IFERROR(__xludf.DUMMYFUNCTION("""COMPUTED_VALUE"""),4971.75)</f>
        <v>4971.75</v>
      </c>
      <c r="F22" s="5">
        <f>IFERROR(__xludf.DUMMYFUNCTION("""COMPUTED_VALUE"""),650522.0)</f>
        <v>650522</v>
      </c>
    </row>
    <row r="23">
      <c r="A23" s="6">
        <f>IFERROR(__xludf.DUMMYFUNCTION("""COMPUTED_VALUE"""),45324.64583333333)</f>
        <v>45324.64583</v>
      </c>
      <c r="B23" s="5">
        <f>IFERROR(__xludf.DUMMYFUNCTION("""COMPUTED_VALUE"""),4998.65)</f>
        <v>4998.65</v>
      </c>
      <c r="C23" s="5">
        <f>IFERROR(__xludf.DUMMYFUNCTION("""COMPUTED_VALUE"""),5087.95)</f>
        <v>5087.95</v>
      </c>
      <c r="D23" s="5">
        <f>IFERROR(__xludf.DUMMYFUNCTION("""COMPUTED_VALUE"""),4781.4)</f>
        <v>4781.4</v>
      </c>
      <c r="E23" s="5">
        <f>IFERROR(__xludf.DUMMYFUNCTION("""COMPUTED_VALUE"""),4917.7)</f>
        <v>4917.7</v>
      </c>
      <c r="F23" s="5">
        <f>IFERROR(__xludf.DUMMYFUNCTION("""COMPUTED_VALUE"""),1009910.0)</f>
        <v>1009910</v>
      </c>
    </row>
    <row r="24">
      <c r="A24" s="6">
        <f>IFERROR(__xludf.DUMMYFUNCTION("""COMPUTED_VALUE"""),45331.64583333333)</f>
        <v>45331.64583</v>
      </c>
      <c r="B24" s="5">
        <f>IFERROR(__xludf.DUMMYFUNCTION("""COMPUTED_VALUE"""),4925.35)</f>
        <v>4925.35</v>
      </c>
      <c r="C24" s="5">
        <f>IFERROR(__xludf.DUMMYFUNCTION("""COMPUTED_VALUE"""),5420.0)</f>
        <v>5420</v>
      </c>
      <c r="D24" s="5">
        <f>IFERROR(__xludf.DUMMYFUNCTION("""COMPUTED_VALUE"""),4870.0)</f>
        <v>4870</v>
      </c>
      <c r="E24" s="5">
        <f>IFERROR(__xludf.DUMMYFUNCTION("""COMPUTED_VALUE"""),5327.9)</f>
        <v>5327.9</v>
      </c>
      <c r="F24" s="5">
        <f>IFERROR(__xludf.DUMMYFUNCTION("""COMPUTED_VALUE"""),2607968.0)</f>
        <v>2607968</v>
      </c>
    </row>
    <row r="25">
      <c r="A25" s="6">
        <f>IFERROR(__xludf.DUMMYFUNCTION("""COMPUTED_VALUE"""),45338.64583333333)</f>
        <v>45338.64583</v>
      </c>
      <c r="B25" s="5">
        <f>IFERROR(__xludf.DUMMYFUNCTION("""COMPUTED_VALUE"""),5320.0)</f>
        <v>5320</v>
      </c>
      <c r="C25" s="5">
        <f>IFERROR(__xludf.DUMMYFUNCTION("""COMPUTED_VALUE"""),5458.2)</f>
        <v>5458.2</v>
      </c>
      <c r="D25" s="5">
        <f>IFERROR(__xludf.DUMMYFUNCTION("""COMPUTED_VALUE"""),4967.45)</f>
        <v>4967.45</v>
      </c>
      <c r="E25" s="5">
        <f>IFERROR(__xludf.DUMMYFUNCTION("""COMPUTED_VALUE"""),5444.6)</f>
        <v>5444.6</v>
      </c>
      <c r="F25" s="5">
        <f>IFERROR(__xludf.DUMMYFUNCTION("""COMPUTED_VALUE"""),1392987.0)</f>
        <v>1392987</v>
      </c>
    </row>
    <row r="26">
      <c r="A26" s="6">
        <f>IFERROR(__xludf.DUMMYFUNCTION("""COMPUTED_VALUE"""),45345.64583333333)</f>
        <v>45345.64583</v>
      </c>
      <c r="B26" s="5">
        <f>IFERROR(__xludf.DUMMYFUNCTION("""COMPUTED_VALUE"""),5444.6)</f>
        <v>5444.6</v>
      </c>
      <c r="C26" s="5">
        <f>IFERROR(__xludf.DUMMYFUNCTION("""COMPUTED_VALUE"""),5520.0)</f>
        <v>5520</v>
      </c>
      <c r="D26" s="5">
        <f>IFERROR(__xludf.DUMMYFUNCTION("""COMPUTED_VALUE"""),5350.95)</f>
        <v>5350.95</v>
      </c>
      <c r="E26" s="5">
        <f>IFERROR(__xludf.DUMMYFUNCTION("""COMPUTED_VALUE"""),5421.15)</f>
        <v>5421.15</v>
      </c>
      <c r="F26" s="5">
        <f>IFERROR(__xludf.DUMMYFUNCTION("""COMPUTED_VALUE"""),743450.0)</f>
        <v>743450</v>
      </c>
    </row>
    <row r="27">
      <c r="A27" s="6">
        <f>IFERROR(__xludf.DUMMYFUNCTION("""COMPUTED_VALUE"""),45358.64583333333)</f>
        <v>45358.64583</v>
      </c>
      <c r="B27" s="5">
        <f>IFERROR(__xludf.DUMMYFUNCTION("""COMPUTED_VALUE"""),5156.55)</f>
        <v>5156.55</v>
      </c>
      <c r="C27" s="5">
        <f>IFERROR(__xludf.DUMMYFUNCTION("""COMPUTED_VALUE"""),5225.0)</f>
        <v>5225</v>
      </c>
      <c r="D27" s="5">
        <f>IFERROR(__xludf.DUMMYFUNCTION("""COMPUTED_VALUE"""),5043.6)</f>
        <v>5043.6</v>
      </c>
      <c r="E27" s="5">
        <f>IFERROR(__xludf.DUMMYFUNCTION("""COMPUTED_VALUE"""),5144.3)</f>
        <v>5144.3</v>
      </c>
      <c r="F27" s="5">
        <f>IFERROR(__xludf.DUMMYFUNCTION("""COMPUTED_VALUE"""),593179.0)</f>
        <v>593179</v>
      </c>
    </row>
    <row r="28">
      <c r="A28" s="6">
        <f>IFERROR(__xludf.DUMMYFUNCTION("""COMPUTED_VALUE"""),45366.64583333333)</f>
        <v>45366.64583</v>
      </c>
      <c r="B28" s="5">
        <f>IFERROR(__xludf.DUMMYFUNCTION("""COMPUTED_VALUE"""),5188.0)</f>
        <v>5188</v>
      </c>
      <c r="C28" s="5">
        <f>IFERROR(__xludf.DUMMYFUNCTION("""COMPUTED_VALUE"""),5225.0)</f>
        <v>5225</v>
      </c>
      <c r="D28" s="5">
        <f>IFERROR(__xludf.DUMMYFUNCTION("""COMPUTED_VALUE"""),4857.05)</f>
        <v>4857.05</v>
      </c>
      <c r="E28" s="5">
        <f>IFERROR(__xludf.DUMMYFUNCTION("""COMPUTED_VALUE"""),5045.2)</f>
        <v>5045.2</v>
      </c>
      <c r="F28" s="5">
        <f>IFERROR(__xludf.DUMMYFUNCTION("""COMPUTED_VALUE"""),876025.0)</f>
        <v>876025</v>
      </c>
    </row>
    <row r="29">
      <c r="A29" s="6">
        <f>IFERROR(__xludf.DUMMYFUNCTION("""COMPUTED_VALUE"""),45373.64583333333)</f>
        <v>45373.64583</v>
      </c>
      <c r="B29" s="5">
        <f>IFERROR(__xludf.DUMMYFUNCTION("""COMPUTED_VALUE"""),5050.0)</f>
        <v>5050</v>
      </c>
      <c r="C29" s="5">
        <f>IFERROR(__xludf.DUMMYFUNCTION("""COMPUTED_VALUE"""),5068.8)</f>
        <v>5068.8</v>
      </c>
      <c r="D29" s="5">
        <f>IFERROR(__xludf.DUMMYFUNCTION("""COMPUTED_VALUE"""),4744.85)</f>
        <v>4744.85</v>
      </c>
      <c r="E29" s="5">
        <f>IFERROR(__xludf.DUMMYFUNCTION("""COMPUTED_VALUE"""),4789.75)</f>
        <v>4789.75</v>
      </c>
      <c r="F29" s="5">
        <f>IFERROR(__xludf.DUMMYFUNCTION("""COMPUTED_VALUE"""),823318.0)</f>
        <v>823318</v>
      </c>
    </row>
    <row r="30">
      <c r="A30" s="6">
        <f>IFERROR(__xludf.DUMMYFUNCTION("""COMPUTED_VALUE"""),45379.64583333333)</f>
        <v>45379.64583</v>
      </c>
      <c r="B30" s="5">
        <f>IFERROR(__xludf.DUMMYFUNCTION("""COMPUTED_VALUE"""),4650.0)</f>
        <v>4650</v>
      </c>
      <c r="C30" s="5">
        <f>IFERROR(__xludf.DUMMYFUNCTION("""COMPUTED_VALUE"""),5059.1)</f>
        <v>5059.1</v>
      </c>
      <c r="D30" s="5">
        <f>IFERROR(__xludf.DUMMYFUNCTION("""COMPUTED_VALUE"""),4650.0)</f>
        <v>4650</v>
      </c>
      <c r="E30" s="5">
        <f>IFERROR(__xludf.DUMMYFUNCTION("""COMPUTED_VALUE"""),4942.0)</f>
        <v>4942</v>
      </c>
      <c r="F30" s="5">
        <f>IFERROR(__xludf.DUMMYFUNCTION("""COMPUTED_VALUE"""),717226.0)</f>
        <v>717226</v>
      </c>
    </row>
    <row r="31">
      <c r="A31" s="6">
        <f>IFERROR(__xludf.DUMMYFUNCTION("""COMPUTED_VALUE"""),45387.64583333333)</f>
        <v>45387.64583</v>
      </c>
      <c r="B31" s="5">
        <f>IFERROR(__xludf.DUMMYFUNCTION("""COMPUTED_VALUE"""),4930.15)</f>
        <v>4930.15</v>
      </c>
      <c r="C31" s="5">
        <f>IFERROR(__xludf.DUMMYFUNCTION("""COMPUTED_VALUE"""),5095.0)</f>
        <v>5095</v>
      </c>
      <c r="D31" s="5">
        <f>IFERROR(__xludf.DUMMYFUNCTION("""COMPUTED_VALUE"""),4830.0)</f>
        <v>4830</v>
      </c>
      <c r="E31" s="5">
        <f>IFERROR(__xludf.DUMMYFUNCTION("""COMPUTED_VALUE"""),4912.65)</f>
        <v>4912.65</v>
      </c>
      <c r="F31" s="5">
        <f>IFERROR(__xludf.DUMMYFUNCTION("""COMPUTED_VALUE"""),851995.0)</f>
        <v>851995</v>
      </c>
    </row>
    <row r="32">
      <c r="A32" s="6">
        <f>IFERROR(__xludf.DUMMYFUNCTION("""COMPUTED_VALUE"""),45394.64583333333)</f>
        <v>45394.64583</v>
      </c>
      <c r="B32" s="5">
        <f>IFERROR(__xludf.DUMMYFUNCTION("""COMPUTED_VALUE"""),4919.95)</f>
        <v>4919.95</v>
      </c>
      <c r="C32" s="5">
        <f>IFERROR(__xludf.DUMMYFUNCTION("""COMPUTED_VALUE"""),4950.0)</f>
        <v>4950</v>
      </c>
      <c r="D32" s="5">
        <f>IFERROR(__xludf.DUMMYFUNCTION("""COMPUTED_VALUE"""),4725.15)</f>
        <v>4725.15</v>
      </c>
      <c r="E32" s="5">
        <f>IFERROR(__xludf.DUMMYFUNCTION("""COMPUTED_VALUE"""),4735.2)</f>
        <v>4735.2</v>
      </c>
      <c r="F32" s="5">
        <f>IFERROR(__xludf.DUMMYFUNCTION("""COMPUTED_VALUE"""),559930.0)</f>
        <v>559930</v>
      </c>
    </row>
    <row r="33">
      <c r="A33" s="6">
        <f>IFERROR(__xludf.DUMMYFUNCTION("""COMPUTED_VALUE"""),45401.64583333333)</f>
        <v>45401.64583</v>
      </c>
      <c r="B33" s="5">
        <f>IFERROR(__xludf.DUMMYFUNCTION("""COMPUTED_VALUE"""),4725.0)</f>
        <v>4725</v>
      </c>
      <c r="C33" s="5">
        <f>IFERROR(__xludf.DUMMYFUNCTION("""COMPUTED_VALUE"""),4775.95)</f>
        <v>4775.95</v>
      </c>
      <c r="D33" s="5">
        <f>IFERROR(__xludf.DUMMYFUNCTION("""COMPUTED_VALUE"""),4567.05)</f>
        <v>4567.05</v>
      </c>
      <c r="E33" s="5">
        <f>IFERROR(__xludf.DUMMYFUNCTION("""COMPUTED_VALUE"""),4616.35)</f>
        <v>4616.35</v>
      </c>
      <c r="F33" s="5">
        <f>IFERROR(__xludf.DUMMYFUNCTION("""COMPUTED_VALUE"""),693152.0)</f>
        <v>693152</v>
      </c>
    </row>
    <row r="34">
      <c r="A34" s="6">
        <f>IFERROR(__xludf.DUMMYFUNCTION("""COMPUTED_VALUE"""),45408.64583333333)</f>
        <v>45408.64583</v>
      </c>
      <c r="B34" s="5">
        <f>IFERROR(__xludf.DUMMYFUNCTION("""COMPUTED_VALUE"""),4644.25)</f>
        <v>4644.25</v>
      </c>
      <c r="C34" s="5">
        <f>IFERROR(__xludf.DUMMYFUNCTION("""COMPUTED_VALUE"""),4937.4)</f>
        <v>4937.4</v>
      </c>
      <c r="D34" s="5">
        <f>IFERROR(__xludf.DUMMYFUNCTION("""COMPUTED_VALUE"""),4631.4)</f>
        <v>4631.4</v>
      </c>
      <c r="E34" s="5">
        <f>IFERROR(__xludf.DUMMYFUNCTION("""COMPUTED_VALUE"""),4910.4)</f>
        <v>4910.4</v>
      </c>
      <c r="F34" s="5">
        <f>IFERROR(__xludf.DUMMYFUNCTION("""COMPUTED_VALUE"""),699607.0)</f>
        <v>699607</v>
      </c>
    </row>
    <row r="35">
      <c r="A35" s="6">
        <f>IFERROR(__xludf.DUMMYFUNCTION("""COMPUTED_VALUE"""),45415.64583333333)</f>
        <v>45415.64583</v>
      </c>
      <c r="B35" s="5">
        <f>IFERROR(__xludf.DUMMYFUNCTION("""COMPUTED_VALUE"""),4909.1)</f>
        <v>4909.1</v>
      </c>
      <c r="C35" s="5">
        <f>IFERROR(__xludf.DUMMYFUNCTION("""COMPUTED_VALUE"""),5020.0)</f>
        <v>5020</v>
      </c>
      <c r="D35" s="5">
        <f>IFERROR(__xludf.DUMMYFUNCTION("""COMPUTED_VALUE"""),4739.5)</f>
        <v>4739.5</v>
      </c>
      <c r="E35" s="5">
        <f>IFERROR(__xludf.DUMMYFUNCTION("""COMPUTED_VALUE"""),4904.0)</f>
        <v>4904</v>
      </c>
      <c r="F35" s="5">
        <f>IFERROR(__xludf.DUMMYFUNCTION("""COMPUTED_VALUE"""),538953.0)</f>
        <v>538953</v>
      </c>
    </row>
    <row r="36">
      <c r="A36" s="6">
        <f>IFERROR(__xludf.DUMMYFUNCTION("""COMPUTED_VALUE"""),45422.64583333333)</f>
        <v>45422.64583</v>
      </c>
      <c r="B36" s="5">
        <f>IFERROR(__xludf.DUMMYFUNCTION("""COMPUTED_VALUE"""),4906.0)</f>
        <v>4906</v>
      </c>
      <c r="C36" s="5">
        <f>IFERROR(__xludf.DUMMYFUNCTION("""COMPUTED_VALUE"""),5208.0)</f>
        <v>5208</v>
      </c>
      <c r="D36" s="5">
        <f>IFERROR(__xludf.DUMMYFUNCTION("""COMPUTED_VALUE"""),4880.0)</f>
        <v>4880</v>
      </c>
      <c r="E36" s="5">
        <f>IFERROR(__xludf.DUMMYFUNCTION("""COMPUTED_VALUE"""),5128.9)</f>
        <v>5128.9</v>
      </c>
      <c r="F36" s="5">
        <f>IFERROR(__xludf.DUMMYFUNCTION("""COMPUTED_VALUE"""),1224488.0)</f>
        <v>1224488</v>
      </c>
    </row>
    <row r="37">
      <c r="A37" s="6">
        <f>IFERROR(__xludf.DUMMYFUNCTION("""COMPUTED_VALUE"""),45436.64583333333)</f>
        <v>45436.64583</v>
      </c>
      <c r="B37" s="5">
        <f>IFERROR(__xludf.DUMMYFUNCTION("""COMPUTED_VALUE"""),5438.25)</f>
        <v>5438.25</v>
      </c>
      <c r="C37" s="5">
        <f>IFERROR(__xludf.DUMMYFUNCTION("""COMPUTED_VALUE"""),5578.8)</f>
        <v>5578.8</v>
      </c>
      <c r="D37" s="5">
        <f>IFERROR(__xludf.DUMMYFUNCTION("""COMPUTED_VALUE"""),5208.15)</f>
        <v>5208.15</v>
      </c>
      <c r="E37" s="5">
        <f>IFERROR(__xludf.DUMMYFUNCTION("""COMPUTED_VALUE"""),5451.65)</f>
        <v>5451.65</v>
      </c>
      <c r="F37" s="5">
        <f>IFERROR(__xludf.DUMMYFUNCTION("""COMPUTED_VALUE"""),821299.0)</f>
        <v>821299</v>
      </c>
    </row>
    <row r="38">
      <c r="A38" s="6">
        <f>IFERROR(__xludf.DUMMYFUNCTION("""COMPUTED_VALUE"""),45443.64583333333)</f>
        <v>45443.64583</v>
      </c>
      <c r="B38" s="5">
        <f>IFERROR(__xludf.DUMMYFUNCTION("""COMPUTED_VALUE"""),5469.95)</f>
        <v>5469.95</v>
      </c>
      <c r="C38" s="5">
        <f>IFERROR(__xludf.DUMMYFUNCTION("""COMPUTED_VALUE"""),5469.95)</f>
        <v>5469.95</v>
      </c>
      <c r="D38" s="5">
        <f>IFERROR(__xludf.DUMMYFUNCTION("""COMPUTED_VALUE"""),4794.1)</f>
        <v>4794.1</v>
      </c>
      <c r="E38" s="5">
        <f>IFERROR(__xludf.DUMMYFUNCTION("""COMPUTED_VALUE"""),4810.45)</f>
        <v>4810.45</v>
      </c>
      <c r="F38" s="5">
        <f>IFERROR(__xludf.DUMMYFUNCTION("""COMPUTED_VALUE"""),3249086.0)</f>
        <v>3249086</v>
      </c>
    </row>
    <row r="39">
      <c r="A39" s="6">
        <f>IFERROR(__xludf.DUMMYFUNCTION("""COMPUTED_VALUE"""),45450.64583333333)</f>
        <v>45450.64583</v>
      </c>
      <c r="B39" s="5">
        <f>IFERROR(__xludf.DUMMYFUNCTION("""COMPUTED_VALUE"""),4815.0)</f>
        <v>4815</v>
      </c>
      <c r="C39" s="5">
        <f>IFERROR(__xludf.DUMMYFUNCTION("""COMPUTED_VALUE"""),4963.8)</f>
        <v>4963.8</v>
      </c>
      <c r="D39" s="5">
        <f>IFERROR(__xludf.DUMMYFUNCTION("""COMPUTED_VALUE"""),4407.05)</f>
        <v>4407.05</v>
      </c>
      <c r="E39" s="5">
        <f>IFERROR(__xludf.DUMMYFUNCTION("""COMPUTED_VALUE"""),4956.1)</f>
        <v>4956.1</v>
      </c>
      <c r="F39" s="5">
        <f>IFERROR(__xludf.DUMMYFUNCTION("""COMPUTED_VALUE"""),1734454.0)</f>
        <v>1734454</v>
      </c>
    </row>
    <row r="40">
      <c r="A40" s="6">
        <f>IFERROR(__xludf.DUMMYFUNCTION("""COMPUTED_VALUE"""),45457.64583333333)</f>
        <v>45457.64583</v>
      </c>
      <c r="B40" s="5">
        <f>IFERROR(__xludf.DUMMYFUNCTION("""COMPUTED_VALUE"""),4989.0)</f>
        <v>4989</v>
      </c>
      <c r="C40" s="5">
        <f>IFERROR(__xludf.DUMMYFUNCTION("""COMPUTED_VALUE"""),5134.6)</f>
        <v>5134.6</v>
      </c>
      <c r="D40" s="5">
        <f>IFERROR(__xludf.DUMMYFUNCTION("""COMPUTED_VALUE"""),4940.0)</f>
        <v>4940</v>
      </c>
      <c r="E40" s="5">
        <f>IFERROR(__xludf.DUMMYFUNCTION("""COMPUTED_VALUE"""),5101.95)</f>
        <v>5101.95</v>
      </c>
      <c r="F40" s="5">
        <f>IFERROR(__xludf.DUMMYFUNCTION("""COMPUTED_VALUE"""),576103.0)</f>
        <v>576103</v>
      </c>
    </row>
    <row r="41">
      <c r="A41" s="6">
        <f>IFERROR(__xludf.DUMMYFUNCTION("""COMPUTED_VALUE"""),45464.64583333333)</f>
        <v>45464.64583</v>
      </c>
      <c r="B41" s="5">
        <f>IFERROR(__xludf.DUMMYFUNCTION("""COMPUTED_VALUE"""),5123.0)</f>
        <v>5123</v>
      </c>
      <c r="C41" s="5">
        <f>IFERROR(__xludf.DUMMYFUNCTION("""COMPUTED_VALUE"""),5258.85)</f>
        <v>5258.85</v>
      </c>
      <c r="D41" s="5">
        <f>IFERROR(__xludf.DUMMYFUNCTION("""COMPUTED_VALUE"""),4908.8)</f>
        <v>4908.8</v>
      </c>
      <c r="E41" s="5">
        <f>IFERROR(__xludf.DUMMYFUNCTION("""COMPUTED_VALUE"""),5129.25)</f>
        <v>5129.25</v>
      </c>
      <c r="F41" s="5">
        <f>IFERROR(__xludf.DUMMYFUNCTION("""COMPUTED_VALUE"""),908381.0)</f>
        <v>908381</v>
      </c>
    </row>
    <row r="42">
      <c r="A42" s="6">
        <f>IFERROR(__xludf.DUMMYFUNCTION("""COMPUTED_VALUE"""),45471.64583333333)</f>
        <v>45471.64583</v>
      </c>
      <c r="B42" s="5">
        <f>IFERROR(__xludf.DUMMYFUNCTION("""COMPUTED_VALUE"""),5088.0)</f>
        <v>5088</v>
      </c>
      <c r="C42" s="5">
        <f>IFERROR(__xludf.DUMMYFUNCTION("""COMPUTED_VALUE"""),5259.0)</f>
        <v>5259</v>
      </c>
      <c r="D42" s="5">
        <f>IFERROR(__xludf.DUMMYFUNCTION("""COMPUTED_VALUE"""),4896.9)</f>
        <v>4896.9</v>
      </c>
      <c r="E42" s="5">
        <f>IFERROR(__xludf.DUMMYFUNCTION("""COMPUTED_VALUE"""),4991.35)</f>
        <v>4991.35</v>
      </c>
      <c r="F42" s="5">
        <f>IFERROR(__xludf.DUMMYFUNCTION("""COMPUTED_VALUE"""),2252818.0)</f>
        <v>2252818</v>
      </c>
    </row>
    <row r="43">
      <c r="A43" s="6">
        <f>IFERROR(__xludf.DUMMYFUNCTION("""COMPUTED_VALUE"""),45478.64583333333)</f>
        <v>45478.64583</v>
      </c>
      <c r="B43" s="5">
        <f>IFERROR(__xludf.DUMMYFUNCTION("""COMPUTED_VALUE"""),4992.0)</f>
        <v>4992</v>
      </c>
      <c r="C43" s="5">
        <f>IFERROR(__xludf.DUMMYFUNCTION("""COMPUTED_VALUE"""),5085.0)</f>
        <v>5085</v>
      </c>
      <c r="D43" s="5">
        <f>IFERROR(__xludf.DUMMYFUNCTION("""COMPUTED_VALUE"""),4872.0)</f>
        <v>4872</v>
      </c>
      <c r="E43" s="5">
        <f>IFERROR(__xludf.DUMMYFUNCTION("""COMPUTED_VALUE"""),5063.55)</f>
        <v>5063.55</v>
      </c>
      <c r="F43" s="5">
        <f>IFERROR(__xludf.DUMMYFUNCTION("""COMPUTED_VALUE"""),842352.0)</f>
        <v>842352</v>
      </c>
    </row>
    <row r="44">
      <c r="A44" s="6">
        <f>IFERROR(__xludf.DUMMYFUNCTION("""COMPUTED_VALUE"""),45485.64583333333)</f>
        <v>45485.64583</v>
      </c>
      <c r="B44" s="5">
        <f>IFERROR(__xludf.DUMMYFUNCTION("""COMPUTED_VALUE"""),5090.0)</f>
        <v>5090</v>
      </c>
      <c r="C44" s="5">
        <f>IFERROR(__xludf.DUMMYFUNCTION("""COMPUTED_VALUE"""),5348.8)</f>
        <v>5348.8</v>
      </c>
      <c r="D44" s="5">
        <f>IFERROR(__xludf.DUMMYFUNCTION("""COMPUTED_VALUE"""),5063.0)</f>
        <v>5063</v>
      </c>
      <c r="E44" s="5">
        <f>IFERROR(__xludf.DUMMYFUNCTION("""COMPUTED_VALUE"""),5198.75)</f>
        <v>5198.75</v>
      </c>
      <c r="F44" s="5">
        <f>IFERROR(__xludf.DUMMYFUNCTION("""COMPUTED_VALUE"""),1276865.0)</f>
        <v>1276865</v>
      </c>
    </row>
    <row r="45">
      <c r="A45" s="6">
        <f>IFERROR(__xludf.DUMMYFUNCTION("""COMPUTED_VALUE"""),45492.64583333333)</f>
        <v>45492.64583</v>
      </c>
      <c r="B45" s="5">
        <f>IFERROR(__xludf.DUMMYFUNCTION("""COMPUTED_VALUE"""),5236.1)</f>
        <v>5236.1</v>
      </c>
      <c r="C45" s="5">
        <f>IFERROR(__xludf.DUMMYFUNCTION("""COMPUTED_VALUE"""),5450.0)</f>
        <v>5450</v>
      </c>
      <c r="D45" s="5">
        <f>IFERROR(__xludf.DUMMYFUNCTION("""COMPUTED_VALUE"""),5111.55)</f>
        <v>5111.55</v>
      </c>
      <c r="E45" s="5">
        <f>IFERROR(__xludf.DUMMYFUNCTION("""COMPUTED_VALUE"""),5133.65)</f>
        <v>5133.65</v>
      </c>
      <c r="F45" s="5">
        <f>IFERROR(__xludf.DUMMYFUNCTION("""COMPUTED_VALUE"""),1191297.0)</f>
        <v>1191297</v>
      </c>
    </row>
    <row r="46">
      <c r="A46" s="6">
        <f>IFERROR(__xludf.DUMMYFUNCTION("""COMPUTED_VALUE"""),45499.64583333333)</f>
        <v>45499.64583</v>
      </c>
      <c r="B46" s="5">
        <f>IFERROR(__xludf.DUMMYFUNCTION("""COMPUTED_VALUE"""),5130.0)</f>
        <v>5130</v>
      </c>
      <c r="C46" s="5">
        <f>IFERROR(__xludf.DUMMYFUNCTION("""COMPUTED_VALUE"""),5316.85)</f>
        <v>5316.85</v>
      </c>
      <c r="D46" s="5">
        <f>IFERROR(__xludf.DUMMYFUNCTION("""COMPUTED_VALUE"""),5030.4)</f>
        <v>5030.4</v>
      </c>
      <c r="E46" s="5">
        <f>IFERROR(__xludf.DUMMYFUNCTION("""COMPUTED_VALUE"""),5289.85)</f>
        <v>5289.85</v>
      </c>
      <c r="F46" s="5">
        <f>IFERROR(__xludf.DUMMYFUNCTION("""COMPUTED_VALUE"""),618714.0)</f>
        <v>618714</v>
      </c>
    </row>
    <row r="47">
      <c r="A47" s="6">
        <f>IFERROR(__xludf.DUMMYFUNCTION("""COMPUTED_VALUE"""),45506.64583333333)</f>
        <v>45506.64583</v>
      </c>
      <c r="B47" s="5">
        <f>IFERROR(__xludf.DUMMYFUNCTION("""COMPUTED_VALUE"""),5325.0)</f>
        <v>5325</v>
      </c>
      <c r="C47" s="5">
        <f>IFERROR(__xludf.DUMMYFUNCTION("""COMPUTED_VALUE"""),5405.85)</f>
        <v>5405.85</v>
      </c>
      <c r="D47" s="5">
        <f>IFERROR(__xludf.DUMMYFUNCTION("""COMPUTED_VALUE"""),5180.0)</f>
        <v>5180</v>
      </c>
      <c r="E47" s="5">
        <f>IFERROR(__xludf.DUMMYFUNCTION("""COMPUTED_VALUE"""),5295.75)</f>
        <v>5295.75</v>
      </c>
      <c r="F47" s="5">
        <f>IFERROR(__xludf.DUMMYFUNCTION("""COMPUTED_VALUE"""),704108.0)</f>
        <v>704108</v>
      </c>
    </row>
    <row r="48">
      <c r="A48" s="6">
        <f>IFERROR(__xludf.DUMMYFUNCTION("""COMPUTED_VALUE"""),45513.64583333333)</f>
        <v>45513.64583</v>
      </c>
      <c r="B48" s="5">
        <f>IFERROR(__xludf.DUMMYFUNCTION("""COMPUTED_VALUE"""),5200.05)</f>
        <v>5200.05</v>
      </c>
      <c r="C48" s="5">
        <f>IFERROR(__xludf.DUMMYFUNCTION("""COMPUTED_VALUE"""),5848.0)</f>
        <v>5848</v>
      </c>
      <c r="D48" s="5">
        <f>IFERROR(__xludf.DUMMYFUNCTION("""COMPUTED_VALUE"""),5164.75)</f>
        <v>5164.75</v>
      </c>
      <c r="E48" s="5">
        <f>IFERROR(__xludf.DUMMYFUNCTION("""COMPUTED_VALUE"""),5796.85)</f>
        <v>5796.85</v>
      </c>
      <c r="F48" s="5">
        <f>IFERROR(__xludf.DUMMYFUNCTION("""COMPUTED_VALUE"""),3135304.0)</f>
        <v>3135304</v>
      </c>
    </row>
    <row r="49">
      <c r="A49" s="6">
        <f>IFERROR(__xludf.DUMMYFUNCTION("""COMPUTED_VALUE"""),45520.64583333333)</f>
        <v>45520.64583</v>
      </c>
      <c r="B49" s="5">
        <f>IFERROR(__xludf.DUMMYFUNCTION("""COMPUTED_VALUE"""),5850.0)</f>
        <v>5850</v>
      </c>
      <c r="C49" s="5">
        <f>IFERROR(__xludf.DUMMYFUNCTION("""COMPUTED_VALUE"""),5850.0)</f>
        <v>5850</v>
      </c>
      <c r="D49" s="5">
        <f>IFERROR(__xludf.DUMMYFUNCTION("""COMPUTED_VALUE"""),5625.6)</f>
        <v>5625.6</v>
      </c>
      <c r="E49" s="5">
        <f>IFERROR(__xludf.DUMMYFUNCTION("""COMPUTED_VALUE"""),5681.95)</f>
        <v>5681.95</v>
      </c>
      <c r="F49" s="5">
        <f>IFERROR(__xludf.DUMMYFUNCTION("""COMPUTED_VALUE"""),1242659.0)</f>
        <v>1242659</v>
      </c>
    </row>
    <row r="50">
      <c r="A50" s="6">
        <f>IFERROR(__xludf.DUMMYFUNCTION("""COMPUTED_VALUE"""),45527.64583333333)</f>
        <v>45527.64583</v>
      </c>
      <c r="B50" s="5">
        <f>IFERROR(__xludf.DUMMYFUNCTION("""COMPUTED_VALUE"""),5722.15)</f>
        <v>5722.15</v>
      </c>
      <c r="C50" s="5">
        <f>IFERROR(__xludf.DUMMYFUNCTION("""COMPUTED_VALUE"""),5864.55)</f>
        <v>5864.55</v>
      </c>
      <c r="D50" s="5">
        <f>IFERROR(__xludf.DUMMYFUNCTION("""COMPUTED_VALUE"""),5677.35)</f>
        <v>5677.35</v>
      </c>
      <c r="E50" s="5">
        <f>IFERROR(__xludf.DUMMYFUNCTION("""COMPUTED_VALUE"""),5753.85)</f>
        <v>5753.85</v>
      </c>
      <c r="F50" s="5">
        <f>IFERROR(__xludf.DUMMYFUNCTION("""COMPUTED_VALUE"""),1434059.0)</f>
        <v>1434059</v>
      </c>
    </row>
    <row r="51">
      <c r="A51" s="6">
        <f>IFERROR(__xludf.DUMMYFUNCTION("""COMPUTED_VALUE"""),45534.64583333333)</f>
        <v>45534.64583</v>
      </c>
      <c r="B51" s="5">
        <f>IFERROR(__xludf.DUMMYFUNCTION("""COMPUTED_VALUE"""),5795.15)</f>
        <v>5795.15</v>
      </c>
      <c r="C51" s="5">
        <f>IFERROR(__xludf.DUMMYFUNCTION("""COMPUTED_VALUE"""),6199.9)</f>
        <v>6199.9</v>
      </c>
      <c r="D51" s="5">
        <f>IFERROR(__xludf.DUMMYFUNCTION("""COMPUTED_VALUE"""),5700.0)</f>
        <v>5700</v>
      </c>
      <c r="E51" s="5">
        <f>IFERROR(__xludf.DUMMYFUNCTION("""COMPUTED_VALUE"""),6170.35)</f>
        <v>6170.35</v>
      </c>
      <c r="F51" s="5">
        <f>IFERROR(__xludf.DUMMYFUNCTION("""COMPUTED_VALUE"""),1686611.0)</f>
        <v>1686611</v>
      </c>
    </row>
    <row r="52">
      <c r="A52" s="6">
        <f>IFERROR(__xludf.DUMMYFUNCTION("""COMPUTED_VALUE"""),45541.64583333333)</f>
        <v>45541.64583</v>
      </c>
      <c r="B52" s="5">
        <f>IFERROR(__xludf.DUMMYFUNCTION("""COMPUTED_VALUE"""),6174.95)</f>
        <v>6174.95</v>
      </c>
      <c r="C52" s="5">
        <f>IFERROR(__xludf.DUMMYFUNCTION("""COMPUTED_VALUE"""),6346.7)</f>
        <v>6346.7</v>
      </c>
      <c r="D52" s="5">
        <f>IFERROR(__xludf.DUMMYFUNCTION("""COMPUTED_VALUE"""),6040.05)</f>
        <v>6040.05</v>
      </c>
      <c r="E52" s="5">
        <f>IFERROR(__xludf.DUMMYFUNCTION("""COMPUTED_VALUE"""),6309.95)</f>
        <v>6309.95</v>
      </c>
      <c r="F52" s="5">
        <f>IFERROR(__xludf.DUMMYFUNCTION("""COMPUTED_VALUE"""),1105594.0)</f>
        <v>1105594</v>
      </c>
    </row>
    <row r="53">
      <c r="A53" s="6">
        <f>IFERROR(__xludf.DUMMYFUNCTION("""COMPUTED_VALUE"""),45548.64583333333)</f>
        <v>45548.64583</v>
      </c>
      <c r="B53" s="5">
        <f>IFERROR(__xludf.DUMMYFUNCTION("""COMPUTED_VALUE"""),6310.45)</f>
        <v>6310.45</v>
      </c>
      <c r="C53" s="5">
        <f>IFERROR(__xludf.DUMMYFUNCTION("""COMPUTED_VALUE"""),6439.9)</f>
        <v>6439.9</v>
      </c>
      <c r="D53" s="5">
        <f>IFERROR(__xludf.DUMMYFUNCTION("""COMPUTED_VALUE"""),6250.4)</f>
        <v>6250.4</v>
      </c>
      <c r="E53" s="5">
        <f>IFERROR(__xludf.DUMMYFUNCTION("""COMPUTED_VALUE"""),6366.25)</f>
        <v>6366.25</v>
      </c>
      <c r="F53" s="5">
        <f>IFERROR(__xludf.DUMMYFUNCTION("""COMPUTED_VALUE"""),956927.0)</f>
        <v>956927</v>
      </c>
    </row>
    <row r="54">
      <c r="A54" s="6">
        <f>IFERROR(__xludf.DUMMYFUNCTION("""COMPUTED_VALUE"""),45555.64583333333)</f>
        <v>45555.64583</v>
      </c>
      <c r="B54" s="5">
        <f>IFERROR(__xludf.DUMMYFUNCTION("""COMPUTED_VALUE"""),6369.0)</f>
        <v>6369</v>
      </c>
      <c r="C54" s="5">
        <f>IFERROR(__xludf.DUMMYFUNCTION("""COMPUTED_VALUE"""),6411.25)</f>
        <v>6411.25</v>
      </c>
      <c r="D54" s="5">
        <f>IFERROR(__xludf.DUMMYFUNCTION("""COMPUTED_VALUE"""),6042.5)</f>
        <v>6042.5</v>
      </c>
      <c r="E54" s="5">
        <f>IFERROR(__xludf.DUMMYFUNCTION("""COMPUTED_VALUE"""),6086.75)</f>
        <v>6086.75</v>
      </c>
      <c r="F54" s="5">
        <f>IFERROR(__xludf.DUMMYFUNCTION("""COMPUTED_VALUE"""),677814.0)</f>
        <v>677814</v>
      </c>
    </row>
    <row r="55">
      <c r="A55" s="6">
        <f>IFERROR(__xludf.DUMMYFUNCTION("""COMPUTED_VALUE"""),45562.64583333333)</f>
        <v>45562.64583</v>
      </c>
      <c r="B55" s="5">
        <f>IFERROR(__xludf.DUMMYFUNCTION("""COMPUTED_VALUE"""),6111.0)</f>
        <v>6111</v>
      </c>
      <c r="C55" s="5">
        <f>IFERROR(__xludf.DUMMYFUNCTION("""COMPUTED_VALUE"""),6264.0)</f>
        <v>6264</v>
      </c>
      <c r="D55" s="5">
        <f>IFERROR(__xludf.DUMMYFUNCTION("""COMPUTED_VALUE"""),5966.05)</f>
        <v>5966.05</v>
      </c>
      <c r="E55" s="5">
        <f>IFERROR(__xludf.DUMMYFUNCTION("""COMPUTED_VALUE"""),6184.6)</f>
        <v>6184.6</v>
      </c>
      <c r="F55" s="5">
        <f>IFERROR(__xludf.DUMMYFUNCTION("""COMPUTED_VALUE"""),939364.0)</f>
        <v>939364</v>
      </c>
    </row>
    <row r="56">
      <c r="A56" s="6">
        <f>IFERROR(__xludf.DUMMYFUNCTION("""COMPUTED_VALUE"""),45569.64583333333)</f>
        <v>45569.64583</v>
      </c>
      <c r="B56" s="5">
        <f>IFERROR(__xludf.DUMMYFUNCTION("""COMPUTED_VALUE"""),6184.6)</f>
        <v>6184.6</v>
      </c>
      <c r="C56" s="5">
        <f>IFERROR(__xludf.DUMMYFUNCTION("""COMPUTED_VALUE"""),6320.0)</f>
        <v>6320</v>
      </c>
      <c r="D56" s="5">
        <f>IFERROR(__xludf.DUMMYFUNCTION("""COMPUTED_VALUE"""),6030.6)</f>
        <v>6030.6</v>
      </c>
      <c r="E56" s="5">
        <f>IFERROR(__xludf.DUMMYFUNCTION("""COMPUTED_VALUE"""),6194.15)</f>
        <v>6194.15</v>
      </c>
      <c r="F56" s="5">
        <f>IFERROR(__xludf.DUMMYFUNCTION("""COMPUTED_VALUE"""),910786.0)</f>
        <v>910786</v>
      </c>
    </row>
    <row r="57">
      <c r="A57" s="6">
        <f>IFERROR(__xludf.DUMMYFUNCTION("""COMPUTED_VALUE"""),45576.64583333333)</f>
        <v>45576.64583</v>
      </c>
      <c r="B57" s="5">
        <f>IFERROR(__xludf.DUMMYFUNCTION("""COMPUTED_VALUE"""),6230.0)</f>
        <v>6230</v>
      </c>
      <c r="C57" s="5">
        <f>IFERROR(__xludf.DUMMYFUNCTION("""COMPUTED_VALUE"""),6375.55)</f>
        <v>6375.55</v>
      </c>
      <c r="D57" s="5">
        <f>IFERROR(__xludf.DUMMYFUNCTION("""COMPUTED_VALUE"""),6071.4)</f>
        <v>6071.4</v>
      </c>
      <c r="E57" s="5">
        <f>IFERROR(__xludf.DUMMYFUNCTION("""COMPUTED_VALUE"""),6191.3)</f>
        <v>6191.3</v>
      </c>
      <c r="F57" s="5">
        <f>IFERROR(__xludf.DUMMYFUNCTION("""COMPUTED_VALUE"""),798969.0)</f>
        <v>798969</v>
      </c>
    </row>
    <row r="58">
      <c r="A58" s="6">
        <f>IFERROR(__xludf.DUMMYFUNCTION("""COMPUTED_VALUE"""),45583.64583333333)</f>
        <v>45583.64583</v>
      </c>
      <c r="B58" s="5">
        <f>IFERROR(__xludf.DUMMYFUNCTION("""COMPUTED_VALUE"""),6191.3)</f>
        <v>6191.3</v>
      </c>
      <c r="C58" s="5">
        <f>IFERROR(__xludf.DUMMYFUNCTION("""COMPUTED_VALUE"""),6318.55)</f>
        <v>6318.55</v>
      </c>
      <c r="D58" s="5">
        <f>IFERROR(__xludf.DUMMYFUNCTION("""COMPUTED_VALUE"""),5998.0)</f>
        <v>5998</v>
      </c>
      <c r="E58" s="5">
        <f>IFERROR(__xludf.DUMMYFUNCTION("""COMPUTED_VALUE"""),6132.75)</f>
        <v>6132.75</v>
      </c>
      <c r="F58" s="5">
        <f>IFERROR(__xludf.DUMMYFUNCTION("""COMPUTED_VALUE"""),823362.0)</f>
        <v>823362</v>
      </c>
    </row>
    <row r="59">
      <c r="A59" s="6">
        <f>IFERROR(__xludf.DUMMYFUNCTION("""COMPUTED_VALUE"""),45590.64583333333)</f>
        <v>45590.64583</v>
      </c>
      <c r="B59" s="5">
        <f>IFERROR(__xludf.DUMMYFUNCTION("""COMPUTED_VALUE"""),6170.0)</f>
        <v>6170</v>
      </c>
      <c r="C59" s="5">
        <f>IFERROR(__xludf.DUMMYFUNCTION("""COMPUTED_VALUE"""),6250.0)</f>
        <v>6250</v>
      </c>
      <c r="D59" s="5">
        <f>IFERROR(__xludf.DUMMYFUNCTION("""COMPUTED_VALUE"""),5805.0)</f>
        <v>5805</v>
      </c>
      <c r="E59" s="5">
        <f>IFERROR(__xludf.DUMMYFUNCTION("""COMPUTED_VALUE"""),5942.55)</f>
        <v>5942.55</v>
      </c>
      <c r="F59" s="5">
        <f>IFERROR(__xludf.DUMMYFUNCTION("""COMPUTED_VALUE"""),1021051.0)</f>
        <v>1021051</v>
      </c>
    </row>
    <row r="60">
      <c r="A60" s="6">
        <f>IFERROR(__xludf.DUMMYFUNCTION("""COMPUTED_VALUE"""),45604.64583333333)</f>
        <v>45604.64583</v>
      </c>
      <c r="B60" s="5">
        <f>IFERROR(__xludf.DUMMYFUNCTION("""COMPUTED_VALUE"""),5762.4)</f>
        <v>5762.4</v>
      </c>
      <c r="C60" s="5">
        <f>IFERROR(__xludf.DUMMYFUNCTION("""COMPUTED_VALUE"""),5958.9)</f>
        <v>5958.9</v>
      </c>
      <c r="D60" s="5">
        <f>IFERROR(__xludf.DUMMYFUNCTION("""COMPUTED_VALUE"""),5620.1)</f>
        <v>5620.1</v>
      </c>
      <c r="E60" s="5">
        <f>IFERROR(__xludf.DUMMYFUNCTION("""COMPUTED_VALUE"""),5706.5)</f>
        <v>5706.5</v>
      </c>
      <c r="F60" s="5">
        <f>IFERROR(__xludf.DUMMYFUNCTION("""COMPUTED_VALUE"""),1204035.0)</f>
        <v>1204035</v>
      </c>
    </row>
    <row r="61">
      <c r="A61" s="6">
        <f>IFERROR(__xludf.DUMMYFUNCTION("""COMPUTED_VALUE"""),45610.64583333333)</f>
        <v>45610.64583</v>
      </c>
      <c r="B61" s="5">
        <f>IFERROR(__xludf.DUMMYFUNCTION("""COMPUTED_VALUE"""),5712.0)</f>
        <v>5712</v>
      </c>
      <c r="C61" s="5">
        <f>IFERROR(__xludf.DUMMYFUNCTION("""COMPUTED_VALUE"""),5745.1)</f>
        <v>5745.1</v>
      </c>
      <c r="D61" s="5">
        <f>IFERROR(__xludf.DUMMYFUNCTION("""COMPUTED_VALUE"""),5361.05)</f>
        <v>5361.05</v>
      </c>
      <c r="E61" s="5">
        <f>IFERROR(__xludf.DUMMYFUNCTION("""COMPUTED_VALUE"""),5524.95)</f>
        <v>5524.95</v>
      </c>
      <c r="F61" s="5">
        <f>IFERROR(__xludf.DUMMYFUNCTION("""COMPUTED_VALUE"""),1503255.0)</f>
        <v>1503255</v>
      </c>
    </row>
    <row r="62">
      <c r="A62" s="6">
        <f>IFERROR(__xludf.DUMMYFUNCTION("""COMPUTED_VALUE"""),45618.64583333333)</f>
        <v>45618.64583</v>
      </c>
      <c r="B62" s="5">
        <f>IFERROR(__xludf.DUMMYFUNCTION("""COMPUTED_VALUE"""),5550.0)</f>
        <v>5550</v>
      </c>
      <c r="C62" s="5">
        <f>IFERROR(__xludf.DUMMYFUNCTION("""COMPUTED_VALUE"""),5665.0)</f>
        <v>5665</v>
      </c>
      <c r="D62" s="5">
        <f>IFERROR(__xludf.DUMMYFUNCTION("""COMPUTED_VALUE"""),5463.0)</f>
        <v>5463</v>
      </c>
      <c r="E62" s="5">
        <f>IFERROR(__xludf.DUMMYFUNCTION("""COMPUTED_VALUE"""),5583.35)</f>
        <v>5583.35</v>
      </c>
      <c r="F62" s="5">
        <f>IFERROR(__xludf.DUMMYFUNCTION("""COMPUTED_VALUE"""),1174651.0)</f>
        <v>1174651</v>
      </c>
    </row>
    <row r="63">
      <c r="A63" s="6">
        <f>IFERROR(__xludf.DUMMYFUNCTION("""COMPUTED_VALUE"""),45625.64583333333)</f>
        <v>45625.64583</v>
      </c>
      <c r="B63" s="5">
        <f>IFERROR(__xludf.DUMMYFUNCTION("""COMPUTED_VALUE"""),5699.0)</f>
        <v>5699</v>
      </c>
      <c r="C63" s="5">
        <f>IFERROR(__xludf.DUMMYFUNCTION("""COMPUTED_VALUE"""),5718.5)</f>
        <v>5718.5</v>
      </c>
      <c r="D63" s="5">
        <f>IFERROR(__xludf.DUMMYFUNCTION("""COMPUTED_VALUE"""),5374.2)</f>
        <v>5374.2</v>
      </c>
      <c r="E63" s="5">
        <f>IFERROR(__xludf.DUMMYFUNCTION("""COMPUTED_VALUE"""),5642.45)</f>
        <v>5642.45</v>
      </c>
      <c r="F63" s="5">
        <f>IFERROR(__xludf.DUMMYFUNCTION("""COMPUTED_VALUE"""),6883129.0)</f>
        <v>6883129</v>
      </c>
    </row>
    <row r="64">
      <c r="A64" s="6">
        <f>IFERROR(__xludf.DUMMYFUNCTION("""COMPUTED_VALUE"""),45632.64583333333)</f>
        <v>45632.64583</v>
      </c>
      <c r="B64" s="5">
        <f>IFERROR(__xludf.DUMMYFUNCTION("""COMPUTED_VALUE"""),5658.0)</f>
        <v>5658</v>
      </c>
      <c r="C64" s="5">
        <f>IFERROR(__xludf.DUMMYFUNCTION("""COMPUTED_VALUE"""),5751.0)</f>
        <v>5751</v>
      </c>
      <c r="D64" s="5">
        <f>IFERROR(__xludf.DUMMYFUNCTION("""COMPUTED_VALUE"""),5493.05)</f>
        <v>5493.05</v>
      </c>
      <c r="E64" s="5">
        <f>IFERROR(__xludf.DUMMYFUNCTION("""COMPUTED_VALUE"""),5505.4)</f>
        <v>5505.4</v>
      </c>
      <c r="F64" s="5">
        <f>IFERROR(__xludf.DUMMYFUNCTION("""COMPUTED_VALUE"""),863235.0)</f>
        <v>863235</v>
      </c>
    </row>
    <row r="65">
      <c r="A65" s="6">
        <f>IFERROR(__xludf.DUMMYFUNCTION("""COMPUTED_VALUE"""),45639.64583333333)</f>
        <v>45639.64583</v>
      </c>
      <c r="B65" s="5">
        <f>IFERROR(__xludf.DUMMYFUNCTION("""COMPUTED_VALUE"""),5532.95)</f>
        <v>5532.95</v>
      </c>
      <c r="C65" s="5">
        <f>IFERROR(__xludf.DUMMYFUNCTION("""COMPUTED_VALUE"""),5700.0)</f>
        <v>5700</v>
      </c>
      <c r="D65" s="5">
        <f>IFERROR(__xludf.DUMMYFUNCTION("""COMPUTED_VALUE"""),5341.55)</f>
        <v>5341.55</v>
      </c>
      <c r="E65" s="5">
        <f>IFERROR(__xludf.DUMMYFUNCTION("""COMPUTED_VALUE"""),5372.55)</f>
        <v>5372.55</v>
      </c>
      <c r="F65" s="5">
        <f>IFERROR(__xludf.DUMMYFUNCTION("""COMPUTED_VALUE"""),530685.0)</f>
        <v>530685</v>
      </c>
    </row>
    <row r="66">
      <c r="A66" s="6">
        <f>IFERROR(__xludf.DUMMYFUNCTION("""COMPUTED_VALUE"""),45646.64583333333)</f>
        <v>45646.64583</v>
      </c>
      <c r="B66" s="5">
        <f>IFERROR(__xludf.DUMMYFUNCTION("""COMPUTED_VALUE"""),5353.35)</f>
        <v>5353.35</v>
      </c>
      <c r="C66" s="5">
        <f>IFERROR(__xludf.DUMMYFUNCTION("""COMPUTED_VALUE"""),5543.25)</f>
        <v>5543.25</v>
      </c>
      <c r="D66" s="5">
        <f>IFERROR(__xludf.DUMMYFUNCTION("""COMPUTED_VALUE"""),5351.65)</f>
        <v>5351.65</v>
      </c>
      <c r="E66" s="5">
        <f>IFERROR(__xludf.DUMMYFUNCTION("""COMPUTED_VALUE"""),5427.5)</f>
        <v>5427.5</v>
      </c>
      <c r="F66" s="5">
        <f>IFERROR(__xludf.DUMMYFUNCTION("""COMPUTED_VALUE"""),632946.0)</f>
        <v>632946</v>
      </c>
    </row>
    <row r="67">
      <c r="A67" s="6">
        <f>IFERROR(__xludf.DUMMYFUNCTION("""COMPUTED_VALUE"""),45653.64583333333)</f>
        <v>45653.64583</v>
      </c>
      <c r="B67" s="5">
        <f>IFERROR(__xludf.DUMMYFUNCTION("""COMPUTED_VALUE"""),5431.3)</f>
        <v>5431.3</v>
      </c>
      <c r="C67" s="5">
        <f>IFERROR(__xludf.DUMMYFUNCTION("""COMPUTED_VALUE"""),5515.0)</f>
        <v>5515</v>
      </c>
      <c r="D67" s="5">
        <f>IFERROR(__xludf.DUMMYFUNCTION("""COMPUTED_VALUE"""),5345.05)</f>
        <v>5345.05</v>
      </c>
      <c r="E67" s="5">
        <f>IFERROR(__xludf.DUMMYFUNCTION("""COMPUTED_VALUE"""),5482.7)</f>
        <v>5482.7</v>
      </c>
      <c r="F67" s="5">
        <f>IFERROR(__xludf.DUMMYFUNCTION("""COMPUTED_VALUE"""),270740.0)</f>
        <v>270740</v>
      </c>
    </row>
    <row r="68">
      <c r="A68" s="6">
        <f>IFERROR(__xludf.DUMMYFUNCTION("""COMPUTED_VALUE"""),45660.64583333333)</f>
        <v>45660.64583</v>
      </c>
      <c r="B68" s="5">
        <f>IFERROR(__xludf.DUMMYFUNCTION("""COMPUTED_VALUE"""),5522.85)</f>
        <v>5522.85</v>
      </c>
      <c r="C68" s="5">
        <f>IFERROR(__xludf.DUMMYFUNCTION("""COMPUTED_VALUE"""),5684.65)</f>
        <v>5684.65</v>
      </c>
      <c r="D68" s="5">
        <f>IFERROR(__xludf.DUMMYFUNCTION("""COMPUTED_VALUE"""),5486.05)</f>
        <v>5486.05</v>
      </c>
      <c r="E68" s="5">
        <f>IFERROR(__xludf.DUMMYFUNCTION("""COMPUTED_VALUE"""),5502.65)</f>
        <v>5502.65</v>
      </c>
      <c r="F68" s="5">
        <f>IFERROR(__xludf.DUMMYFUNCTION("""COMPUTED_VALUE"""),532475.0)</f>
        <v>532475</v>
      </c>
    </row>
    <row r="69">
      <c r="A69" s="6">
        <f>IFERROR(__xludf.DUMMYFUNCTION("""COMPUTED_VALUE"""),45667.64583333333)</f>
        <v>45667.64583</v>
      </c>
      <c r="B69" s="5">
        <f>IFERROR(__xludf.DUMMYFUNCTION("""COMPUTED_VALUE"""),5476.15)</f>
        <v>5476.15</v>
      </c>
      <c r="C69" s="5">
        <f>IFERROR(__xludf.DUMMYFUNCTION("""COMPUTED_VALUE"""),5669.9)</f>
        <v>5669.9</v>
      </c>
      <c r="D69" s="5">
        <f>IFERROR(__xludf.DUMMYFUNCTION("""COMPUTED_VALUE"""),5311.65)</f>
        <v>5311.65</v>
      </c>
      <c r="E69" s="5">
        <f>IFERROR(__xludf.DUMMYFUNCTION("""COMPUTED_VALUE"""),5376.05)</f>
        <v>5376.05</v>
      </c>
      <c r="F69" s="5">
        <f>IFERROR(__xludf.DUMMYFUNCTION("""COMPUTED_VALUE"""),490095.0)</f>
        <v>490095</v>
      </c>
    </row>
    <row r="70">
      <c r="A70" s="6">
        <f>IFERROR(__xludf.DUMMYFUNCTION("""COMPUTED_VALUE"""),45674.64583333333)</f>
        <v>45674.64583</v>
      </c>
      <c r="B70" s="5">
        <f>IFERROR(__xludf.DUMMYFUNCTION("""COMPUTED_VALUE"""),5301.0)</f>
        <v>5301</v>
      </c>
      <c r="C70" s="5">
        <f>IFERROR(__xludf.DUMMYFUNCTION("""COMPUTED_VALUE"""),5461.0)</f>
        <v>5461</v>
      </c>
      <c r="D70" s="5">
        <f>IFERROR(__xludf.DUMMYFUNCTION("""COMPUTED_VALUE"""),5143.0)</f>
        <v>5143</v>
      </c>
      <c r="E70" s="5">
        <f>IFERROR(__xludf.DUMMYFUNCTION("""COMPUTED_VALUE"""),5255.85)</f>
        <v>5255.85</v>
      </c>
      <c r="F70" s="5">
        <f>IFERROR(__xludf.DUMMYFUNCTION("""COMPUTED_VALUE"""),421282.0)</f>
        <v>421282</v>
      </c>
    </row>
    <row r="71">
      <c r="A71" s="6">
        <f>IFERROR(__xludf.DUMMYFUNCTION("""COMPUTED_VALUE"""),45681.64583333333)</f>
        <v>45681.64583</v>
      </c>
      <c r="B71" s="5">
        <f>IFERROR(__xludf.DUMMYFUNCTION("""COMPUTED_VALUE"""),5260.65)</f>
        <v>5260.65</v>
      </c>
      <c r="C71" s="5">
        <f>IFERROR(__xludf.DUMMYFUNCTION("""COMPUTED_VALUE"""),5299.0)</f>
        <v>5299</v>
      </c>
      <c r="D71" s="5">
        <f>IFERROR(__xludf.DUMMYFUNCTION("""COMPUTED_VALUE"""),4999.0)</f>
        <v>4999</v>
      </c>
      <c r="E71" s="5">
        <f>IFERROR(__xludf.DUMMYFUNCTION("""COMPUTED_VALUE"""),5022.7)</f>
        <v>5022.7</v>
      </c>
      <c r="F71" s="5">
        <f>IFERROR(__xludf.DUMMYFUNCTION("""COMPUTED_VALUE"""),361322.0)</f>
        <v>361322</v>
      </c>
    </row>
    <row r="72">
      <c r="A72" s="6">
        <f>IFERROR(__xludf.DUMMYFUNCTION("""COMPUTED_VALUE"""),45695.64583333333)</f>
        <v>45695.64583</v>
      </c>
      <c r="B72" s="5">
        <f>IFERROR(__xludf.DUMMYFUNCTION("""COMPUTED_VALUE"""),5022.65)</f>
        <v>5022.65</v>
      </c>
      <c r="C72" s="5">
        <f>IFERROR(__xludf.DUMMYFUNCTION("""COMPUTED_VALUE"""),5318.0)</f>
        <v>5318</v>
      </c>
      <c r="D72" s="5">
        <f>IFERROR(__xludf.DUMMYFUNCTION("""COMPUTED_VALUE"""),4977.6)</f>
        <v>4977.6</v>
      </c>
      <c r="E72" s="5">
        <f>IFERROR(__xludf.DUMMYFUNCTION("""COMPUTED_VALUE"""),5151.35)</f>
        <v>5151.35</v>
      </c>
      <c r="F72" s="5">
        <f>IFERROR(__xludf.DUMMYFUNCTION("""COMPUTED_VALUE"""),848907.0)</f>
        <v>848907</v>
      </c>
    </row>
    <row r="73">
      <c r="A73" s="6">
        <f>IFERROR(__xludf.DUMMYFUNCTION("""COMPUTED_VALUE"""),45702.64583333333)</f>
        <v>45702.64583</v>
      </c>
      <c r="B73" s="5">
        <f>IFERROR(__xludf.DUMMYFUNCTION("""COMPUTED_VALUE"""),5095.05)</f>
        <v>5095.05</v>
      </c>
      <c r="C73" s="5">
        <f>IFERROR(__xludf.DUMMYFUNCTION("""COMPUTED_VALUE"""),5095.05)</f>
        <v>5095.05</v>
      </c>
      <c r="D73" s="5">
        <f>IFERROR(__xludf.DUMMYFUNCTION("""COMPUTED_VALUE"""),4562.65)</f>
        <v>4562.65</v>
      </c>
      <c r="E73" s="5">
        <f>IFERROR(__xludf.DUMMYFUNCTION("""COMPUTED_VALUE"""),4651.5)</f>
        <v>4651.5</v>
      </c>
      <c r="F73" s="5">
        <f>IFERROR(__xludf.DUMMYFUNCTION("""COMPUTED_VALUE"""),1728360.0)</f>
        <v>1728360</v>
      </c>
    </row>
    <row r="74">
      <c r="A74" s="6">
        <f>IFERROR(__xludf.DUMMYFUNCTION("""COMPUTED_VALUE"""),45709.64583333333)</f>
        <v>45709.64583</v>
      </c>
      <c r="B74" s="5">
        <f>IFERROR(__xludf.DUMMYFUNCTION("""COMPUTED_VALUE"""),4655.0)</f>
        <v>4655</v>
      </c>
      <c r="C74" s="5">
        <f>IFERROR(__xludf.DUMMYFUNCTION("""COMPUTED_VALUE"""),4806.0)</f>
        <v>4806</v>
      </c>
      <c r="D74" s="5">
        <f>IFERROR(__xludf.DUMMYFUNCTION("""COMPUTED_VALUE"""),4570.0)</f>
        <v>4570</v>
      </c>
      <c r="E74" s="5">
        <f>IFERROR(__xludf.DUMMYFUNCTION("""COMPUTED_VALUE"""),4601.25)</f>
        <v>4601.25</v>
      </c>
      <c r="F74" s="5">
        <f>IFERROR(__xludf.DUMMYFUNCTION("""COMPUTED_VALUE"""),930027.0)</f>
        <v>930027</v>
      </c>
    </row>
    <row r="75">
      <c r="A75" s="6">
        <f>IFERROR(__xludf.DUMMYFUNCTION("""COMPUTED_VALUE"""),45716.64583333333)</f>
        <v>45716.64583</v>
      </c>
      <c r="B75" s="5">
        <f>IFERROR(__xludf.DUMMYFUNCTION("""COMPUTED_VALUE"""),4590.0)</f>
        <v>4590</v>
      </c>
      <c r="C75" s="5">
        <f>IFERROR(__xludf.DUMMYFUNCTION("""COMPUTED_VALUE"""),4785.15)</f>
        <v>4785.15</v>
      </c>
      <c r="D75" s="5">
        <f>IFERROR(__xludf.DUMMYFUNCTION("""COMPUTED_VALUE"""),4491.65)</f>
        <v>4491.65</v>
      </c>
      <c r="E75" s="5">
        <f>IFERROR(__xludf.DUMMYFUNCTION("""COMPUTED_VALUE"""),4646.2)</f>
        <v>4646.2</v>
      </c>
      <c r="F75" s="5">
        <f>IFERROR(__xludf.DUMMYFUNCTION("""COMPUTED_VALUE"""),975803.0)</f>
        <v>975803</v>
      </c>
    </row>
    <row r="76">
      <c r="A76" s="6">
        <f>IFERROR(__xludf.DUMMYFUNCTION("""COMPUTED_VALUE"""),45723.64583333333)</f>
        <v>45723.64583</v>
      </c>
      <c r="B76" s="5">
        <f>IFERROR(__xludf.DUMMYFUNCTION("""COMPUTED_VALUE"""),4601.0)</f>
        <v>4601</v>
      </c>
      <c r="C76" s="5">
        <f>IFERROR(__xludf.DUMMYFUNCTION("""COMPUTED_VALUE"""),4782.35)</f>
        <v>4782.35</v>
      </c>
      <c r="D76" s="5">
        <f>IFERROR(__xludf.DUMMYFUNCTION("""COMPUTED_VALUE"""),4523.0)</f>
        <v>4523</v>
      </c>
      <c r="E76" s="5">
        <f>IFERROR(__xludf.DUMMYFUNCTION("""COMPUTED_VALUE"""),4738.05)</f>
        <v>4738.05</v>
      </c>
      <c r="F76" s="5">
        <f>IFERROR(__xludf.DUMMYFUNCTION("""COMPUTED_VALUE"""),772949.0)</f>
        <v>772949</v>
      </c>
    </row>
    <row r="77">
      <c r="A77" s="6">
        <f>IFERROR(__xludf.DUMMYFUNCTION("""COMPUTED_VALUE"""),45729.64583333333)</f>
        <v>45729.64583</v>
      </c>
      <c r="B77" s="5">
        <f>IFERROR(__xludf.DUMMYFUNCTION("""COMPUTED_VALUE"""),4738.0)</f>
        <v>4738</v>
      </c>
      <c r="C77" s="5">
        <f>IFERROR(__xludf.DUMMYFUNCTION("""COMPUTED_VALUE"""),4805.9)</f>
        <v>4805.9</v>
      </c>
      <c r="D77" s="5">
        <f>IFERROR(__xludf.DUMMYFUNCTION("""COMPUTED_VALUE"""),4608.0)</f>
        <v>4608</v>
      </c>
      <c r="E77" s="5">
        <f>IFERROR(__xludf.DUMMYFUNCTION("""COMPUTED_VALUE"""),4706.95)</f>
        <v>4706.95</v>
      </c>
      <c r="F77" s="5">
        <f>IFERROR(__xludf.DUMMYFUNCTION("""COMPUTED_VALUE"""),359961.0)</f>
        <v>359961</v>
      </c>
    </row>
    <row r="78">
      <c r="A78" s="6">
        <f>IFERROR(__xludf.DUMMYFUNCTION("""COMPUTED_VALUE"""),45737.64583333333)</f>
        <v>45737.64583</v>
      </c>
      <c r="B78" s="5">
        <f>IFERROR(__xludf.DUMMYFUNCTION("""COMPUTED_VALUE"""),4870.0)</f>
        <v>4870</v>
      </c>
      <c r="C78" s="5">
        <f>IFERROR(__xludf.DUMMYFUNCTION("""COMPUTED_VALUE"""),5016.75)</f>
        <v>5016.75</v>
      </c>
      <c r="D78" s="5">
        <f>IFERROR(__xludf.DUMMYFUNCTION("""COMPUTED_VALUE"""),4789.0)</f>
        <v>4789</v>
      </c>
      <c r="E78" s="5">
        <f>IFERROR(__xludf.DUMMYFUNCTION("""COMPUTED_VALUE"""),4979.0)</f>
        <v>4979</v>
      </c>
      <c r="F78" s="5">
        <f>IFERROR(__xludf.DUMMYFUNCTION("""COMPUTED_VALUE"""),383768.0)</f>
        <v>383768</v>
      </c>
    </row>
    <row r="79">
      <c r="A79" s="6">
        <f>IFERROR(__xludf.DUMMYFUNCTION("""COMPUTED_VALUE"""),45744.64583333333)</f>
        <v>45744.64583</v>
      </c>
      <c r="B79" s="5">
        <f>IFERROR(__xludf.DUMMYFUNCTION("""COMPUTED_VALUE"""),5015.0)</f>
        <v>5015</v>
      </c>
      <c r="C79" s="5">
        <f>IFERROR(__xludf.DUMMYFUNCTION("""COMPUTED_VALUE"""),5092.4)</f>
        <v>5092.4</v>
      </c>
      <c r="D79" s="5">
        <f>IFERROR(__xludf.DUMMYFUNCTION("""COMPUTED_VALUE"""),4848.0)</f>
        <v>4848</v>
      </c>
      <c r="E79" s="5">
        <f>IFERROR(__xludf.DUMMYFUNCTION("""COMPUTED_VALUE"""),4881.7)</f>
        <v>4881.7</v>
      </c>
      <c r="F79" s="5">
        <f>IFERROR(__xludf.DUMMYFUNCTION("""COMPUTED_VALUE"""),536563.0)</f>
        <v>536563</v>
      </c>
    </row>
    <row r="80">
      <c r="A80" s="6">
        <f>IFERROR(__xludf.DUMMYFUNCTION("""COMPUTED_VALUE"""),45751.64583333333)</f>
        <v>45751.64583</v>
      </c>
      <c r="B80" s="5">
        <f>IFERROR(__xludf.DUMMYFUNCTION("""COMPUTED_VALUE"""),4889.95)</f>
        <v>4889.95</v>
      </c>
      <c r="C80" s="5">
        <f>IFERROR(__xludf.DUMMYFUNCTION("""COMPUTED_VALUE"""),5012.95)</f>
        <v>5012.95</v>
      </c>
      <c r="D80" s="5">
        <f>IFERROR(__xludf.DUMMYFUNCTION("""COMPUTED_VALUE"""),4738.55)</f>
        <v>4738.55</v>
      </c>
      <c r="E80" s="5">
        <f>IFERROR(__xludf.DUMMYFUNCTION("""COMPUTED_VALUE"""),4828.7)</f>
        <v>4828.7</v>
      </c>
      <c r="F80" s="5">
        <f>IFERROR(__xludf.DUMMYFUNCTION("""COMPUTED_VALUE"""),385360.0)</f>
        <v>385360</v>
      </c>
    </row>
    <row r="81">
      <c r="A81" s="6">
        <f>IFERROR(__xludf.DUMMYFUNCTION("""COMPUTED_VALUE"""),45758.64583333333)</f>
        <v>45758.64583</v>
      </c>
      <c r="B81" s="5">
        <f>IFERROR(__xludf.DUMMYFUNCTION("""COMPUTED_VALUE"""),4623.0)</f>
        <v>4623</v>
      </c>
      <c r="C81" s="5">
        <f>IFERROR(__xludf.DUMMYFUNCTION("""COMPUTED_VALUE"""),4909.35)</f>
        <v>4909.35</v>
      </c>
      <c r="D81" s="5">
        <f>IFERROR(__xludf.DUMMYFUNCTION("""COMPUTED_VALUE"""),4611.85)</f>
        <v>4611.85</v>
      </c>
      <c r="E81" s="5">
        <f>IFERROR(__xludf.DUMMYFUNCTION("""COMPUTED_VALUE"""),4887.45)</f>
        <v>4887.45</v>
      </c>
      <c r="F81" s="5">
        <f>IFERROR(__xludf.DUMMYFUNCTION("""COMPUTED_VALUE"""),341458.0)</f>
        <v>341458</v>
      </c>
    </row>
    <row r="82">
      <c r="A82" s="6">
        <f>IFERROR(__xludf.DUMMYFUNCTION("""COMPUTED_VALUE"""),45764.64583333333)</f>
        <v>45764.64583</v>
      </c>
      <c r="B82" s="5">
        <f>IFERROR(__xludf.DUMMYFUNCTION("""COMPUTED_VALUE"""),4900.0)</f>
        <v>4900</v>
      </c>
      <c r="C82" s="5">
        <f>IFERROR(__xludf.DUMMYFUNCTION("""COMPUTED_VALUE"""),4989.5)</f>
        <v>4989.5</v>
      </c>
      <c r="D82" s="5">
        <f>IFERROR(__xludf.DUMMYFUNCTION("""COMPUTED_VALUE"""),4852.0)</f>
        <v>4852</v>
      </c>
      <c r="E82" s="5">
        <f>IFERROR(__xludf.DUMMYFUNCTION("""COMPUTED_VALUE"""),4953.3)</f>
        <v>4953.3</v>
      </c>
      <c r="F82" s="5">
        <f>IFERROR(__xludf.DUMMYFUNCTION("""COMPUTED_VALUE"""),207758.0)</f>
        <v>207758</v>
      </c>
    </row>
    <row r="83">
      <c r="A83" s="6">
        <f>IFERROR(__xludf.DUMMYFUNCTION("""COMPUTED_VALUE"""),45772.64583333333)</f>
        <v>45772.64583</v>
      </c>
      <c r="B83" s="5">
        <f>IFERROR(__xludf.DUMMYFUNCTION("""COMPUTED_VALUE"""),4960.0)</f>
        <v>4960</v>
      </c>
      <c r="C83" s="5">
        <f>IFERROR(__xludf.DUMMYFUNCTION("""COMPUTED_VALUE"""),5299.0)</f>
        <v>5299</v>
      </c>
      <c r="D83" s="5">
        <f>IFERROR(__xludf.DUMMYFUNCTION("""COMPUTED_VALUE"""),4921.0)</f>
        <v>4921</v>
      </c>
      <c r="E83" s="5">
        <f>IFERROR(__xludf.DUMMYFUNCTION("""COMPUTED_VALUE"""),5033.5)</f>
        <v>5033.5</v>
      </c>
      <c r="F83" s="5">
        <f>IFERROR(__xludf.DUMMYFUNCTION("""COMPUTED_VALUE"""),520270.0)</f>
        <v>520270</v>
      </c>
    </row>
    <row r="84">
      <c r="A84" s="6">
        <f>IFERROR(__xludf.DUMMYFUNCTION("""COMPUTED_VALUE"""),45779.64583333333)</f>
        <v>45779.64583</v>
      </c>
      <c r="B84" s="5">
        <f>IFERROR(__xludf.DUMMYFUNCTION("""COMPUTED_VALUE"""),4999.0)</f>
        <v>4999</v>
      </c>
      <c r="C84" s="5">
        <f>IFERROR(__xludf.DUMMYFUNCTION("""COMPUTED_VALUE"""),5165.9)</f>
        <v>5165.9</v>
      </c>
      <c r="D84" s="5">
        <f>IFERROR(__xludf.DUMMYFUNCTION("""COMPUTED_VALUE"""),4960.7)</f>
        <v>4960.7</v>
      </c>
      <c r="E84" s="5">
        <f>IFERROR(__xludf.DUMMYFUNCTION("""COMPUTED_VALUE"""),5076.0)</f>
        <v>5076</v>
      </c>
      <c r="F84" s="5">
        <f>IFERROR(__xludf.DUMMYFUNCTION("""COMPUTED_VALUE"""),253160.0)</f>
        <v>253160</v>
      </c>
    </row>
    <row r="85">
      <c r="A85" s="6">
        <f>IFERROR(__xludf.DUMMYFUNCTION("""COMPUTED_VALUE"""),45786.64583333333)</f>
        <v>45786.64583</v>
      </c>
      <c r="B85" s="5">
        <f>IFERROR(__xludf.DUMMYFUNCTION("""COMPUTED_VALUE"""),5050.0)</f>
        <v>5050</v>
      </c>
      <c r="C85" s="5">
        <f>IFERROR(__xludf.DUMMYFUNCTION("""COMPUTED_VALUE"""),5150.0)</f>
        <v>5150</v>
      </c>
      <c r="D85" s="5">
        <f>IFERROR(__xludf.DUMMYFUNCTION("""COMPUTED_VALUE"""),4850.0)</f>
        <v>4850</v>
      </c>
      <c r="E85" s="5">
        <f>IFERROR(__xludf.DUMMYFUNCTION("""COMPUTED_VALUE"""),4946.5)</f>
        <v>4946.5</v>
      </c>
      <c r="F85" s="5">
        <f>IFERROR(__xludf.DUMMYFUNCTION("""COMPUTED_VALUE"""),306424.0)</f>
        <v>306424</v>
      </c>
    </row>
    <row r="86">
      <c r="A86" s="6">
        <f>IFERROR(__xludf.DUMMYFUNCTION("""COMPUTED_VALUE"""),45793.64583333333)</f>
        <v>45793.64583</v>
      </c>
      <c r="B86" s="5">
        <f>IFERROR(__xludf.DUMMYFUNCTION("""COMPUTED_VALUE"""),4969.0)</f>
        <v>4969</v>
      </c>
      <c r="C86" s="5">
        <f>IFERROR(__xludf.DUMMYFUNCTION("""COMPUTED_VALUE"""),5320.5)</f>
        <v>5320.5</v>
      </c>
      <c r="D86" s="5">
        <f>IFERROR(__xludf.DUMMYFUNCTION("""COMPUTED_VALUE"""),4935.0)</f>
        <v>4935</v>
      </c>
      <c r="E86" s="5">
        <f>IFERROR(__xludf.DUMMYFUNCTION("""COMPUTED_VALUE"""),5221.0)</f>
        <v>5221</v>
      </c>
      <c r="F86" s="5">
        <f>IFERROR(__xludf.DUMMYFUNCTION("""COMPUTED_VALUE"""),521387.0)</f>
        <v>521387</v>
      </c>
    </row>
    <row r="87">
      <c r="A87" s="6">
        <f>IFERROR(__xludf.DUMMYFUNCTION("""COMPUTED_VALUE"""),45800.64583333333)</f>
        <v>45800.64583</v>
      </c>
      <c r="B87" s="5">
        <f>IFERROR(__xludf.DUMMYFUNCTION("""COMPUTED_VALUE"""),5225.0)</f>
        <v>5225</v>
      </c>
      <c r="C87" s="5">
        <f>IFERROR(__xludf.DUMMYFUNCTION("""COMPUTED_VALUE"""),5400.0)</f>
        <v>5400</v>
      </c>
      <c r="D87" s="5">
        <f>IFERROR(__xludf.DUMMYFUNCTION("""COMPUTED_VALUE"""),5192.0)</f>
        <v>5192</v>
      </c>
      <c r="E87" s="5">
        <f>IFERROR(__xludf.DUMMYFUNCTION("""COMPUTED_VALUE"""),5288.0)</f>
        <v>5288</v>
      </c>
      <c r="F87" s="5">
        <f>IFERROR(__xludf.DUMMYFUNCTION("""COMPUTED_VALUE"""),762851.0)</f>
        <v>762851</v>
      </c>
    </row>
    <row r="88">
      <c r="A88" s="6">
        <f>IFERROR(__xludf.DUMMYFUNCTION("""COMPUTED_VALUE"""),45807.64583333333)</f>
        <v>45807.64583</v>
      </c>
      <c r="B88" s="5">
        <f>IFERROR(__xludf.DUMMYFUNCTION("""COMPUTED_VALUE"""),5349.0)</f>
        <v>5349</v>
      </c>
      <c r="C88" s="5">
        <f>IFERROR(__xludf.DUMMYFUNCTION("""COMPUTED_VALUE"""),5367.0)</f>
        <v>5367</v>
      </c>
      <c r="D88" s="5">
        <f>IFERROR(__xludf.DUMMYFUNCTION("""COMPUTED_VALUE"""),5043.5)</f>
        <v>5043.5</v>
      </c>
      <c r="E88" s="5">
        <f>IFERROR(__xludf.DUMMYFUNCTION("""COMPUTED_VALUE"""),5098.5)</f>
        <v>5098.5</v>
      </c>
      <c r="F88" s="5">
        <f>IFERROR(__xludf.DUMMYFUNCTION("""COMPUTED_VALUE"""),1297938.0)</f>
        <v>1297938</v>
      </c>
    </row>
    <row r="89">
      <c r="A89" s="6">
        <f>IFERROR(__xludf.DUMMYFUNCTION("""COMPUTED_VALUE"""),45814.64583333333)</f>
        <v>45814.64583</v>
      </c>
      <c r="B89" s="5">
        <f>IFERROR(__xludf.DUMMYFUNCTION("""COMPUTED_VALUE"""),5077.0)</f>
        <v>5077</v>
      </c>
      <c r="C89" s="5">
        <f>IFERROR(__xludf.DUMMYFUNCTION("""COMPUTED_VALUE"""),5118.0)</f>
        <v>5118</v>
      </c>
      <c r="D89" s="5">
        <f>IFERROR(__xludf.DUMMYFUNCTION("""COMPUTED_VALUE"""),4811.0)</f>
        <v>4811</v>
      </c>
      <c r="E89" s="5">
        <f>IFERROR(__xludf.DUMMYFUNCTION("""COMPUTED_VALUE"""),4862.5)</f>
        <v>4862.5</v>
      </c>
      <c r="F89" s="5">
        <f>IFERROR(__xludf.DUMMYFUNCTION("""COMPUTED_VALUE"""),1381408.0)</f>
        <v>1381408</v>
      </c>
    </row>
    <row r="90">
      <c r="A90" s="6">
        <f>IFERROR(__xludf.DUMMYFUNCTION("""COMPUTED_VALUE"""),45821.64583333333)</f>
        <v>45821.64583</v>
      </c>
      <c r="B90" s="5">
        <f>IFERROR(__xludf.DUMMYFUNCTION("""COMPUTED_VALUE"""),4889.0)</f>
        <v>4889</v>
      </c>
      <c r="C90" s="5">
        <f>IFERROR(__xludf.DUMMYFUNCTION("""COMPUTED_VALUE"""),5005.0)</f>
        <v>5005</v>
      </c>
      <c r="D90" s="5">
        <f>IFERROR(__xludf.DUMMYFUNCTION("""COMPUTED_VALUE"""),4743.5)</f>
        <v>4743.5</v>
      </c>
      <c r="E90" s="5">
        <f>IFERROR(__xludf.DUMMYFUNCTION("""COMPUTED_VALUE"""),4847.5)</f>
        <v>4847.5</v>
      </c>
      <c r="F90" s="5">
        <f>IFERROR(__xludf.DUMMYFUNCTION("""COMPUTED_VALUE"""),1458439.0)</f>
        <v>1458439</v>
      </c>
    </row>
    <row r="91">
      <c r="A91" s="6">
        <f>IFERROR(__xludf.DUMMYFUNCTION("""COMPUTED_VALUE"""),45828.64583333333)</f>
        <v>45828.64583</v>
      </c>
      <c r="B91" s="5">
        <f>IFERROR(__xludf.DUMMYFUNCTION("""COMPUTED_VALUE"""),4832.0)</f>
        <v>4832</v>
      </c>
      <c r="C91" s="5">
        <f>IFERROR(__xludf.DUMMYFUNCTION("""COMPUTED_VALUE"""),4882.5)</f>
        <v>4882.5</v>
      </c>
      <c r="D91" s="5">
        <f>IFERROR(__xludf.DUMMYFUNCTION("""COMPUTED_VALUE"""),4743.5)</f>
        <v>4743.5</v>
      </c>
      <c r="E91" s="5">
        <f>IFERROR(__xludf.DUMMYFUNCTION("""COMPUTED_VALUE"""),4773.5)</f>
        <v>4773.5</v>
      </c>
      <c r="F91" s="5">
        <f>IFERROR(__xludf.DUMMYFUNCTION("""COMPUTED_VALUE"""),1174143.0)</f>
        <v>1174143</v>
      </c>
    </row>
    <row r="92">
      <c r="A92" s="6">
        <f>IFERROR(__xludf.DUMMYFUNCTION("""COMPUTED_VALUE"""),45835.64583333333)</f>
        <v>45835.64583</v>
      </c>
      <c r="B92" s="5">
        <f>IFERROR(__xludf.DUMMYFUNCTION("""COMPUTED_VALUE"""),4774.5)</f>
        <v>4774.5</v>
      </c>
      <c r="C92" s="5">
        <f>IFERROR(__xludf.DUMMYFUNCTION("""COMPUTED_VALUE"""),4920.0)</f>
        <v>4920</v>
      </c>
      <c r="D92" s="5">
        <f>IFERROR(__xludf.DUMMYFUNCTION("""COMPUTED_VALUE"""),4730.5)</f>
        <v>4730.5</v>
      </c>
      <c r="E92" s="5">
        <f>IFERROR(__xludf.DUMMYFUNCTION("""COMPUTED_VALUE"""),4906.5)</f>
        <v>4906.5</v>
      </c>
      <c r="F92" s="5">
        <f>IFERROR(__xludf.DUMMYFUNCTION("""COMPUTED_VALUE"""),879919.0)</f>
        <v>879919</v>
      </c>
    </row>
    <row r="93">
      <c r="A93" s="6">
        <f>IFERROR(__xludf.DUMMYFUNCTION("""COMPUTED_VALUE"""),45842.64583333333)</f>
        <v>45842.64583</v>
      </c>
      <c r="B93" s="5">
        <f>IFERROR(__xludf.DUMMYFUNCTION("""COMPUTED_VALUE"""),4930.5)</f>
        <v>4930.5</v>
      </c>
      <c r="C93" s="5">
        <f>IFERROR(__xludf.DUMMYFUNCTION("""COMPUTED_VALUE"""),4945.0)</f>
        <v>4945</v>
      </c>
      <c r="D93" s="5">
        <f>IFERROR(__xludf.DUMMYFUNCTION("""COMPUTED_VALUE"""),4813.6)</f>
        <v>4813.6</v>
      </c>
      <c r="E93" s="5">
        <f>IFERROR(__xludf.DUMMYFUNCTION("""COMPUTED_VALUE"""),4886.3)</f>
        <v>4886.3</v>
      </c>
      <c r="F93" s="5">
        <f>IFERROR(__xludf.DUMMYFUNCTION("""COMPUTED_VALUE"""),650809.0)</f>
        <v>650809</v>
      </c>
    </row>
    <row r="94">
      <c r="A94" s="6">
        <f>IFERROR(__xludf.DUMMYFUNCTION("""COMPUTED_VALUE"""),45849.64583333333)</f>
        <v>45849.64583</v>
      </c>
      <c r="B94" s="5">
        <f>IFERROR(__xludf.DUMMYFUNCTION("""COMPUTED_VALUE"""),4895.0)</f>
        <v>4895</v>
      </c>
      <c r="C94" s="5">
        <f>IFERROR(__xludf.DUMMYFUNCTION("""COMPUTED_VALUE"""),4905.8)</f>
        <v>4905.8</v>
      </c>
      <c r="D94" s="5">
        <f>IFERROR(__xludf.DUMMYFUNCTION("""COMPUTED_VALUE"""),4716.2)</f>
        <v>4716.2</v>
      </c>
      <c r="E94" s="5">
        <f>IFERROR(__xludf.DUMMYFUNCTION("""COMPUTED_VALUE"""),4806.7)</f>
        <v>4806.7</v>
      </c>
      <c r="F94" s="5">
        <f>IFERROR(__xludf.DUMMYFUNCTION("""COMPUTED_VALUE"""),683518.0)</f>
        <v>683518</v>
      </c>
    </row>
    <row r="95">
      <c r="A95" s="6">
        <f>IFERROR(__xludf.DUMMYFUNCTION("""COMPUTED_VALUE"""),45856.64583333333)</f>
        <v>45856.64583</v>
      </c>
      <c r="B95" s="5">
        <f>IFERROR(__xludf.DUMMYFUNCTION("""COMPUTED_VALUE"""),4796.7)</f>
        <v>4796.7</v>
      </c>
      <c r="C95" s="5">
        <f>IFERROR(__xludf.DUMMYFUNCTION("""COMPUTED_VALUE"""),5048.0)</f>
        <v>5048</v>
      </c>
      <c r="D95" s="5">
        <f>IFERROR(__xludf.DUMMYFUNCTION("""COMPUTED_VALUE"""),4786.7)</f>
        <v>4786.7</v>
      </c>
      <c r="E95" s="5">
        <f>IFERROR(__xludf.DUMMYFUNCTION("""COMPUTED_VALUE"""),4998.5)</f>
        <v>4998.5</v>
      </c>
      <c r="F95" s="5">
        <f>IFERROR(__xludf.DUMMYFUNCTION("""COMPUTED_VALUE"""),687991.0)</f>
        <v>687991</v>
      </c>
    </row>
    <row r="96">
      <c r="A96" s="6">
        <f>IFERROR(__xludf.DUMMYFUNCTION("""COMPUTED_VALUE"""),45863.64583333333)</f>
        <v>45863.64583</v>
      </c>
      <c r="B96" s="5">
        <f>IFERROR(__xludf.DUMMYFUNCTION("""COMPUTED_VALUE"""),4998.5)</f>
        <v>4998.5</v>
      </c>
      <c r="C96" s="5">
        <f>IFERROR(__xludf.DUMMYFUNCTION("""COMPUTED_VALUE"""),5040.0)</f>
        <v>5040</v>
      </c>
      <c r="D96" s="5">
        <f>IFERROR(__xludf.DUMMYFUNCTION("""COMPUTED_VALUE"""),4928.5)</f>
        <v>4928.5</v>
      </c>
      <c r="E96" s="5">
        <f>IFERROR(__xludf.DUMMYFUNCTION("""COMPUTED_VALUE"""),5011.9)</f>
        <v>5011.9</v>
      </c>
      <c r="F96" s="5">
        <f>IFERROR(__xludf.DUMMYFUNCTION("""COMPUTED_VALUE"""),356863.0)</f>
        <v>356863</v>
      </c>
    </row>
    <row r="97">
      <c r="A97" s="6">
        <f>IFERROR(__xludf.DUMMYFUNCTION("""COMPUTED_VALUE"""),45870.64583333333)</f>
        <v>45870.64583</v>
      </c>
      <c r="B97" s="5">
        <f>IFERROR(__xludf.DUMMYFUNCTION("""COMPUTED_VALUE"""),4994.9)</f>
        <v>4994.9</v>
      </c>
      <c r="C97" s="5">
        <f>IFERROR(__xludf.DUMMYFUNCTION("""COMPUTED_VALUE"""),5112.0)</f>
        <v>5112</v>
      </c>
      <c r="D97" s="5">
        <f>IFERROR(__xludf.DUMMYFUNCTION("""COMPUTED_VALUE"""),4840.0)</f>
        <v>4840</v>
      </c>
      <c r="E97" s="5">
        <f>IFERROR(__xludf.DUMMYFUNCTION("""COMPUTED_VALUE"""),4899.0)</f>
        <v>4899</v>
      </c>
      <c r="F97" s="5">
        <f>IFERROR(__xludf.DUMMYFUNCTION("""COMPUTED_VALUE"""),588385.0)</f>
        <v>588385</v>
      </c>
    </row>
    <row r="98">
      <c r="A98" s="6">
        <f>IFERROR(__xludf.DUMMYFUNCTION("""COMPUTED_VALUE"""),45877.64583333333)</f>
        <v>45877.64583</v>
      </c>
      <c r="B98" s="5">
        <f>IFERROR(__xludf.DUMMYFUNCTION("""COMPUTED_VALUE"""),4868.5)</f>
        <v>4868.5</v>
      </c>
      <c r="C98" s="5">
        <f>IFERROR(__xludf.DUMMYFUNCTION("""COMPUTED_VALUE"""),4932.0)</f>
        <v>4932</v>
      </c>
      <c r="D98" s="5">
        <f>IFERROR(__xludf.DUMMYFUNCTION("""COMPUTED_VALUE"""),4750.0)</f>
        <v>4750</v>
      </c>
      <c r="E98" s="5">
        <f>IFERROR(__xludf.DUMMYFUNCTION("""COMPUTED_VALUE"""),4764.0)</f>
        <v>4764</v>
      </c>
      <c r="F98" s="5">
        <f>IFERROR(__xludf.DUMMYFUNCTION("""COMPUTED_VALUE"""),341925.0)</f>
        <v>341925</v>
      </c>
    </row>
    <row r="99">
      <c r="A99" s="6">
        <f>IFERROR(__xludf.DUMMYFUNCTION("""COMPUTED_VALUE"""),45883.64583333333)</f>
        <v>45883.64583</v>
      </c>
      <c r="B99" s="5">
        <f>IFERROR(__xludf.DUMMYFUNCTION("""COMPUTED_VALUE"""),4769.5)</f>
        <v>4769.5</v>
      </c>
      <c r="C99" s="5">
        <f>IFERROR(__xludf.DUMMYFUNCTION("""COMPUTED_VALUE"""),5423.5)</f>
        <v>5423.5</v>
      </c>
      <c r="D99" s="5">
        <f>IFERROR(__xludf.DUMMYFUNCTION("""COMPUTED_VALUE"""),4738.5)</f>
        <v>4738.5</v>
      </c>
      <c r="E99" s="5">
        <f>IFERROR(__xludf.DUMMYFUNCTION("""COMPUTED_VALUE"""),5347.5)</f>
        <v>5347.5</v>
      </c>
      <c r="F99" s="5">
        <f>IFERROR(__xludf.DUMMYFUNCTION("""COMPUTED_VALUE"""),2172906.0)</f>
        <v>2172906</v>
      </c>
    </row>
    <row r="100">
      <c r="A100" s="6">
        <f>IFERROR(__xludf.DUMMYFUNCTION("""COMPUTED_VALUE"""),45891.64583333333)</f>
        <v>45891.64583</v>
      </c>
      <c r="B100" s="5">
        <f>IFERROR(__xludf.DUMMYFUNCTION("""COMPUTED_VALUE"""),5347.5)</f>
        <v>5347.5</v>
      </c>
      <c r="C100" s="5">
        <f>IFERROR(__xludf.DUMMYFUNCTION("""COMPUTED_VALUE"""),5479.0)</f>
        <v>5479</v>
      </c>
      <c r="D100" s="5">
        <f>IFERROR(__xludf.DUMMYFUNCTION("""COMPUTED_VALUE"""),5297.5)</f>
        <v>5297.5</v>
      </c>
      <c r="E100" s="5">
        <f>IFERROR(__xludf.DUMMYFUNCTION("""COMPUTED_VALUE"""),5426.0)</f>
        <v>5426</v>
      </c>
      <c r="F100" s="5">
        <f>IFERROR(__xludf.DUMMYFUNCTION("""COMPUTED_VALUE"""),686908.0)</f>
        <v>686908</v>
      </c>
    </row>
  </sheetData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IFERROR(__xludf.DUMMYFUNCTION("GOOGLEFINANCE(""NSE:LODHA"", ""all"",ConfigSheet!B2 -ConfigSheet!B1,ConfigSheet!B2,ConfigSheet!B3)"),"#N/A")</f>
        <v>#N/A</v>
      </c>
    </row>
  </sheetData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IFERROR(__xludf.DUMMYFUNCTION("GOOGLEFINANCE(""NSE:LT"", ""all"",ConfigSheet!B2 -ConfigSheet!B1,ConfigSheet!B2,ConfigSheet!B3)"),"#N/A")</f>
        <v>#N/A</v>
      </c>
    </row>
  </sheetData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IFERROR(__xludf.DUMMYFUNCTION("GOOGLEFINANCE(""NSE:LTF"", ""all"",ConfigSheet!B2 -ConfigSheet!B1,ConfigSheet!B2,ConfigSheet!B3)"),"#N/A")</f>
        <v>#N/A</v>
      </c>
    </row>
  </sheetData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IFERROR(__xludf.DUMMYFUNCTION("GOOGLEFINANCE(""NSE:LTIM"", ""all"",ConfigSheet!B2 -ConfigSheet!B1,ConfigSheet!B2,ConfigSheet!B3)"),"#N/A")</f>
        <v>#N/A</v>
      </c>
    </row>
  </sheetData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IFERROR(__xludf.DUMMYFUNCTION("GOOGLEFINANCE(""NSE:LUPIN"", ""all"",ConfigSheet!B2 -ConfigSheet!B1,ConfigSheet!B2,ConfigSheet!B3)"),"#N/A")</f>
        <v>#N/A</v>
      </c>
    </row>
  </sheetData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IFERROR(__xludf.DUMMYFUNCTION("GOOGLEFINANCE(""NSE:M&amp;M"", ""all"",ConfigSheet!B2 -ConfigSheet!B1,ConfigSheet!B2,ConfigSheet!B3)"),"#N/A")</f>
        <v>#N/A</v>
      </c>
    </row>
  </sheetData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IFERROR(__xludf.DUMMYFUNCTION("GOOGLEFINANCE(""NSE:M&amp;MFIN"", ""all"",ConfigSheet!B2 -ConfigSheet!B1,ConfigSheet!B2,ConfigSheet!B3)"),"#N/A")</f>
        <v>#N/A</v>
      </c>
    </row>
  </sheetData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IFERROR(__xludf.DUMMYFUNCTION("GOOGLEFINANCE(""NSE:MAHABANK"", ""all"",ConfigSheet!B2 -ConfigSheet!B1,ConfigSheet!B2,ConfigSheet!B3)"),"#N/A")</f>
        <v>#N/A</v>
      </c>
    </row>
  </sheetData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IFERROR(__xludf.DUMMYFUNCTION("GOOGLEFINANCE(""NSE:MANKIND"", ""all"",ConfigSheet!B2 -ConfigSheet!B1,ConfigSheet!B2,ConfigSheet!B3)"),"#N/A")</f>
        <v>#N/A</v>
      </c>
    </row>
  </sheetData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IFERROR(__xludf.DUMMYFUNCTION("GOOGLEFINANCE(""NSE:MARICO"", ""all"",ConfigSheet!B2 -ConfigSheet!B1,ConfigSheet!B2,ConfigSheet!B3)"),"#N/A")</f>
        <v>#N/A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IFERROR(__xludf.DUMMYFUNCTION("GOOGLEFINANCE(""NSE:AMBUJACEM"", ""all"",ConfigSheet!B2 -ConfigSheet!B1,ConfigSheet!B2,ConfigSheet!B3)"),"Date")</f>
        <v>Date</v>
      </c>
      <c r="B1" s="5" t="str">
        <f>IFERROR(__xludf.DUMMYFUNCTION("""COMPUTED_VALUE"""),"Open")</f>
        <v>Open</v>
      </c>
      <c r="C1" s="5" t="str">
        <f>IFERROR(__xludf.DUMMYFUNCTION("""COMPUTED_VALUE"""),"High")</f>
        <v>High</v>
      </c>
      <c r="D1" s="5" t="str">
        <f>IFERROR(__xludf.DUMMYFUNCTION("""COMPUTED_VALUE"""),"Low")</f>
        <v>Low</v>
      </c>
      <c r="E1" s="5" t="str">
        <f>IFERROR(__xludf.DUMMYFUNCTION("""COMPUTED_VALUE"""),"Close")</f>
        <v>Close</v>
      </c>
      <c r="F1" s="5" t="str">
        <f>IFERROR(__xludf.DUMMYFUNCTION("""COMPUTED_VALUE"""),"Volume")</f>
        <v>Volume</v>
      </c>
    </row>
    <row r="2">
      <c r="A2" s="6">
        <f>IFERROR(__xludf.DUMMYFUNCTION("""COMPUTED_VALUE"""),45170.64583333333)</f>
        <v>45170.64583</v>
      </c>
      <c r="B2" s="5">
        <f>IFERROR(__xludf.DUMMYFUNCTION("""COMPUTED_VALUE"""),439.2)</f>
        <v>439.2</v>
      </c>
      <c r="C2" s="5">
        <f>IFERROR(__xludf.DUMMYFUNCTION("""COMPUTED_VALUE"""),447.5)</f>
        <v>447.5</v>
      </c>
      <c r="D2" s="5">
        <f>IFERROR(__xludf.DUMMYFUNCTION("""COMPUTED_VALUE"""),425.1)</f>
        <v>425.1</v>
      </c>
      <c r="E2" s="5">
        <f>IFERROR(__xludf.DUMMYFUNCTION("""COMPUTED_VALUE"""),433.9)</f>
        <v>433.9</v>
      </c>
      <c r="F2" s="5">
        <f>IFERROR(__xludf.DUMMYFUNCTION("""COMPUTED_VALUE"""),2.5484437E7)</f>
        <v>25484437</v>
      </c>
    </row>
    <row r="3">
      <c r="A3" s="6">
        <f>IFERROR(__xludf.DUMMYFUNCTION("""COMPUTED_VALUE"""),45177.64583333333)</f>
        <v>45177.64583</v>
      </c>
      <c r="B3" s="5">
        <f>IFERROR(__xludf.DUMMYFUNCTION("""COMPUTED_VALUE"""),435.35)</f>
        <v>435.35</v>
      </c>
      <c r="C3" s="5">
        <f>IFERROR(__xludf.DUMMYFUNCTION("""COMPUTED_VALUE"""),444.45)</f>
        <v>444.45</v>
      </c>
      <c r="D3" s="5">
        <f>IFERROR(__xludf.DUMMYFUNCTION("""COMPUTED_VALUE"""),433.5)</f>
        <v>433.5</v>
      </c>
      <c r="E3" s="5">
        <f>IFERROR(__xludf.DUMMYFUNCTION("""COMPUTED_VALUE"""),439.2)</f>
        <v>439.2</v>
      </c>
      <c r="F3" s="5">
        <f>IFERROR(__xludf.DUMMYFUNCTION("""COMPUTED_VALUE"""),1.3144699E7)</f>
        <v>13144699</v>
      </c>
    </row>
    <row r="4">
      <c r="A4" s="6">
        <f>IFERROR(__xludf.DUMMYFUNCTION("""COMPUTED_VALUE"""),45184.64583333333)</f>
        <v>45184.64583</v>
      </c>
      <c r="B4" s="5">
        <f>IFERROR(__xludf.DUMMYFUNCTION("""COMPUTED_VALUE"""),439.25)</f>
        <v>439.25</v>
      </c>
      <c r="C4" s="5">
        <f>IFERROR(__xludf.DUMMYFUNCTION("""COMPUTED_VALUE"""),453.9)</f>
        <v>453.9</v>
      </c>
      <c r="D4" s="5">
        <f>IFERROR(__xludf.DUMMYFUNCTION("""COMPUTED_VALUE"""),436.65)</f>
        <v>436.65</v>
      </c>
      <c r="E4" s="5">
        <f>IFERROR(__xludf.DUMMYFUNCTION("""COMPUTED_VALUE"""),445.05)</f>
        <v>445.05</v>
      </c>
      <c r="F4" s="5">
        <f>IFERROR(__xludf.DUMMYFUNCTION("""COMPUTED_VALUE"""),1.8303463E7)</f>
        <v>18303463</v>
      </c>
    </row>
    <row r="5">
      <c r="A5" s="6">
        <f>IFERROR(__xludf.DUMMYFUNCTION("""COMPUTED_VALUE"""),45191.64583333333)</f>
        <v>45191.64583</v>
      </c>
      <c r="B5" s="5">
        <f>IFERROR(__xludf.DUMMYFUNCTION("""COMPUTED_VALUE"""),445.0)</f>
        <v>445</v>
      </c>
      <c r="C5" s="5">
        <f>IFERROR(__xludf.DUMMYFUNCTION("""COMPUTED_VALUE"""),445.7)</f>
        <v>445.7</v>
      </c>
      <c r="D5" s="5">
        <f>IFERROR(__xludf.DUMMYFUNCTION("""COMPUTED_VALUE"""),418.05)</f>
        <v>418.05</v>
      </c>
      <c r="E5" s="5">
        <f>IFERROR(__xludf.DUMMYFUNCTION("""COMPUTED_VALUE"""),420.95)</f>
        <v>420.95</v>
      </c>
      <c r="F5" s="5">
        <f>IFERROR(__xludf.DUMMYFUNCTION("""COMPUTED_VALUE"""),1.1344481E7)</f>
        <v>11344481</v>
      </c>
    </row>
    <row r="6">
      <c r="A6" s="6">
        <f>IFERROR(__xludf.DUMMYFUNCTION("""COMPUTED_VALUE"""),45198.64583333333)</f>
        <v>45198.64583</v>
      </c>
      <c r="B6" s="5">
        <f>IFERROR(__xludf.DUMMYFUNCTION("""COMPUTED_VALUE"""),420.5)</f>
        <v>420.5</v>
      </c>
      <c r="C6" s="5">
        <f>IFERROR(__xludf.DUMMYFUNCTION("""COMPUTED_VALUE"""),434.0)</f>
        <v>434</v>
      </c>
      <c r="D6" s="5">
        <f>IFERROR(__xludf.DUMMYFUNCTION("""COMPUTED_VALUE"""),414.7)</f>
        <v>414.7</v>
      </c>
      <c r="E6" s="5">
        <f>IFERROR(__xludf.DUMMYFUNCTION("""COMPUTED_VALUE"""),424.8)</f>
        <v>424.8</v>
      </c>
      <c r="F6" s="5">
        <f>IFERROR(__xludf.DUMMYFUNCTION("""COMPUTED_VALUE"""),1.8325451E7)</f>
        <v>18325451</v>
      </c>
    </row>
    <row r="7">
      <c r="A7" s="6">
        <f>IFERROR(__xludf.DUMMYFUNCTION("""COMPUTED_VALUE"""),45205.64583333333)</f>
        <v>45205.64583</v>
      </c>
      <c r="B7" s="5">
        <f>IFERROR(__xludf.DUMMYFUNCTION("""COMPUTED_VALUE"""),424.05)</f>
        <v>424.05</v>
      </c>
      <c r="C7" s="5">
        <f>IFERROR(__xludf.DUMMYFUNCTION("""COMPUTED_VALUE"""),437.0)</f>
        <v>437</v>
      </c>
      <c r="D7" s="5">
        <f>IFERROR(__xludf.DUMMYFUNCTION("""COMPUTED_VALUE"""),422.5)</f>
        <v>422.5</v>
      </c>
      <c r="E7" s="5">
        <f>IFERROR(__xludf.DUMMYFUNCTION("""COMPUTED_VALUE"""),435.7)</f>
        <v>435.7</v>
      </c>
      <c r="F7" s="5">
        <f>IFERROR(__xludf.DUMMYFUNCTION("""COMPUTED_VALUE"""),8882923.0)</f>
        <v>8882923</v>
      </c>
    </row>
    <row r="8">
      <c r="A8" s="6">
        <f>IFERROR(__xludf.DUMMYFUNCTION("""COMPUTED_VALUE"""),45212.64583333333)</f>
        <v>45212.64583</v>
      </c>
      <c r="B8" s="5">
        <f>IFERROR(__xludf.DUMMYFUNCTION("""COMPUTED_VALUE"""),430.1)</f>
        <v>430.1</v>
      </c>
      <c r="C8" s="5">
        <f>IFERROR(__xludf.DUMMYFUNCTION("""COMPUTED_VALUE"""),450.35)</f>
        <v>450.35</v>
      </c>
      <c r="D8" s="5">
        <f>IFERROR(__xludf.DUMMYFUNCTION("""COMPUTED_VALUE"""),427.5)</f>
        <v>427.5</v>
      </c>
      <c r="E8" s="5">
        <f>IFERROR(__xludf.DUMMYFUNCTION("""COMPUTED_VALUE"""),439.9)</f>
        <v>439.9</v>
      </c>
      <c r="F8" s="5">
        <f>IFERROR(__xludf.DUMMYFUNCTION("""COMPUTED_VALUE"""),1.353837E7)</f>
        <v>13538370</v>
      </c>
    </row>
    <row r="9">
      <c r="A9" s="6">
        <f>IFERROR(__xludf.DUMMYFUNCTION("""COMPUTED_VALUE"""),45219.64583333333)</f>
        <v>45219.64583</v>
      </c>
      <c r="B9" s="5">
        <f>IFERROR(__xludf.DUMMYFUNCTION("""COMPUTED_VALUE"""),439.0)</f>
        <v>439</v>
      </c>
      <c r="C9" s="5">
        <f>IFERROR(__xludf.DUMMYFUNCTION("""COMPUTED_VALUE"""),444.8)</f>
        <v>444.8</v>
      </c>
      <c r="D9" s="5">
        <f>IFERROR(__xludf.DUMMYFUNCTION("""COMPUTED_VALUE"""),428.1)</f>
        <v>428.1</v>
      </c>
      <c r="E9" s="5">
        <f>IFERROR(__xludf.DUMMYFUNCTION("""COMPUTED_VALUE"""),430.85)</f>
        <v>430.85</v>
      </c>
      <c r="F9" s="5">
        <f>IFERROR(__xludf.DUMMYFUNCTION("""COMPUTED_VALUE"""),7515110.0)</f>
        <v>7515110</v>
      </c>
    </row>
    <row r="10">
      <c r="A10" s="6">
        <f>IFERROR(__xludf.DUMMYFUNCTION("""COMPUTED_VALUE"""),45226.64583333333)</f>
        <v>45226.64583</v>
      </c>
      <c r="B10" s="5">
        <f>IFERROR(__xludf.DUMMYFUNCTION("""COMPUTED_VALUE"""),432.75)</f>
        <v>432.75</v>
      </c>
      <c r="C10" s="5">
        <f>IFERROR(__xludf.DUMMYFUNCTION("""COMPUTED_VALUE"""),432.75)</f>
        <v>432.75</v>
      </c>
      <c r="D10" s="5">
        <f>IFERROR(__xludf.DUMMYFUNCTION("""COMPUTED_VALUE"""),407.75)</f>
        <v>407.75</v>
      </c>
      <c r="E10" s="5">
        <f>IFERROR(__xludf.DUMMYFUNCTION("""COMPUTED_VALUE"""),417.25)</f>
        <v>417.25</v>
      </c>
      <c r="F10" s="5">
        <f>IFERROR(__xludf.DUMMYFUNCTION("""COMPUTED_VALUE"""),9205024.0)</f>
        <v>9205024</v>
      </c>
    </row>
    <row r="11">
      <c r="A11" s="6">
        <f>IFERROR(__xludf.DUMMYFUNCTION("""COMPUTED_VALUE"""),45233.64583333333)</f>
        <v>45233.64583</v>
      </c>
      <c r="B11" s="5">
        <f>IFERROR(__xludf.DUMMYFUNCTION("""COMPUTED_VALUE"""),420.2)</f>
        <v>420.2</v>
      </c>
      <c r="C11" s="5">
        <f>IFERROR(__xludf.DUMMYFUNCTION("""COMPUTED_VALUE"""),427.45)</f>
        <v>427.45</v>
      </c>
      <c r="D11" s="5">
        <f>IFERROR(__xludf.DUMMYFUNCTION("""COMPUTED_VALUE"""),404.05)</f>
        <v>404.05</v>
      </c>
      <c r="E11" s="5">
        <f>IFERROR(__xludf.DUMMYFUNCTION("""COMPUTED_VALUE"""),420.9)</f>
        <v>420.9</v>
      </c>
      <c r="F11" s="5">
        <f>IFERROR(__xludf.DUMMYFUNCTION("""COMPUTED_VALUE"""),1.2426899E7)</f>
        <v>12426899</v>
      </c>
    </row>
    <row r="12">
      <c r="A12" s="6">
        <f>IFERROR(__xludf.DUMMYFUNCTION("""COMPUTED_VALUE"""),45240.64583333333)</f>
        <v>45240.64583</v>
      </c>
      <c r="B12" s="5">
        <f>IFERROR(__xludf.DUMMYFUNCTION("""COMPUTED_VALUE"""),421.95)</f>
        <v>421.95</v>
      </c>
      <c r="C12" s="5">
        <f>IFERROR(__xludf.DUMMYFUNCTION("""COMPUTED_VALUE"""),426.0)</f>
        <v>426</v>
      </c>
      <c r="D12" s="5">
        <f>IFERROR(__xludf.DUMMYFUNCTION("""COMPUTED_VALUE"""),415.45)</f>
        <v>415.45</v>
      </c>
      <c r="E12" s="5">
        <f>IFERROR(__xludf.DUMMYFUNCTION("""COMPUTED_VALUE"""),418.1)</f>
        <v>418.1</v>
      </c>
      <c r="F12" s="5">
        <f>IFERROR(__xludf.DUMMYFUNCTION("""COMPUTED_VALUE"""),4687632.0)</f>
        <v>4687632</v>
      </c>
    </row>
    <row r="13">
      <c r="A13" s="6">
        <f>IFERROR(__xludf.DUMMYFUNCTION("""COMPUTED_VALUE"""),45247.64583333333)</f>
        <v>45247.64583</v>
      </c>
      <c r="B13" s="5">
        <f>IFERROR(__xludf.DUMMYFUNCTION("""COMPUTED_VALUE"""),420.0)</f>
        <v>420</v>
      </c>
      <c r="C13" s="5">
        <f>IFERROR(__xludf.DUMMYFUNCTION("""COMPUTED_VALUE"""),428.0)</f>
        <v>428</v>
      </c>
      <c r="D13" s="5">
        <f>IFERROR(__xludf.DUMMYFUNCTION("""COMPUTED_VALUE"""),417.0)</f>
        <v>417</v>
      </c>
      <c r="E13" s="5">
        <f>IFERROR(__xludf.DUMMYFUNCTION("""COMPUTED_VALUE"""),421.1)</f>
        <v>421.1</v>
      </c>
      <c r="F13" s="5">
        <f>IFERROR(__xludf.DUMMYFUNCTION("""COMPUTED_VALUE"""),7520646.0)</f>
        <v>7520646</v>
      </c>
    </row>
    <row r="14">
      <c r="A14" s="6">
        <f>IFERROR(__xludf.DUMMYFUNCTION("""COMPUTED_VALUE"""),45254.64583333333)</f>
        <v>45254.64583</v>
      </c>
      <c r="B14" s="5">
        <f>IFERROR(__xludf.DUMMYFUNCTION("""COMPUTED_VALUE"""),421.1)</f>
        <v>421.1</v>
      </c>
      <c r="C14" s="5">
        <f>IFERROR(__xludf.DUMMYFUNCTION("""COMPUTED_VALUE"""),424.3)</f>
        <v>424.3</v>
      </c>
      <c r="D14" s="5">
        <f>IFERROR(__xludf.DUMMYFUNCTION("""COMPUTED_VALUE"""),408.6)</f>
        <v>408.6</v>
      </c>
      <c r="E14" s="5">
        <f>IFERROR(__xludf.DUMMYFUNCTION("""COMPUTED_VALUE"""),414.3)</f>
        <v>414.3</v>
      </c>
      <c r="F14" s="5">
        <f>IFERROR(__xludf.DUMMYFUNCTION("""COMPUTED_VALUE"""),7085377.0)</f>
        <v>7085377</v>
      </c>
    </row>
    <row r="15">
      <c r="A15" s="6">
        <f>IFERROR(__xludf.DUMMYFUNCTION("""COMPUTED_VALUE"""),45261.64583333333)</f>
        <v>45261.64583</v>
      </c>
      <c r="B15" s="5">
        <f>IFERROR(__xludf.DUMMYFUNCTION("""COMPUTED_VALUE"""),421.0)</f>
        <v>421</v>
      </c>
      <c r="C15" s="5">
        <f>IFERROR(__xludf.DUMMYFUNCTION("""COMPUTED_VALUE"""),444.0)</f>
        <v>444</v>
      </c>
      <c r="D15" s="5">
        <f>IFERROR(__xludf.DUMMYFUNCTION("""COMPUTED_VALUE"""),417.25)</f>
        <v>417.25</v>
      </c>
      <c r="E15" s="5">
        <f>IFERROR(__xludf.DUMMYFUNCTION("""COMPUTED_VALUE"""),442.0)</f>
        <v>442</v>
      </c>
      <c r="F15" s="5">
        <f>IFERROR(__xludf.DUMMYFUNCTION("""COMPUTED_VALUE"""),2.1121285E7)</f>
        <v>21121285</v>
      </c>
    </row>
    <row r="16">
      <c r="A16" s="6">
        <f>IFERROR(__xludf.DUMMYFUNCTION("""COMPUTED_VALUE"""),45268.64583333333)</f>
        <v>45268.64583</v>
      </c>
      <c r="B16" s="5">
        <f>IFERROR(__xludf.DUMMYFUNCTION("""COMPUTED_VALUE"""),460.0)</f>
        <v>460</v>
      </c>
      <c r="C16" s="5">
        <f>IFERROR(__xludf.DUMMYFUNCTION("""COMPUTED_VALUE"""),523.65)</f>
        <v>523.65</v>
      </c>
      <c r="D16" s="5">
        <f>IFERROR(__xludf.DUMMYFUNCTION("""COMPUTED_VALUE"""),453.25)</f>
        <v>453.25</v>
      </c>
      <c r="E16" s="5">
        <f>IFERROR(__xludf.DUMMYFUNCTION("""COMPUTED_VALUE"""),494.35)</f>
        <v>494.35</v>
      </c>
      <c r="F16" s="5">
        <f>IFERROR(__xludf.DUMMYFUNCTION("""COMPUTED_VALUE"""),5.690251E7)</f>
        <v>56902510</v>
      </c>
    </row>
    <row r="17">
      <c r="A17" s="6">
        <f>IFERROR(__xludf.DUMMYFUNCTION("""COMPUTED_VALUE"""),45275.64583333333)</f>
        <v>45275.64583</v>
      </c>
      <c r="B17" s="5">
        <f>IFERROR(__xludf.DUMMYFUNCTION("""COMPUTED_VALUE"""),497.9)</f>
        <v>497.9</v>
      </c>
      <c r="C17" s="5">
        <f>IFERROR(__xludf.DUMMYFUNCTION("""COMPUTED_VALUE"""),529.4)</f>
        <v>529.4</v>
      </c>
      <c r="D17" s="5">
        <f>IFERROR(__xludf.DUMMYFUNCTION("""COMPUTED_VALUE"""),489.5)</f>
        <v>489.5</v>
      </c>
      <c r="E17" s="5">
        <f>IFERROR(__xludf.DUMMYFUNCTION("""COMPUTED_VALUE"""),522.4)</f>
        <v>522.4</v>
      </c>
      <c r="F17" s="5">
        <f>IFERROR(__xludf.DUMMYFUNCTION("""COMPUTED_VALUE"""),2.2788327E7)</f>
        <v>22788327</v>
      </c>
    </row>
    <row r="18">
      <c r="A18" s="6">
        <f>IFERROR(__xludf.DUMMYFUNCTION("""COMPUTED_VALUE"""),45282.64583333333)</f>
        <v>45282.64583</v>
      </c>
      <c r="B18" s="5">
        <f>IFERROR(__xludf.DUMMYFUNCTION("""COMPUTED_VALUE"""),530.0)</f>
        <v>530</v>
      </c>
      <c r="C18" s="5">
        <f>IFERROR(__xludf.DUMMYFUNCTION("""COMPUTED_VALUE"""),532.5)</f>
        <v>532.5</v>
      </c>
      <c r="D18" s="5">
        <f>IFERROR(__xludf.DUMMYFUNCTION("""COMPUTED_VALUE"""),480.45)</f>
        <v>480.45</v>
      </c>
      <c r="E18" s="5">
        <f>IFERROR(__xludf.DUMMYFUNCTION("""COMPUTED_VALUE"""),503.8)</f>
        <v>503.8</v>
      </c>
      <c r="F18" s="5">
        <f>IFERROR(__xludf.DUMMYFUNCTION("""COMPUTED_VALUE"""),1.7253518E7)</f>
        <v>17253518</v>
      </c>
    </row>
    <row r="19">
      <c r="A19" s="6">
        <f>IFERROR(__xludf.DUMMYFUNCTION("""COMPUTED_VALUE"""),45289.64583333333)</f>
        <v>45289.64583</v>
      </c>
      <c r="B19" s="5">
        <f>IFERROR(__xludf.DUMMYFUNCTION("""COMPUTED_VALUE"""),504.0)</f>
        <v>504</v>
      </c>
      <c r="C19" s="5">
        <f>IFERROR(__xludf.DUMMYFUNCTION("""COMPUTED_VALUE"""),523.0)</f>
        <v>523</v>
      </c>
      <c r="D19" s="5">
        <f>IFERROR(__xludf.DUMMYFUNCTION("""COMPUTED_VALUE"""),502.65)</f>
        <v>502.65</v>
      </c>
      <c r="E19" s="5">
        <f>IFERROR(__xludf.DUMMYFUNCTION("""COMPUTED_VALUE"""),520.9)</f>
        <v>520.9</v>
      </c>
      <c r="F19" s="5">
        <f>IFERROR(__xludf.DUMMYFUNCTION("""COMPUTED_VALUE"""),1.211991E7)</f>
        <v>12119910</v>
      </c>
    </row>
    <row r="20">
      <c r="A20" s="6">
        <f>IFERROR(__xludf.DUMMYFUNCTION("""COMPUTED_VALUE"""),45296.64583333333)</f>
        <v>45296.64583</v>
      </c>
      <c r="B20" s="5">
        <f>IFERROR(__xludf.DUMMYFUNCTION("""COMPUTED_VALUE"""),520.85)</f>
        <v>520.85</v>
      </c>
      <c r="C20" s="5">
        <f>IFERROR(__xludf.DUMMYFUNCTION("""COMPUTED_VALUE"""),557.9)</f>
        <v>557.9</v>
      </c>
      <c r="D20" s="5">
        <f>IFERROR(__xludf.DUMMYFUNCTION("""COMPUTED_VALUE"""),518.5)</f>
        <v>518.5</v>
      </c>
      <c r="E20" s="5">
        <f>IFERROR(__xludf.DUMMYFUNCTION("""COMPUTED_VALUE"""),542.35)</f>
        <v>542.35</v>
      </c>
      <c r="F20" s="5">
        <f>IFERROR(__xludf.DUMMYFUNCTION("""COMPUTED_VALUE"""),3.1861375E7)</f>
        <v>31861375</v>
      </c>
    </row>
    <row r="21">
      <c r="A21" s="6">
        <f>IFERROR(__xludf.DUMMYFUNCTION("""COMPUTED_VALUE"""),45303.64583333333)</f>
        <v>45303.64583</v>
      </c>
      <c r="B21" s="5">
        <f>IFERROR(__xludf.DUMMYFUNCTION("""COMPUTED_VALUE"""),544.25)</f>
        <v>544.25</v>
      </c>
      <c r="C21" s="5">
        <f>IFERROR(__xludf.DUMMYFUNCTION("""COMPUTED_VALUE"""),544.75)</f>
        <v>544.75</v>
      </c>
      <c r="D21" s="5">
        <f>IFERROR(__xludf.DUMMYFUNCTION("""COMPUTED_VALUE"""),518.25)</f>
        <v>518.25</v>
      </c>
      <c r="E21" s="5">
        <f>IFERROR(__xludf.DUMMYFUNCTION("""COMPUTED_VALUE"""),532.4)</f>
        <v>532.4</v>
      </c>
      <c r="F21" s="5">
        <f>IFERROR(__xludf.DUMMYFUNCTION("""COMPUTED_VALUE"""),1.2689708E7)</f>
        <v>12689708</v>
      </c>
    </row>
    <row r="22">
      <c r="A22" s="6">
        <f>IFERROR(__xludf.DUMMYFUNCTION("""COMPUTED_VALUE"""),45316.64583333333)</f>
        <v>45316.64583</v>
      </c>
      <c r="B22" s="5">
        <f>IFERROR(__xludf.DUMMYFUNCTION("""COMPUTED_VALUE"""),543.8)</f>
        <v>543.8</v>
      </c>
      <c r="C22" s="5">
        <f>IFERROR(__xludf.DUMMYFUNCTION("""COMPUTED_VALUE"""),566.0)</f>
        <v>566</v>
      </c>
      <c r="D22" s="5">
        <f>IFERROR(__xludf.DUMMYFUNCTION("""COMPUTED_VALUE"""),514.5)</f>
        <v>514.5</v>
      </c>
      <c r="E22" s="5">
        <f>IFERROR(__xludf.DUMMYFUNCTION("""COMPUTED_VALUE"""),560.15)</f>
        <v>560.15</v>
      </c>
      <c r="F22" s="5">
        <f>IFERROR(__xludf.DUMMYFUNCTION("""COMPUTED_VALUE"""),1.4595695E7)</f>
        <v>14595695</v>
      </c>
    </row>
    <row r="23">
      <c r="A23" s="6">
        <f>IFERROR(__xludf.DUMMYFUNCTION("""COMPUTED_VALUE"""),45324.64583333333)</f>
        <v>45324.64583</v>
      </c>
      <c r="B23" s="5">
        <f>IFERROR(__xludf.DUMMYFUNCTION("""COMPUTED_VALUE"""),570.9)</f>
        <v>570.9</v>
      </c>
      <c r="C23" s="5">
        <f>IFERROR(__xludf.DUMMYFUNCTION("""COMPUTED_VALUE"""),586.45)</f>
        <v>586.45</v>
      </c>
      <c r="D23" s="5">
        <f>IFERROR(__xludf.DUMMYFUNCTION("""COMPUTED_VALUE"""),547.0)</f>
        <v>547</v>
      </c>
      <c r="E23" s="5">
        <f>IFERROR(__xludf.DUMMYFUNCTION("""COMPUTED_VALUE"""),557.4)</f>
        <v>557.4</v>
      </c>
      <c r="F23" s="5">
        <f>IFERROR(__xludf.DUMMYFUNCTION("""COMPUTED_VALUE"""),3.5634728E7)</f>
        <v>35634728</v>
      </c>
    </row>
    <row r="24">
      <c r="A24" s="6">
        <f>IFERROR(__xludf.DUMMYFUNCTION("""COMPUTED_VALUE"""),45331.64583333333)</f>
        <v>45331.64583</v>
      </c>
      <c r="B24" s="5">
        <f>IFERROR(__xludf.DUMMYFUNCTION("""COMPUTED_VALUE"""),560.0)</f>
        <v>560</v>
      </c>
      <c r="C24" s="5">
        <f>IFERROR(__xludf.DUMMYFUNCTION("""COMPUTED_VALUE"""),582.25)</f>
        <v>582.25</v>
      </c>
      <c r="D24" s="5">
        <f>IFERROR(__xludf.DUMMYFUNCTION("""COMPUTED_VALUE"""),549.95)</f>
        <v>549.95</v>
      </c>
      <c r="E24" s="5">
        <f>IFERROR(__xludf.DUMMYFUNCTION("""COMPUTED_VALUE"""),576.2)</f>
        <v>576.2</v>
      </c>
      <c r="F24" s="5">
        <f>IFERROR(__xludf.DUMMYFUNCTION("""COMPUTED_VALUE"""),1.6630366E7)</f>
        <v>16630366</v>
      </c>
    </row>
    <row r="25">
      <c r="A25" s="6">
        <f>IFERROR(__xludf.DUMMYFUNCTION("""COMPUTED_VALUE"""),45338.64583333333)</f>
        <v>45338.64583</v>
      </c>
      <c r="B25" s="5">
        <f>IFERROR(__xludf.DUMMYFUNCTION("""COMPUTED_VALUE"""),582.1)</f>
        <v>582.1</v>
      </c>
      <c r="C25" s="5">
        <f>IFERROR(__xludf.DUMMYFUNCTION("""COMPUTED_VALUE"""),590.65)</f>
        <v>590.65</v>
      </c>
      <c r="D25" s="5">
        <f>IFERROR(__xludf.DUMMYFUNCTION("""COMPUTED_VALUE"""),552.5)</f>
        <v>552.5</v>
      </c>
      <c r="E25" s="5">
        <f>IFERROR(__xludf.DUMMYFUNCTION("""COMPUTED_VALUE"""),585.1)</f>
        <v>585.1</v>
      </c>
      <c r="F25" s="5">
        <f>IFERROR(__xludf.DUMMYFUNCTION("""COMPUTED_VALUE"""),1.8960334E7)</f>
        <v>18960334</v>
      </c>
    </row>
    <row r="26">
      <c r="A26" s="6">
        <f>IFERROR(__xludf.DUMMYFUNCTION("""COMPUTED_VALUE"""),45345.64583333333)</f>
        <v>45345.64583</v>
      </c>
      <c r="B26" s="5">
        <f>IFERROR(__xludf.DUMMYFUNCTION("""COMPUTED_VALUE"""),588.8)</f>
        <v>588.8</v>
      </c>
      <c r="C26" s="5">
        <f>IFERROR(__xludf.DUMMYFUNCTION("""COMPUTED_VALUE"""),608.7)</f>
        <v>608.7</v>
      </c>
      <c r="D26" s="5">
        <f>IFERROR(__xludf.DUMMYFUNCTION("""COMPUTED_VALUE"""),579.45)</f>
        <v>579.45</v>
      </c>
      <c r="E26" s="5">
        <f>IFERROR(__xludf.DUMMYFUNCTION("""COMPUTED_VALUE"""),602.95)</f>
        <v>602.95</v>
      </c>
      <c r="F26" s="5">
        <f>IFERROR(__xludf.DUMMYFUNCTION("""COMPUTED_VALUE"""),1.5880895E7)</f>
        <v>15880895</v>
      </c>
    </row>
    <row r="27">
      <c r="A27" s="6">
        <f>IFERROR(__xludf.DUMMYFUNCTION("""COMPUTED_VALUE"""),45358.64583333333)</f>
        <v>45358.64583</v>
      </c>
      <c r="B27" s="5">
        <f>IFERROR(__xludf.DUMMYFUNCTION("""COMPUTED_VALUE"""),621.25)</f>
        <v>621.25</v>
      </c>
      <c r="C27" s="5">
        <f>IFERROR(__xludf.DUMMYFUNCTION("""COMPUTED_VALUE"""),625.0)</f>
        <v>625</v>
      </c>
      <c r="D27" s="5">
        <f>IFERROR(__xludf.DUMMYFUNCTION("""COMPUTED_VALUE"""),595.5)</f>
        <v>595.5</v>
      </c>
      <c r="E27" s="5">
        <f>IFERROR(__xludf.DUMMYFUNCTION("""COMPUTED_VALUE"""),603.15)</f>
        <v>603.15</v>
      </c>
      <c r="F27" s="5">
        <f>IFERROR(__xludf.DUMMYFUNCTION("""COMPUTED_VALUE"""),1.0828729E7)</f>
        <v>10828729</v>
      </c>
    </row>
    <row r="28">
      <c r="A28" s="6">
        <f>IFERROR(__xludf.DUMMYFUNCTION("""COMPUTED_VALUE"""),45366.64583333333)</f>
        <v>45366.64583</v>
      </c>
      <c r="B28" s="5">
        <f>IFERROR(__xludf.DUMMYFUNCTION("""COMPUTED_VALUE"""),604.9)</f>
        <v>604.9</v>
      </c>
      <c r="C28" s="5">
        <f>IFERROR(__xludf.DUMMYFUNCTION("""COMPUTED_VALUE"""),612.4)</f>
        <v>612.4</v>
      </c>
      <c r="D28" s="5">
        <f>IFERROR(__xludf.DUMMYFUNCTION("""COMPUTED_VALUE"""),550.8)</f>
        <v>550.8</v>
      </c>
      <c r="E28" s="5">
        <f>IFERROR(__xludf.DUMMYFUNCTION("""COMPUTED_VALUE"""),600.75)</f>
        <v>600.75</v>
      </c>
      <c r="F28" s="5">
        <f>IFERROR(__xludf.DUMMYFUNCTION("""COMPUTED_VALUE"""),1.8287406E7)</f>
        <v>18287406</v>
      </c>
    </row>
    <row r="29">
      <c r="A29" s="6">
        <f>IFERROR(__xludf.DUMMYFUNCTION("""COMPUTED_VALUE"""),45373.64583333333)</f>
        <v>45373.64583</v>
      </c>
      <c r="B29" s="5">
        <f>IFERROR(__xludf.DUMMYFUNCTION("""COMPUTED_VALUE"""),595.0)</f>
        <v>595</v>
      </c>
      <c r="C29" s="5">
        <f>IFERROR(__xludf.DUMMYFUNCTION("""COMPUTED_VALUE"""),595.0)</f>
        <v>595</v>
      </c>
      <c r="D29" s="5">
        <f>IFERROR(__xludf.DUMMYFUNCTION("""COMPUTED_VALUE"""),566.6)</f>
        <v>566.6</v>
      </c>
      <c r="E29" s="5">
        <f>IFERROR(__xludf.DUMMYFUNCTION("""COMPUTED_VALUE"""),589.35)</f>
        <v>589.35</v>
      </c>
      <c r="F29" s="5">
        <f>IFERROR(__xludf.DUMMYFUNCTION("""COMPUTED_VALUE"""),1.3843494E7)</f>
        <v>13843494</v>
      </c>
    </row>
    <row r="30">
      <c r="A30" s="6">
        <f>IFERROR(__xludf.DUMMYFUNCTION("""COMPUTED_VALUE"""),45379.64583333333)</f>
        <v>45379.64583</v>
      </c>
      <c r="B30" s="5">
        <f>IFERROR(__xludf.DUMMYFUNCTION("""COMPUTED_VALUE"""),589.35)</f>
        <v>589.35</v>
      </c>
      <c r="C30" s="5">
        <f>IFERROR(__xludf.DUMMYFUNCTION("""COMPUTED_VALUE"""),617.0)</f>
        <v>617</v>
      </c>
      <c r="D30" s="5">
        <f>IFERROR(__xludf.DUMMYFUNCTION("""COMPUTED_VALUE"""),586.5)</f>
        <v>586.5</v>
      </c>
      <c r="E30" s="5">
        <f>IFERROR(__xludf.DUMMYFUNCTION("""COMPUTED_VALUE"""),612.35)</f>
        <v>612.35</v>
      </c>
      <c r="F30" s="5">
        <f>IFERROR(__xludf.DUMMYFUNCTION("""COMPUTED_VALUE"""),1.1107023E7)</f>
        <v>11107023</v>
      </c>
    </row>
    <row r="31">
      <c r="A31" s="6">
        <f>IFERROR(__xludf.DUMMYFUNCTION("""COMPUTED_VALUE"""),45387.64583333333)</f>
        <v>45387.64583</v>
      </c>
      <c r="B31" s="5">
        <f>IFERROR(__xludf.DUMMYFUNCTION("""COMPUTED_VALUE"""),619.4)</f>
        <v>619.4</v>
      </c>
      <c r="C31" s="5">
        <f>IFERROR(__xludf.DUMMYFUNCTION("""COMPUTED_VALUE"""),640.8)</f>
        <v>640.8</v>
      </c>
      <c r="D31" s="5">
        <f>IFERROR(__xludf.DUMMYFUNCTION("""COMPUTED_VALUE"""),613.3)</f>
        <v>613.3</v>
      </c>
      <c r="E31" s="5">
        <f>IFERROR(__xludf.DUMMYFUNCTION("""COMPUTED_VALUE"""),627.2)</f>
        <v>627.2</v>
      </c>
      <c r="F31" s="5">
        <f>IFERROR(__xludf.DUMMYFUNCTION("""COMPUTED_VALUE"""),1.7355909E7)</f>
        <v>17355909</v>
      </c>
    </row>
    <row r="32">
      <c r="A32" s="6">
        <f>IFERROR(__xludf.DUMMYFUNCTION("""COMPUTED_VALUE"""),45394.64583333333)</f>
        <v>45394.64583</v>
      </c>
      <c r="B32" s="5">
        <f>IFERROR(__xludf.DUMMYFUNCTION("""COMPUTED_VALUE"""),627.2)</f>
        <v>627.2</v>
      </c>
      <c r="C32" s="5">
        <f>IFERROR(__xludf.DUMMYFUNCTION("""COMPUTED_VALUE"""),634.5)</f>
        <v>634.5</v>
      </c>
      <c r="D32" s="5">
        <f>IFERROR(__xludf.DUMMYFUNCTION("""COMPUTED_VALUE"""),605.6)</f>
        <v>605.6</v>
      </c>
      <c r="E32" s="5">
        <f>IFERROR(__xludf.DUMMYFUNCTION("""COMPUTED_VALUE"""),608.85)</f>
        <v>608.85</v>
      </c>
      <c r="F32" s="5">
        <f>IFERROR(__xludf.DUMMYFUNCTION("""COMPUTED_VALUE"""),1.0852323E7)</f>
        <v>10852323</v>
      </c>
    </row>
    <row r="33">
      <c r="A33" s="6">
        <f>IFERROR(__xludf.DUMMYFUNCTION("""COMPUTED_VALUE"""),45401.64583333333)</f>
        <v>45401.64583</v>
      </c>
      <c r="B33" s="5">
        <f>IFERROR(__xludf.DUMMYFUNCTION("""COMPUTED_VALUE"""),600.0)</f>
        <v>600</v>
      </c>
      <c r="C33" s="5">
        <f>IFERROR(__xludf.DUMMYFUNCTION("""COMPUTED_VALUE"""),637.8)</f>
        <v>637.8</v>
      </c>
      <c r="D33" s="5">
        <f>IFERROR(__xludf.DUMMYFUNCTION("""COMPUTED_VALUE"""),593.45)</f>
        <v>593.45</v>
      </c>
      <c r="E33" s="5">
        <f>IFERROR(__xludf.DUMMYFUNCTION("""COMPUTED_VALUE"""),609.65)</f>
        <v>609.65</v>
      </c>
      <c r="F33" s="5">
        <f>IFERROR(__xludf.DUMMYFUNCTION("""COMPUTED_VALUE"""),1.1576806E7)</f>
        <v>11576806</v>
      </c>
    </row>
    <row r="34">
      <c r="A34" s="6">
        <f>IFERROR(__xludf.DUMMYFUNCTION("""COMPUTED_VALUE"""),45408.64583333333)</f>
        <v>45408.64583</v>
      </c>
      <c r="B34" s="5">
        <f>IFERROR(__xludf.DUMMYFUNCTION("""COMPUTED_VALUE"""),616.0)</f>
        <v>616</v>
      </c>
      <c r="C34" s="5">
        <f>IFERROR(__xludf.DUMMYFUNCTION("""COMPUTED_VALUE"""),649.0)</f>
        <v>649</v>
      </c>
      <c r="D34" s="5">
        <f>IFERROR(__xludf.DUMMYFUNCTION("""COMPUTED_VALUE"""),613.1)</f>
        <v>613.1</v>
      </c>
      <c r="E34" s="5">
        <f>IFERROR(__xludf.DUMMYFUNCTION("""COMPUTED_VALUE"""),632.35)</f>
        <v>632.35</v>
      </c>
      <c r="F34" s="5">
        <f>IFERROR(__xludf.DUMMYFUNCTION("""COMPUTED_VALUE"""),1.5049832E7)</f>
        <v>15049832</v>
      </c>
    </row>
    <row r="35">
      <c r="A35" s="6">
        <f>IFERROR(__xludf.DUMMYFUNCTION("""COMPUTED_VALUE"""),45415.64583333333)</f>
        <v>45415.64583</v>
      </c>
      <c r="B35" s="5">
        <f>IFERROR(__xludf.DUMMYFUNCTION("""COMPUTED_VALUE"""),638.0)</f>
        <v>638</v>
      </c>
      <c r="C35" s="5">
        <f>IFERROR(__xludf.DUMMYFUNCTION("""COMPUTED_VALUE"""),638.3)</f>
        <v>638.3</v>
      </c>
      <c r="D35" s="5">
        <f>IFERROR(__xludf.DUMMYFUNCTION("""COMPUTED_VALUE"""),609.15)</f>
        <v>609.15</v>
      </c>
      <c r="E35" s="5">
        <f>IFERROR(__xludf.DUMMYFUNCTION("""COMPUTED_VALUE"""),622.45)</f>
        <v>622.45</v>
      </c>
      <c r="F35" s="5">
        <f>IFERROR(__xludf.DUMMYFUNCTION("""COMPUTED_VALUE"""),1.6585252E7)</f>
        <v>16585252</v>
      </c>
    </row>
    <row r="36">
      <c r="A36" s="6">
        <f>IFERROR(__xludf.DUMMYFUNCTION("""COMPUTED_VALUE"""),45422.64583333333)</f>
        <v>45422.64583</v>
      </c>
      <c r="B36" s="5">
        <f>IFERROR(__xludf.DUMMYFUNCTION("""COMPUTED_VALUE"""),625.05)</f>
        <v>625.05</v>
      </c>
      <c r="C36" s="5">
        <f>IFERROR(__xludf.DUMMYFUNCTION("""COMPUTED_VALUE"""),625.75)</f>
        <v>625.75</v>
      </c>
      <c r="D36" s="5">
        <f>IFERROR(__xludf.DUMMYFUNCTION("""COMPUTED_VALUE"""),572.0)</f>
        <v>572</v>
      </c>
      <c r="E36" s="5">
        <f>IFERROR(__xludf.DUMMYFUNCTION("""COMPUTED_VALUE"""),581.8)</f>
        <v>581.8</v>
      </c>
      <c r="F36" s="5">
        <f>IFERROR(__xludf.DUMMYFUNCTION("""COMPUTED_VALUE"""),1.4122481E7)</f>
        <v>14122481</v>
      </c>
    </row>
    <row r="37">
      <c r="A37" s="6">
        <f>IFERROR(__xludf.DUMMYFUNCTION("""COMPUTED_VALUE"""),45436.64583333333)</f>
        <v>45436.64583</v>
      </c>
      <c r="B37" s="5">
        <f>IFERROR(__xludf.DUMMYFUNCTION("""COMPUTED_VALUE"""),620.9)</f>
        <v>620.9</v>
      </c>
      <c r="C37" s="5">
        <f>IFERROR(__xludf.DUMMYFUNCTION("""COMPUTED_VALUE"""),656.95)</f>
        <v>656.95</v>
      </c>
      <c r="D37" s="5">
        <f>IFERROR(__xludf.DUMMYFUNCTION("""COMPUTED_VALUE"""),613.3)</f>
        <v>613.3</v>
      </c>
      <c r="E37" s="5">
        <f>IFERROR(__xludf.DUMMYFUNCTION("""COMPUTED_VALUE"""),635.3)</f>
        <v>635.3</v>
      </c>
      <c r="F37" s="5">
        <f>IFERROR(__xludf.DUMMYFUNCTION("""COMPUTED_VALUE"""),1.560505E7)</f>
        <v>15605050</v>
      </c>
    </row>
    <row r="38">
      <c r="A38" s="6">
        <f>IFERROR(__xludf.DUMMYFUNCTION("""COMPUTED_VALUE"""),45443.64583333333)</f>
        <v>45443.64583</v>
      </c>
      <c r="B38" s="5">
        <f>IFERROR(__xludf.DUMMYFUNCTION("""COMPUTED_VALUE"""),638.7)</f>
        <v>638.7</v>
      </c>
      <c r="C38" s="5">
        <f>IFERROR(__xludf.DUMMYFUNCTION("""COMPUTED_VALUE"""),639.85)</f>
        <v>639.85</v>
      </c>
      <c r="D38" s="5">
        <f>IFERROR(__xludf.DUMMYFUNCTION("""COMPUTED_VALUE"""),616.35)</f>
        <v>616.35</v>
      </c>
      <c r="E38" s="5">
        <f>IFERROR(__xludf.DUMMYFUNCTION("""COMPUTED_VALUE"""),634.05)</f>
        <v>634.05</v>
      </c>
      <c r="F38" s="5">
        <f>IFERROR(__xludf.DUMMYFUNCTION("""COMPUTED_VALUE"""),1.1964693E7)</f>
        <v>11964693</v>
      </c>
    </row>
    <row r="39">
      <c r="A39" s="6">
        <f>IFERROR(__xludf.DUMMYFUNCTION("""COMPUTED_VALUE"""),45450.64583333333)</f>
        <v>45450.64583</v>
      </c>
      <c r="B39" s="5">
        <f>IFERROR(__xludf.DUMMYFUNCTION("""COMPUTED_VALUE"""),668.0)</f>
        <v>668</v>
      </c>
      <c r="C39" s="5">
        <f>IFERROR(__xludf.DUMMYFUNCTION("""COMPUTED_VALUE"""),676.65)</f>
        <v>676.65</v>
      </c>
      <c r="D39" s="5">
        <f>IFERROR(__xludf.DUMMYFUNCTION("""COMPUTED_VALUE"""),518.35)</f>
        <v>518.35</v>
      </c>
      <c r="E39" s="5">
        <f>IFERROR(__xludf.DUMMYFUNCTION("""COMPUTED_VALUE"""),621.3)</f>
        <v>621.3</v>
      </c>
      <c r="F39" s="5">
        <f>IFERROR(__xludf.DUMMYFUNCTION("""COMPUTED_VALUE"""),4.459634E7)</f>
        <v>44596340</v>
      </c>
    </row>
    <row r="40">
      <c r="A40" s="6">
        <f>IFERROR(__xludf.DUMMYFUNCTION("""COMPUTED_VALUE"""),45457.64583333333)</f>
        <v>45457.64583</v>
      </c>
      <c r="B40" s="5">
        <f>IFERROR(__xludf.DUMMYFUNCTION("""COMPUTED_VALUE"""),626.0)</f>
        <v>626</v>
      </c>
      <c r="C40" s="5">
        <f>IFERROR(__xludf.DUMMYFUNCTION("""COMPUTED_VALUE"""),689.0)</f>
        <v>689</v>
      </c>
      <c r="D40" s="5">
        <f>IFERROR(__xludf.DUMMYFUNCTION("""COMPUTED_VALUE"""),624.0)</f>
        <v>624</v>
      </c>
      <c r="E40" s="5">
        <f>IFERROR(__xludf.DUMMYFUNCTION("""COMPUTED_VALUE"""),677.2)</f>
        <v>677.2</v>
      </c>
      <c r="F40" s="5">
        <f>IFERROR(__xludf.DUMMYFUNCTION("""COMPUTED_VALUE"""),3.6079627E7)</f>
        <v>36079627</v>
      </c>
    </row>
    <row r="41">
      <c r="A41" s="6">
        <f>IFERROR(__xludf.DUMMYFUNCTION("""COMPUTED_VALUE"""),45464.64583333333)</f>
        <v>45464.64583</v>
      </c>
      <c r="B41" s="5">
        <f>IFERROR(__xludf.DUMMYFUNCTION("""COMPUTED_VALUE"""),682.95)</f>
        <v>682.95</v>
      </c>
      <c r="C41" s="5">
        <f>IFERROR(__xludf.DUMMYFUNCTION("""COMPUTED_VALUE"""),682.95)</f>
        <v>682.95</v>
      </c>
      <c r="D41" s="5">
        <f>IFERROR(__xludf.DUMMYFUNCTION("""COMPUTED_VALUE"""),653.0)</f>
        <v>653</v>
      </c>
      <c r="E41" s="5">
        <f>IFERROR(__xludf.DUMMYFUNCTION("""COMPUTED_VALUE"""),657.45)</f>
        <v>657.45</v>
      </c>
      <c r="F41" s="5">
        <f>IFERROR(__xludf.DUMMYFUNCTION("""COMPUTED_VALUE"""),1.2339061E7)</f>
        <v>12339061</v>
      </c>
    </row>
    <row r="42">
      <c r="A42" s="6">
        <f>IFERROR(__xludf.DUMMYFUNCTION("""COMPUTED_VALUE"""),45471.64583333333)</f>
        <v>45471.64583</v>
      </c>
      <c r="B42" s="5">
        <f>IFERROR(__xludf.DUMMYFUNCTION("""COMPUTED_VALUE"""),655.05)</f>
        <v>655.05</v>
      </c>
      <c r="C42" s="5">
        <f>IFERROR(__xludf.DUMMYFUNCTION("""COMPUTED_VALUE"""),678.15)</f>
        <v>678.15</v>
      </c>
      <c r="D42" s="5">
        <f>IFERROR(__xludf.DUMMYFUNCTION("""COMPUTED_VALUE"""),643.25)</f>
        <v>643.25</v>
      </c>
      <c r="E42" s="5">
        <f>IFERROR(__xludf.DUMMYFUNCTION("""COMPUTED_VALUE"""),670.25)</f>
        <v>670.25</v>
      </c>
      <c r="F42" s="5">
        <f>IFERROR(__xludf.DUMMYFUNCTION("""COMPUTED_VALUE"""),1.96981E7)</f>
        <v>19698100</v>
      </c>
    </row>
    <row r="43">
      <c r="A43" s="6">
        <f>IFERROR(__xludf.DUMMYFUNCTION("""COMPUTED_VALUE"""),45478.64583333333)</f>
        <v>45478.64583</v>
      </c>
      <c r="B43" s="5">
        <f>IFERROR(__xludf.DUMMYFUNCTION("""COMPUTED_VALUE"""),668.0)</f>
        <v>668</v>
      </c>
      <c r="C43" s="5">
        <f>IFERROR(__xludf.DUMMYFUNCTION("""COMPUTED_VALUE"""),706.95)</f>
        <v>706.95</v>
      </c>
      <c r="D43" s="5">
        <f>IFERROR(__xludf.DUMMYFUNCTION("""COMPUTED_VALUE"""),664.05)</f>
        <v>664.05</v>
      </c>
      <c r="E43" s="5">
        <f>IFERROR(__xludf.DUMMYFUNCTION("""COMPUTED_VALUE"""),686.0)</f>
        <v>686</v>
      </c>
      <c r="F43" s="5">
        <f>IFERROR(__xludf.DUMMYFUNCTION("""COMPUTED_VALUE"""),2.2626303E7)</f>
        <v>22626303</v>
      </c>
    </row>
    <row r="44">
      <c r="A44" s="6">
        <f>IFERROR(__xludf.DUMMYFUNCTION("""COMPUTED_VALUE"""),45485.64583333333)</f>
        <v>45485.64583</v>
      </c>
      <c r="B44" s="5">
        <f>IFERROR(__xludf.DUMMYFUNCTION("""COMPUTED_VALUE"""),686.45)</f>
        <v>686.45</v>
      </c>
      <c r="C44" s="5">
        <f>IFERROR(__xludf.DUMMYFUNCTION("""COMPUTED_VALUE"""),688.55)</f>
        <v>688.55</v>
      </c>
      <c r="D44" s="5">
        <f>IFERROR(__xludf.DUMMYFUNCTION("""COMPUTED_VALUE"""),656.2)</f>
        <v>656.2</v>
      </c>
      <c r="E44" s="5">
        <f>IFERROR(__xludf.DUMMYFUNCTION("""COMPUTED_VALUE"""),676.5)</f>
        <v>676.5</v>
      </c>
      <c r="F44" s="5">
        <f>IFERROR(__xludf.DUMMYFUNCTION("""COMPUTED_VALUE"""),2.0393673E7)</f>
        <v>20393673</v>
      </c>
    </row>
    <row r="45">
      <c r="A45" s="6">
        <f>IFERROR(__xludf.DUMMYFUNCTION("""COMPUTED_VALUE"""),45492.64583333333)</f>
        <v>45492.64583</v>
      </c>
      <c r="B45" s="5">
        <f>IFERROR(__xludf.DUMMYFUNCTION("""COMPUTED_VALUE"""),686.55)</f>
        <v>686.55</v>
      </c>
      <c r="C45" s="5">
        <f>IFERROR(__xludf.DUMMYFUNCTION("""COMPUTED_VALUE"""),692.45)</f>
        <v>692.45</v>
      </c>
      <c r="D45" s="5">
        <f>IFERROR(__xludf.DUMMYFUNCTION("""COMPUTED_VALUE"""),670.4)</f>
        <v>670.4</v>
      </c>
      <c r="E45" s="5">
        <f>IFERROR(__xludf.DUMMYFUNCTION("""COMPUTED_VALUE"""),677.9)</f>
        <v>677.9</v>
      </c>
      <c r="F45" s="5">
        <f>IFERROR(__xludf.DUMMYFUNCTION("""COMPUTED_VALUE"""),1.0317103E7)</f>
        <v>10317103</v>
      </c>
    </row>
    <row r="46">
      <c r="A46" s="6">
        <f>IFERROR(__xludf.DUMMYFUNCTION("""COMPUTED_VALUE"""),45499.64583333333)</f>
        <v>45499.64583</v>
      </c>
      <c r="B46" s="5">
        <f>IFERROR(__xludf.DUMMYFUNCTION("""COMPUTED_VALUE"""),677.85)</f>
        <v>677.85</v>
      </c>
      <c r="C46" s="5">
        <f>IFERROR(__xludf.DUMMYFUNCTION("""COMPUTED_VALUE"""),695.0)</f>
        <v>695</v>
      </c>
      <c r="D46" s="5">
        <f>IFERROR(__xludf.DUMMYFUNCTION("""COMPUTED_VALUE"""),662.6)</f>
        <v>662.6</v>
      </c>
      <c r="E46" s="5">
        <f>IFERROR(__xludf.DUMMYFUNCTION("""COMPUTED_VALUE"""),686.4)</f>
        <v>686.4</v>
      </c>
      <c r="F46" s="5">
        <f>IFERROR(__xludf.DUMMYFUNCTION("""COMPUTED_VALUE"""),1.1995458E7)</f>
        <v>11995458</v>
      </c>
    </row>
    <row r="47">
      <c r="A47" s="6">
        <f>IFERROR(__xludf.DUMMYFUNCTION("""COMPUTED_VALUE"""),45506.64583333333)</f>
        <v>45506.64583</v>
      </c>
      <c r="B47" s="5">
        <f>IFERROR(__xludf.DUMMYFUNCTION("""COMPUTED_VALUE"""),692.0)</f>
        <v>692</v>
      </c>
      <c r="C47" s="5">
        <f>IFERROR(__xludf.DUMMYFUNCTION("""COMPUTED_VALUE"""),693.5)</f>
        <v>693.5</v>
      </c>
      <c r="D47" s="5">
        <f>IFERROR(__xludf.DUMMYFUNCTION("""COMPUTED_VALUE"""),648.6)</f>
        <v>648.6</v>
      </c>
      <c r="E47" s="5">
        <f>IFERROR(__xludf.DUMMYFUNCTION("""COMPUTED_VALUE"""),652.8)</f>
        <v>652.8</v>
      </c>
      <c r="F47" s="5">
        <f>IFERROR(__xludf.DUMMYFUNCTION("""COMPUTED_VALUE"""),2.087666E7)</f>
        <v>20876660</v>
      </c>
    </row>
    <row r="48">
      <c r="A48" s="6">
        <f>IFERROR(__xludf.DUMMYFUNCTION("""COMPUTED_VALUE"""),45513.64583333333)</f>
        <v>45513.64583</v>
      </c>
      <c r="B48" s="5">
        <f>IFERROR(__xludf.DUMMYFUNCTION("""COMPUTED_VALUE"""),647.0)</f>
        <v>647</v>
      </c>
      <c r="C48" s="5">
        <f>IFERROR(__xludf.DUMMYFUNCTION("""COMPUTED_VALUE"""),650.55)</f>
        <v>650.55</v>
      </c>
      <c r="D48" s="5">
        <f>IFERROR(__xludf.DUMMYFUNCTION("""COMPUTED_VALUE"""),622.95)</f>
        <v>622.95</v>
      </c>
      <c r="E48" s="5">
        <f>IFERROR(__xludf.DUMMYFUNCTION("""COMPUTED_VALUE"""),632.0)</f>
        <v>632</v>
      </c>
      <c r="F48" s="5">
        <f>IFERROR(__xludf.DUMMYFUNCTION("""COMPUTED_VALUE"""),1.157687E7)</f>
        <v>11576870</v>
      </c>
    </row>
    <row r="49">
      <c r="A49" s="6">
        <f>IFERROR(__xludf.DUMMYFUNCTION("""COMPUTED_VALUE"""),45520.64583333333)</f>
        <v>45520.64583</v>
      </c>
      <c r="B49" s="5">
        <f>IFERROR(__xludf.DUMMYFUNCTION("""COMPUTED_VALUE"""),621.1)</f>
        <v>621.1</v>
      </c>
      <c r="C49" s="5">
        <f>IFERROR(__xludf.DUMMYFUNCTION("""COMPUTED_VALUE"""),641.95)</f>
        <v>641.95</v>
      </c>
      <c r="D49" s="5">
        <f>IFERROR(__xludf.DUMMYFUNCTION("""COMPUTED_VALUE"""),617.5)</f>
        <v>617.5</v>
      </c>
      <c r="E49" s="5">
        <f>IFERROR(__xludf.DUMMYFUNCTION("""COMPUTED_VALUE"""),640.5)</f>
        <v>640.5</v>
      </c>
      <c r="F49" s="5">
        <f>IFERROR(__xludf.DUMMYFUNCTION("""COMPUTED_VALUE"""),6477214.0)</f>
        <v>6477214</v>
      </c>
    </row>
    <row r="50">
      <c r="A50" s="6">
        <f>IFERROR(__xludf.DUMMYFUNCTION("""COMPUTED_VALUE"""),45527.64583333333)</f>
        <v>45527.64583</v>
      </c>
      <c r="B50" s="5">
        <f>IFERROR(__xludf.DUMMYFUNCTION("""COMPUTED_VALUE"""),643.0)</f>
        <v>643</v>
      </c>
      <c r="C50" s="5">
        <f>IFERROR(__xludf.DUMMYFUNCTION("""COMPUTED_VALUE"""),660.0)</f>
        <v>660</v>
      </c>
      <c r="D50" s="5">
        <f>IFERROR(__xludf.DUMMYFUNCTION("""COMPUTED_VALUE"""),622.45)</f>
        <v>622.45</v>
      </c>
      <c r="E50" s="5">
        <f>IFERROR(__xludf.DUMMYFUNCTION("""COMPUTED_VALUE"""),633.6)</f>
        <v>633.6</v>
      </c>
      <c r="F50" s="5">
        <f>IFERROR(__xludf.DUMMYFUNCTION("""COMPUTED_VALUE"""),2.3019058E7)</f>
        <v>23019058</v>
      </c>
    </row>
    <row r="51">
      <c r="A51" s="6">
        <f>IFERROR(__xludf.DUMMYFUNCTION("""COMPUTED_VALUE"""),45534.64583333333)</f>
        <v>45534.64583</v>
      </c>
      <c r="B51" s="5">
        <f>IFERROR(__xludf.DUMMYFUNCTION("""COMPUTED_VALUE"""),638.95)</f>
        <v>638.95</v>
      </c>
      <c r="C51" s="5">
        <f>IFERROR(__xludf.DUMMYFUNCTION("""COMPUTED_VALUE"""),639.9)</f>
        <v>639.9</v>
      </c>
      <c r="D51" s="5">
        <f>IFERROR(__xludf.DUMMYFUNCTION("""COMPUTED_VALUE"""),600.7)</f>
        <v>600.7</v>
      </c>
      <c r="E51" s="5">
        <f>IFERROR(__xludf.DUMMYFUNCTION("""COMPUTED_VALUE"""),617.05)</f>
        <v>617.05</v>
      </c>
      <c r="F51" s="5">
        <f>IFERROR(__xludf.DUMMYFUNCTION("""COMPUTED_VALUE"""),1.847588E7)</f>
        <v>18475880</v>
      </c>
    </row>
    <row r="52">
      <c r="A52" s="6">
        <f>IFERROR(__xludf.DUMMYFUNCTION("""COMPUTED_VALUE"""),45541.64583333333)</f>
        <v>45541.64583</v>
      </c>
      <c r="B52" s="5">
        <f>IFERROR(__xludf.DUMMYFUNCTION("""COMPUTED_VALUE"""),620.0)</f>
        <v>620</v>
      </c>
      <c r="C52" s="5">
        <f>IFERROR(__xludf.DUMMYFUNCTION("""COMPUTED_VALUE"""),636.75)</f>
        <v>636.75</v>
      </c>
      <c r="D52" s="5">
        <f>IFERROR(__xludf.DUMMYFUNCTION("""COMPUTED_VALUE"""),612.6)</f>
        <v>612.6</v>
      </c>
      <c r="E52" s="5">
        <f>IFERROR(__xludf.DUMMYFUNCTION("""COMPUTED_VALUE"""),623.25)</f>
        <v>623.25</v>
      </c>
      <c r="F52" s="5">
        <f>IFERROR(__xludf.DUMMYFUNCTION("""COMPUTED_VALUE"""),1.2037473E7)</f>
        <v>12037473</v>
      </c>
    </row>
    <row r="53">
      <c r="A53" s="6">
        <f>IFERROR(__xludf.DUMMYFUNCTION("""COMPUTED_VALUE"""),45548.64583333333)</f>
        <v>45548.64583</v>
      </c>
      <c r="B53" s="5">
        <f>IFERROR(__xludf.DUMMYFUNCTION("""COMPUTED_VALUE"""),622.9)</f>
        <v>622.9</v>
      </c>
      <c r="C53" s="5">
        <f>IFERROR(__xludf.DUMMYFUNCTION("""COMPUTED_VALUE"""),635.75)</f>
        <v>635.75</v>
      </c>
      <c r="D53" s="5">
        <f>IFERROR(__xludf.DUMMYFUNCTION("""COMPUTED_VALUE"""),614.75)</f>
        <v>614.75</v>
      </c>
      <c r="E53" s="5">
        <f>IFERROR(__xludf.DUMMYFUNCTION("""COMPUTED_VALUE"""),629.6)</f>
        <v>629.6</v>
      </c>
      <c r="F53" s="5">
        <f>IFERROR(__xludf.DUMMYFUNCTION("""COMPUTED_VALUE"""),7752226.0)</f>
        <v>7752226</v>
      </c>
    </row>
    <row r="54">
      <c r="A54" s="6">
        <f>IFERROR(__xludf.DUMMYFUNCTION("""COMPUTED_VALUE"""),45555.64583333333)</f>
        <v>45555.64583</v>
      </c>
      <c r="B54" s="5">
        <f>IFERROR(__xludf.DUMMYFUNCTION("""COMPUTED_VALUE"""),631.0)</f>
        <v>631</v>
      </c>
      <c r="C54" s="5">
        <f>IFERROR(__xludf.DUMMYFUNCTION("""COMPUTED_VALUE"""),633.85)</f>
        <v>633.85</v>
      </c>
      <c r="D54" s="5">
        <f>IFERROR(__xludf.DUMMYFUNCTION("""COMPUTED_VALUE"""),598.0)</f>
        <v>598</v>
      </c>
      <c r="E54" s="5">
        <f>IFERROR(__xludf.DUMMYFUNCTION("""COMPUTED_VALUE"""),616.55)</f>
        <v>616.55</v>
      </c>
      <c r="F54" s="5">
        <f>IFERROR(__xludf.DUMMYFUNCTION("""COMPUTED_VALUE"""),6876478.0)</f>
        <v>6876478</v>
      </c>
    </row>
    <row r="55">
      <c r="A55" s="6">
        <f>IFERROR(__xludf.DUMMYFUNCTION("""COMPUTED_VALUE"""),45562.64583333333)</f>
        <v>45562.64583</v>
      </c>
      <c r="B55" s="5">
        <f>IFERROR(__xludf.DUMMYFUNCTION("""COMPUTED_VALUE"""),620.0)</f>
        <v>620</v>
      </c>
      <c r="C55" s="5">
        <f>IFERROR(__xludf.DUMMYFUNCTION("""COMPUTED_VALUE"""),636.45)</f>
        <v>636.45</v>
      </c>
      <c r="D55" s="5">
        <f>IFERROR(__xludf.DUMMYFUNCTION("""COMPUTED_VALUE"""),610.0)</f>
        <v>610</v>
      </c>
      <c r="E55" s="5">
        <f>IFERROR(__xludf.DUMMYFUNCTION("""COMPUTED_VALUE"""),634.0)</f>
        <v>634</v>
      </c>
      <c r="F55" s="5">
        <f>IFERROR(__xludf.DUMMYFUNCTION("""COMPUTED_VALUE"""),1.0178161E7)</f>
        <v>10178161</v>
      </c>
    </row>
    <row r="56">
      <c r="A56" s="6">
        <f>IFERROR(__xludf.DUMMYFUNCTION("""COMPUTED_VALUE"""),45569.64583333333)</f>
        <v>45569.64583</v>
      </c>
      <c r="B56" s="5">
        <f>IFERROR(__xludf.DUMMYFUNCTION("""COMPUTED_VALUE"""),634.0)</f>
        <v>634</v>
      </c>
      <c r="C56" s="5">
        <f>IFERROR(__xludf.DUMMYFUNCTION("""COMPUTED_VALUE"""),643.3)</f>
        <v>643.3</v>
      </c>
      <c r="D56" s="5">
        <f>IFERROR(__xludf.DUMMYFUNCTION("""COMPUTED_VALUE"""),604.6)</f>
        <v>604.6</v>
      </c>
      <c r="E56" s="5">
        <f>IFERROR(__xludf.DUMMYFUNCTION("""COMPUTED_VALUE"""),610.7)</f>
        <v>610.7</v>
      </c>
      <c r="F56" s="5">
        <f>IFERROR(__xludf.DUMMYFUNCTION("""COMPUTED_VALUE"""),8814245.0)</f>
        <v>8814245</v>
      </c>
    </row>
    <row r="57">
      <c r="A57" s="6">
        <f>IFERROR(__xludf.DUMMYFUNCTION("""COMPUTED_VALUE"""),45576.64583333333)</f>
        <v>45576.64583</v>
      </c>
      <c r="B57" s="5">
        <f>IFERROR(__xludf.DUMMYFUNCTION("""COMPUTED_VALUE"""),615.0)</f>
        <v>615</v>
      </c>
      <c r="C57" s="5">
        <f>IFERROR(__xludf.DUMMYFUNCTION("""COMPUTED_VALUE"""),619.35)</f>
        <v>619.35</v>
      </c>
      <c r="D57" s="5">
        <f>IFERROR(__xludf.DUMMYFUNCTION("""COMPUTED_VALUE"""),582.0)</f>
        <v>582</v>
      </c>
      <c r="E57" s="5">
        <f>IFERROR(__xludf.DUMMYFUNCTION("""COMPUTED_VALUE"""),585.2)</f>
        <v>585.2</v>
      </c>
      <c r="F57" s="5">
        <f>IFERROR(__xludf.DUMMYFUNCTION("""COMPUTED_VALUE"""),1.8182311E7)</f>
        <v>18182311</v>
      </c>
    </row>
    <row r="58">
      <c r="A58" s="6">
        <f>IFERROR(__xludf.DUMMYFUNCTION("""COMPUTED_VALUE"""),45583.64583333333)</f>
        <v>45583.64583</v>
      </c>
      <c r="B58" s="5">
        <f>IFERROR(__xludf.DUMMYFUNCTION("""COMPUTED_VALUE"""),587.95)</f>
        <v>587.95</v>
      </c>
      <c r="C58" s="5">
        <f>IFERROR(__xludf.DUMMYFUNCTION("""COMPUTED_VALUE"""),597.0)</f>
        <v>597</v>
      </c>
      <c r="D58" s="5">
        <f>IFERROR(__xludf.DUMMYFUNCTION("""COMPUTED_VALUE"""),558.95)</f>
        <v>558.95</v>
      </c>
      <c r="E58" s="5">
        <f>IFERROR(__xludf.DUMMYFUNCTION("""COMPUTED_VALUE"""),573.95)</f>
        <v>573.95</v>
      </c>
      <c r="F58" s="5">
        <f>IFERROR(__xludf.DUMMYFUNCTION("""COMPUTED_VALUE"""),3.1890593E7)</f>
        <v>31890593</v>
      </c>
    </row>
    <row r="59">
      <c r="A59" s="6">
        <f>IFERROR(__xludf.DUMMYFUNCTION("""COMPUTED_VALUE"""),45590.64583333333)</f>
        <v>45590.64583</v>
      </c>
      <c r="B59" s="5">
        <f>IFERROR(__xludf.DUMMYFUNCTION("""COMPUTED_VALUE"""),574.3)</f>
        <v>574.3</v>
      </c>
      <c r="C59" s="5">
        <f>IFERROR(__xludf.DUMMYFUNCTION("""COMPUTED_VALUE"""),583.25)</f>
        <v>583.25</v>
      </c>
      <c r="D59" s="5">
        <f>IFERROR(__xludf.DUMMYFUNCTION("""COMPUTED_VALUE"""),545.2)</f>
        <v>545.2</v>
      </c>
      <c r="E59" s="5">
        <f>IFERROR(__xludf.DUMMYFUNCTION("""COMPUTED_VALUE"""),552.7)</f>
        <v>552.7</v>
      </c>
      <c r="F59" s="5">
        <f>IFERROR(__xludf.DUMMYFUNCTION("""COMPUTED_VALUE"""),1.645284E7)</f>
        <v>16452840</v>
      </c>
    </row>
    <row r="60">
      <c r="A60" s="6">
        <f>IFERROR(__xludf.DUMMYFUNCTION("""COMPUTED_VALUE"""),45604.64583333333)</f>
        <v>45604.64583</v>
      </c>
      <c r="B60" s="5">
        <f>IFERROR(__xludf.DUMMYFUNCTION("""COMPUTED_VALUE"""),579.95)</f>
        <v>579.95</v>
      </c>
      <c r="C60" s="5">
        <f>IFERROR(__xludf.DUMMYFUNCTION("""COMPUTED_VALUE"""),585.05)</f>
        <v>585.05</v>
      </c>
      <c r="D60" s="5">
        <f>IFERROR(__xludf.DUMMYFUNCTION("""COMPUTED_VALUE"""),561.5)</f>
        <v>561.5</v>
      </c>
      <c r="E60" s="5">
        <f>IFERROR(__xludf.DUMMYFUNCTION("""COMPUTED_VALUE"""),564.9)</f>
        <v>564.9</v>
      </c>
      <c r="F60" s="5">
        <f>IFERROR(__xludf.DUMMYFUNCTION("""COMPUTED_VALUE"""),5092075.0)</f>
        <v>5092075</v>
      </c>
    </row>
    <row r="61">
      <c r="A61" s="6">
        <f>IFERROR(__xludf.DUMMYFUNCTION("""COMPUTED_VALUE"""),45610.64583333333)</f>
        <v>45610.64583</v>
      </c>
      <c r="B61" s="5">
        <f>IFERROR(__xludf.DUMMYFUNCTION("""COMPUTED_VALUE"""),564.0)</f>
        <v>564</v>
      </c>
      <c r="C61" s="5">
        <f>IFERROR(__xludf.DUMMYFUNCTION("""COMPUTED_VALUE"""),567.8)</f>
        <v>567.8</v>
      </c>
      <c r="D61" s="5">
        <f>IFERROR(__xludf.DUMMYFUNCTION("""COMPUTED_VALUE"""),541.05)</f>
        <v>541.05</v>
      </c>
      <c r="E61" s="5">
        <f>IFERROR(__xludf.DUMMYFUNCTION("""COMPUTED_VALUE"""),544.5)</f>
        <v>544.5</v>
      </c>
      <c r="F61" s="5">
        <f>IFERROR(__xludf.DUMMYFUNCTION("""COMPUTED_VALUE"""),3880806.0)</f>
        <v>3880806</v>
      </c>
    </row>
    <row r="62">
      <c r="A62" s="6">
        <f>IFERROR(__xludf.DUMMYFUNCTION("""COMPUTED_VALUE"""),45618.64583333333)</f>
        <v>45618.64583</v>
      </c>
      <c r="B62" s="5">
        <f>IFERROR(__xludf.DUMMYFUNCTION("""COMPUTED_VALUE"""),541.0)</f>
        <v>541</v>
      </c>
      <c r="C62" s="5">
        <f>IFERROR(__xludf.DUMMYFUNCTION("""COMPUTED_VALUE"""),560.35)</f>
        <v>560.35</v>
      </c>
      <c r="D62" s="5">
        <f>IFERROR(__xludf.DUMMYFUNCTION("""COMPUTED_VALUE"""),453.05)</f>
        <v>453.05</v>
      </c>
      <c r="E62" s="5">
        <f>IFERROR(__xludf.DUMMYFUNCTION("""COMPUTED_VALUE"""),499.85)</f>
        <v>499.85</v>
      </c>
      <c r="F62" s="5">
        <f>IFERROR(__xludf.DUMMYFUNCTION("""COMPUTED_VALUE"""),5.289462E7)</f>
        <v>52894620</v>
      </c>
    </row>
    <row r="63">
      <c r="A63" s="6">
        <f>IFERROR(__xludf.DUMMYFUNCTION("""COMPUTED_VALUE"""),45625.64583333333)</f>
        <v>45625.64583</v>
      </c>
      <c r="B63" s="5">
        <f>IFERROR(__xludf.DUMMYFUNCTION("""COMPUTED_VALUE"""),513.5)</f>
        <v>513.5</v>
      </c>
      <c r="C63" s="5">
        <f>IFERROR(__xludf.DUMMYFUNCTION("""COMPUTED_VALUE"""),535.7)</f>
        <v>535.7</v>
      </c>
      <c r="D63" s="5">
        <f>IFERROR(__xludf.DUMMYFUNCTION("""COMPUTED_VALUE"""),489.05)</f>
        <v>489.05</v>
      </c>
      <c r="E63" s="5">
        <f>IFERROR(__xludf.DUMMYFUNCTION("""COMPUTED_VALUE"""),531.5)</f>
        <v>531.5</v>
      </c>
      <c r="F63" s="5">
        <f>IFERROR(__xludf.DUMMYFUNCTION("""COMPUTED_VALUE"""),3.1669168E7)</f>
        <v>31669168</v>
      </c>
    </row>
    <row r="64">
      <c r="A64" s="6">
        <f>IFERROR(__xludf.DUMMYFUNCTION("""COMPUTED_VALUE"""),45632.64583333333)</f>
        <v>45632.64583</v>
      </c>
      <c r="B64" s="5">
        <f>IFERROR(__xludf.DUMMYFUNCTION("""COMPUTED_VALUE"""),532.0)</f>
        <v>532</v>
      </c>
      <c r="C64" s="5">
        <f>IFERROR(__xludf.DUMMYFUNCTION("""COMPUTED_VALUE"""),573.55)</f>
        <v>573.55</v>
      </c>
      <c r="D64" s="5">
        <f>IFERROR(__xludf.DUMMYFUNCTION("""COMPUTED_VALUE"""),530.05)</f>
        <v>530.05</v>
      </c>
      <c r="E64" s="5">
        <f>IFERROR(__xludf.DUMMYFUNCTION("""COMPUTED_VALUE"""),565.3)</f>
        <v>565.3</v>
      </c>
      <c r="F64" s="5">
        <f>IFERROR(__xludf.DUMMYFUNCTION("""COMPUTED_VALUE"""),1.4188342E7)</f>
        <v>14188342</v>
      </c>
    </row>
    <row r="65">
      <c r="A65" s="6">
        <f>IFERROR(__xludf.DUMMYFUNCTION("""COMPUTED_VALUE"""),45639.64583333333)</f>
        <v>45639.64583</v>
      </c>
      <c r="B65" s="5">
        <f>IFERROR(__xludf.DUMMYFUNCTION("""COMPUTED_VALUE"""),568.0)</f>
        <v>568</v>
      </c>
      <c r="C65" s="5">
        <f>IFERROR(__xludf.DUMMYFUNCTION("""COMPUTED_VALUE"""),584.2)</f>
        <v>584.2</v>
      </c>
      <c r="D65" s="5">
        <f>IFERROR(__xludf.DUMMYFUNCTION("""COMPUTED_VALUE"""),564.05)</f>
        <v>564.05</v>
      </c>
      <c r="E65" s="5">
        <f>IFERROR(__xludf.DUMMYFUNCTION("""COMPUTED_VALUE"""),572.75)</f>
        <v>572.75</v>
      </c>
      <c r="F65" s="5">
        <f>IFERROR(__xludf.DUMMYFUNCTION("""COMPUTED_VALUE"""),9485914.0)</f>
        <v>9485914</v>
      </c>
    </row>
    <row r="66">
      <c r="A66" s="6">
        <f>IFERROR(__xludf.DUMMYFUNCTION("""COMPUTED_VALUE"""),45646.64583333333)</f>
        <v>45646.64583</v>
      </c>
      <c r="B66" s="5">
        <f>IFERROR(__xludf.DUMMYFUNCTION("""COMPUTED_VALUE"""),573.25)</f>
        <v>573.25</v>
      </c>
      <c r="C66" s="5">
        <f>IFERROR(__xludf.DUMMYFUNCTION("""COMPUTED_VALUE"""),579.0)</f>
        <v>579</v>
      </c>
      <c r="D66" s="5">
        <f>IFERROR(__xludf.DUMMYFUNCTION("""COMPUTED_VALUE"""),547.0)</f>
        <v>547</v>
      </c>
      <c r="E66" s="5">
        <f>IFERROR(__xludf.DUMMYFUNCTION("""COMPUTED_VALUE"""),548.8)</f>
        <v>548.8</v>
      </c>
      <c r="F66" s="5">
        <f>IFERROR(__xludf.DUMMYFUNCTION("""COMPUTED_VALUE"""),7320541.0)</f>
        <v>7320541</v>
      </c>
    </row>
    <row r="67">
      <c r="A67" s="6">
        <f>IFERROR(__xludf.DUMMYFUNCTION("""COMPUTED_VALUE"""),45653.64583333333)</f>
        <v>45653.64583</v>
      </c>
      <c r="B67" s="5">
        <f>IFERROR(__xludf.DUMMYFUNCTION("""COMPUTED_VALUE"""),551.0)</f>
        <v>551</v>
      </c>
      <c r="C67" s="5">
        <f>IFERROR(__xludf.DUMMYFUNCTION("""COMPUTED_VALUE"""),557.0)</f>
        <v>557</v>
      </c>
      <c r="D67" s="5">
        <f>IFERROR(__xludf.DUMMYFUNCTION("""COMPUTED_VALUE"""),540.4)</f>
        <v>540.4</v>
      </c>
      <c r="E67" s="5">
        <f>IFERROR(__xludf.DUMMYFUNCTION("""COMPUTED_VALUE"""),547.95)</f>
        <v>547.95</v>
      </c>
      <c r="F67" s="5">
        <f>IFERROR(__xludf.DUMMYFUNCTION("""COMPUTED_VALUE"""),4667022.0)</f>
        <v>4667022</v>
      </c>
    </row>
    <row r="68">
      <c r="A68" s="6">
        <f>IFERROR(__xludf.DUMMYFUNCTION("""COMPUTED_VALUE"""),45660.64583333333)</f>
        <v>45660.64583</v>
      </c>
      <c r="B68" s="5">
        <f>IFERROR(__xludf.DUMMYFUNCTION("""COMPUTED_VALUE"""),548.0)</f>
        <v>548</v>
      </c>
      <c r="C68" s="5">
        <f>IFERROR(__xludf.DUMMYFUNCTION("""COMPUTED_VALUE"""),558.9)</f>
        <v>558.9</v>
      </c>
      <c r="D68" s="5">
        <f>IFERROR(__xludf.DUMMYFUNCTION("""COMPUTED_VALUE"""),530.55)</f>
        <v>530.55</v>
      </c>
      <c r="E68" s="5">
        <f>IFERROR(__xludf.DUMMYFUNCTION("""COMPUTED_VALUE"""),548.7)</f>
        <v>548.7</v>
      </c>
      <c r="F68" s="5">
        <f>IFERROR(__xludf.DUMMYFUNCTION("""COMPUTED_VALUE"""),1.0249059E7)</f>
        <v>10249059</v>
      </c>
    </row>
    <row r="69">
      <c r="A69" s="6">
        <f>IFERROR(__xludf.DUMMYFUNCTION("""COMPUTED_VALUE"""),45667.64583333333)</f>
        <v>45667.64583</v>
      </c>
      <c r="B69" s="5">
        <f>IFERROR(__xludf.DUMMYFUNCTION("""COMPUTED_VALUE"""),547.65)</f>
        <v>547.65</v>
      </c>
      <c r="C69" s="5">
        <f>IFERROR(__xludf.DUMMYFUNCTION("""COMPUTED_VALUE"""),548.0)</f>
        <v>548</v>
      </c>
      <c r="D69" s="5">
        <f>IFERROR(__xludf.DUMMYFUNCTION("""COMPUTED_VALUE"""),508.45)</f>
        <v>508.45</v>
      </c>
      <c r="E69" s="5">
        <f>IFERROR(__xludf.DUMMYFUNCTION("""COMPUTED_VALUE"""),511.25)</f>
        <v>511.25</v>
      </c>
      <c r="F69" s="5">
        <f>IFERROR(__xludf.DUMMYFUNCTION("""COMPUTED_VALUE"""),9117525.0)</f>
        <v>9117525</v>
      </c>
    </row>
    <row r="70">
      <c r="A70" s="6">
        <f>IFERROR(__xludf.DUMMYFUNCTION("""COMPUTED_VALUE"""),45674.64583333333)</f>
        <v>45674.64583</v>
      </c>
      <c r="B70" s="5">
        <f>IFERROR(__xludf.DUMMYFUNCTION("""COMPUTED_VALUE"""),504.0)</f>
        <v>504</v>
      </c>
      <c r="C70" s="5">
        <f>IFERROR(__xludf.DUMMYFUNCTION("""COMPUTED_VALUE"""),543.1)</f>
        <v>543.1</v>
      </c>
      <c r="D70" s="5">
        <f>IFERROR(__xludf.DUMMYFUNCTION("""COMPUTED_VALUE"""),491.2)</f>
        <v>491.2</v>
      </c>
      <c r="E70" s="5">
        <f>IFERROR(__xludf.DUMMYFUNCTION("""COMPUTED_VALUE"""),536.25)</f>
        <v>536.25</v>
      </c>
      <c r="F70" s="5">
        <f>IFERROR(__xludf.DUMMYFUNCTION("""COMPUTED_VALUE"""),1.1073445E7)</f>
        <v>11073445</v>
      </c>
    </row>
    <row r="71">
      <c r="A71" s="6">
        <f>IFERROR(__xludf.DUMMYFUNCTION("""COMPUTED_VALUE"""),45681.64583333333)</f>
        <v>45681.64583</v>
      </c>
      <c r="B71" s="5">
        <f>IFERROR(__xludf.DUMMYFUNCTION("""COMPUTED_VALUE"""),538.75)</f>
        <v>538.75</v>
      </c>
      <c r="C71" s="5">
        <f>IFERROR(__xludf.DUMMYFUNCTION("""COMPUTED_VALUE"""),561.9)</f>
        <v>561.9</v>
      </c>
      <c r="D71" s="5">
        <f>IFERROR(__xludf.DUMMYFUNCTION("""COMPUTED_VALUE"""),526.4)</f>
        <v>526.4</v>
      </c>
      <c r="E71" s="5">
        <f>IFERROR(__xludf.DUMMYFUNCTION("""COMPUTED_VALUE"""),551.8)</f>
        <v>551.8</v>
      </c>
      <c r="F71" s="5">
        <f>IFERROR(__xludf.DUMMYFUNCTION("""COMPUTED_VALUE"""),1.0589647E7)</f>
        <v>10589647</v>
      </c>
    </row>
    <row r="72">
      <c r="A72" s="6">
        <f>IFERROR(__xludf.DUMMYFUNCTION("""COMPUTED_VALUE"""),45695.64583333333)</f>
        <v>45695.64583</v>
      </c>
      <c r="B72" s="5">
        <f>IFERROR(__xludf.DUMMYFUNCTION("""COMPUTED_VALUE"""),500.0)</f>
        <v>500</v>
      </c>
      <c r="C72" s="5">
        <f>IFERROR(__xludf.DUMMYFUNCTION("""COMPUTED_VALUE"""),526.35)</f>
        <v>526.35</v>
      </c>
      <c r="D72" s="5">
        <f>IFERROR(__xludf.DUMMYFUNCTION("""COMPUTED_VALUE"""),486.55)</f>
        <v>486.55</v>
      </c>
      <c r="E72" s="5">
        <f>IFERROR(__xludf.DUMMYFUNCTION("""COMPUTED_VALUE"""),512.75)</f>
        <v>512.75</v>
      </c>
      <c r="F72" s="5">
        <f>IFERROR(__xludf.DUMMYFUNCTION("""COMPUTED_VALUE"""),1.2208934E7)</f>
        <v>12208934</v>
      </c>
    </row>
    <row r="73">
      <c r="A73" s="6">
        <f>IFERROR(__xludf.DUMMYFUNCTION("""COMPUTED_VALUE"""),45702.64583333333)</f>
        <v>45702.64583</v>
      </c>
      <c r="B73" s="5">
        <f>IFERROR(__xludf.DUMMYFUNCTION("""COMPUTED_VALUE"""),517.0)</f>
        <v>517</v>
      </c>
      <c r="C73" s="5">
        <f>IFERROR(__xludf.DUMMYFUNCTION("""COMPUTED_VALUE"""),519.95)</f>
        <v>519.95</v>
      </c>
      <c r="D73" s="5">
        <f>IFERROR(__xludf.DUMMYFUNCTION("""COMPUTED_VALUE"""),481.3)</f>
        <v>481.3</v>
      </c>
      <c r="E73" s="5">
        <f>IFERROR(__xludf.DUMMYFUNCTION("""COMPUTED_VALUE"""),489.5)</f>
        <v>489.5</v>
      </c>
      <c r="F73" s="5">
        <f>IFERROR(__xludf.DUMMYFUNCTION("""COMPUTED_VALUE"""),1.0367632E7)</f>
        <v>10367632</v>
      </c>
    </row>
    <row r="74">
      <c r="A74" s="6">
        <f>IFERROR(__xludf.DUMMYFUNCTION("""COMPUTED_VALUE"""),45709.64583333333)</f>
        <v>45709.64583</v>
      </c>
      <c r="B74" s="5">
        <f>IFERROR(__xludf.DUMMYFUNCTION("""COMPUTED_VALUE"""),488.0)</f>
        <v>488</v>
      </c>
      <c r="C74" s="5">
        <f>IFERROR(__xludf.DUMMYFUNCTION("""COMPUTED_VALUE"""),493.45)</f>
        <v>493.45</v>
      </c>
      <c r="D74" s="5">
        <f>IFERROR(__xludf.DUMMYFUNCTION("""COMPUTED_VALUE"""),474.05)</f>
        <v>474.05</v>
      </c>
      <c r="E74" s="5">
        <f>IFERROR(__xludf.DUMMYFUNCTION("""COMPUTED_VALUE"""),481.95)</f>
        <v>481.95</v>
      </c>
      <c r="F74" s="5">
        <f>IFERROR(__xludf.DUMMYFUNCTION("""COMPUTED_VALUE"""),1.1523168E7)</f>
        <v>11523168</v>
      </c>
    </row>
    <row r="75">
      <c r="A75" s="6">
        <f>IFERROR(__xludf.DUMMYFUNCTION("""COMPUTED_VALUE"""),45716.64583333333)</f>
        <v>45716.64583</v>
      </c>
      <c r="B75" s="5">
        <f>IFERROR(__xludf.DUMMYFUNCTION("""COMPUTED_VALUE"""),477.0)</f>
        <v>477</v>
      </c>
      <c r="C75" s="5">
        <f>IFERROR(__xludf.DUMMYFUNCTION("""COMPUTED_VALUE"""),478.9)</f>
        <v>478.9</v>
      </c>
      <c r="D75" s="5">
        <f>IFERROR(__xludf.DUMMYFUNCTION("""COMPUTED_VALUE"""),458.0)</f>
        <v>458</v>
      </c>
      <c r="E75" s="5">
        <f>IFERROR(__xludf.DUMMYFUNCTION("""COMPUTED_VALUE"""),464.95)</f>
        <v>464.95</v>
      </c>
      <c r="F75" s="5">
        <f>IFERROR(__xludf.DUMMYFUNCTION("""COMPUTED_VALUE"""),1.3348566E7)</f>
        <v>13348566</v>
      </c>
    </row>
    <row r="76">
      <c r="A76" s="6">
        <f>IFERROR(__xludf.DUMMYFUNCTION("""COMPUTED_VALUE"""),45723.64583333333)</f>
        <v>45723.64583</v>
      </c>
      <c r="B76" s="5">
        <f>IFERROR(__xludf.DUMMYFUNCTION("""COMPUTED_VALUE"""),465.0)</f>
        <v>465</v>
      </c>
      <c r="C76" s="5">
        <f>IFERROR(__xludf.DUMMYFUNCTION("""COMPUTED_VALUE"""),505.4)</f>
        <v>505.4</v>
      </c>
      <c r="D76" s="5">
        <f>IFERROR(__xludf.DUMMYFUNCTION("""COMPUTED_VALUE"""),455.0)</f>
        <v>455</v>
      </c>
      <c r="E76" s="5">
        <f>IFERROR(__xludf.DUMMYFUNCTION("""COMPUTED_VALUE"""),499.8)</f>
        <v>499.8</v>
      </c>
      <c r="F76" s="5">
        <f>IFERROR(__xludf.DUMMYFUNCTION("""COMPUTED_VALUE"""),1.0622688E7)</f>
        <v>10622688</v>
      </c>
    </row>
    <row r="77">
      <c r="A77" s="6">
        <f>IFERROR(__xludf.DUMMYFUNCTION("""COMPUTED_VALUE"""),45729.64583333333)</f>
        <v>45729.64583</v>
      </c>
      <c r="B77" s="5">
        <f>IFERROR(__xludf.DUMMYFUNCTION("""COMPUTED_VALUE"""),498.0)</f>
        <v>498</v>
      </c>
      <c r="C77" s="5">
        <f>IFERROR(__xludf.DUMMYFUNCTION("""COMPUTED_VALUE"""),508.0)</f>
        <v>508</v>
      </c>
      <c r="D77" s="5">
        <f>IFERROR(__xludf.DUMMYFUNCTION("""COMPUTED_VALUE"""),480.1)</f>
        <v>480.1</v>
      </c>
      <c r="E77" s="5">
        <f>IFERROR(__xludf.DUMMYFUNCTION("""COMPUTED_VALUE"""),485.8)</f>
        <v>485.8</v>
      </c>
      <c r="F77" s="5">
        <f>IFERROR(__xludf.DUMMYFUNCTION("""COMPUTED_VALUE"""),7160512.0)</f>
        <v>7160512</v>
      </c>
    </row>
    <row r="78">
      <c r="A78" s="6">
        <f>IFERROR(__xludf.DUMMYFUNCTION("""COMPUTED_VALUE"""),45737.64583333333)</f>
        <v>45737.64583</v>
      </c>
      <c r="B78" s="5">
        <f>IFERROR(__xludf.DUMMYFUNCTION("""COMPUTED_VALUE"""),488.0)</f>
        <v>488</v>
      </c>
      <c r="C78" s="5">
        <f>IFERROR(__xludf.DUMMYFUNCTION("""COMPUTED_VALUE"""),517.0)</f>
        <v>517</v>
      </c>
      <c r="D78" s="5">
        <f>IFERROR(__xludf.DUMMYFUNCTION("""COMPUTED_VALUE"""),486.1)</f>
        <v>486.1</v>
      </c>
      <c r="E78" s="5">
        <f>IFERROR(__xludf.DUMMYFUNCTION("""COMPUTED_VALUE"""),514.5)</f>
        <v>514.5</v>
      </c>
      <c r="F78" s="5">
        <f>IFERROR(__xludf.DUMMYFUNCTION("""COMPUTED_VALUE"""),1.18105E7)</f>
        <v>11810500</v>
      </c>
    </row>
    <row r="79">
      <c r="A79" s="6">
        <f>IFERROR(__xludf.DUMMYFUNCTION("""COMPUTED_VALUE"""),45744.64583333333)</f>
        <v>45744.64583</v>
      </c>
      <c r="B79" s="5">
        <f>IFERROR(__xludf.DUMMYFUNCTION("""COMPUTED_VALUE"""),516.9)</f>
        <v>516.9</v>
      </c>
      <c r="C79" s="5">
        <f>IFERROR(__xludf.DUMMYFUNCTION("""COMPUTED_VALUE"""),552.0)</f>
        <v>552</v>
      </c>
      <c r="D79" s="5">
        <f>IFERROR(__xludf.DUMMYFUNCTION("""COMPUTED_VALUE"""),510.55)</f>
        <v>510.55</v>
      </c>
      <c r="E79" s="5">
        <f>IFERROR(__xludf.DUMMYFUNCTION("""COMPUTED_VALUE"""),538.35)</f>
        <v>538.35</v>
      </c>
      <c r="F79" s="5">
        <f>IFERROR(__xludf.DUMMYFUNCTION("""COMPUTED_VALUE"""),1.8799278E7)</f>
        <v>18799278</v>
      </c>
    </row>
    <row r="80">
      <c r="A80" s="6">
        <f>IFERROR(__xludf.DUMMYFUNCTION("""COMPUTED_VALUE"""),45751.64583333333)</f>
        <v>45751.64583</v>
      </c>
      <c r="B80" s="5">
        <f>IFERROR(__xludf.DUMMYFUNCTION("""COMPUTED_VALUE"""),538.0)</f>
        <v>538</v>
      </c>
      <c r="C80" s="5">
        <f>IFERROR(__xludf.DUMMYFUNCTION("""COMPUTED_VALUE"""),544.2)</f>
        <v>544.2</v>
      </c>
      <c r="D80" s="5">
        <f>IFERROR(__xludf.DUMMYFUNCTION("""COMPUTED_VALUE"""),524.35)</f>
        <v>524.35</v>
      </c>
      <c r="E80" s="5">
        <f>IFERROR(__xludf.DUMMYFUNCTION("""COMPUTED_VALUE"""),528.2)</f>
        <v>528.2</v>
      </c>
      <c r="F80" s="5">
        <f>IFERROR(__xludf.DUMMYFUNCTION("""COMPUTED_VALUE"""),4460037.0)</f>
        <v>4460037</v>
      </c>
    </row>
    <row r="81">
      <c r="A81" s="6">
        <f>IFERROR(__xludf.DUMMYFUNCTION("""COMPUTED_VALUE"""),45758.64583333333)</f>
        <v>45758.64583</v>
      </c>
      <c r="B81" s="5">
        <f>IFERROR(__xludf.DUMMYFUNCTION("""COMPUTED_VALUE"""),495.0)</f>
        <v>495</v>
      </c>
      <c r="C81" s="5">
        <f>IFERROR(__xludf.DUMMYFUNCTION("""COMPUTED_VALUE"""),556.8)</f>
        <v>556.8</v>
      </c>
      <c r="D81" s="5">
        <f>IFERROR(__xludf.DUMMYFUNCTION("""COMPUTED_VALUE"""),480.35)</f>
        <v>480.35</v>
      </c>
      <c r="E81" s="5">
        <f>IFERROR(__xludf.DUMMYFUNCTION("""COMPUTED_VALUE"""),548.65)</f>
        <v>548.65</v>
      </c>
      <c r="F81" s="5">
        <f>IFERROR(__xludf.DUMMYFUNCTION("""COMPUTED_VALUE"""),1.2758842E7)</f>
        <v>12758842</v>
      </c>
    </row>
    <row r="82">
      <c r="A82" s="6">
        <f>IFERROR(__xludf.DUMMYFUNCTION("""COMPUTED_VALUE"""),45764.64583333333)</f>
        <v>45764.64583</v>
      </c>
      <c r="B82" s="5">
        <f>IFERROR(__xludf.DUMMYFUNCTION("""COMPUTED_VALUE"""),555.0)</f>
        <v>555</v>
      </c>
      <c r="C82" s="5">
        <f>IFERROR(__xludf.DUMMYFUNCTION("""COMPUTED_VALUE"""),571.1)</f>
        <v>571.1</v>
      </c>
      <c r="D82" s="5">
        <f>IFERROR(__xludf.DUMMYFUNCTION("""COMPUTED_VALUE"""),550.25)</f>
        <v>550.25</v>
      </c>
      <c r="E82" s="5">
        <f>IFERROR(__xludf.DUMMYFUNCTION("""COMPUTED_VALUE"""),569.8)</f>
        <v>569.8</v>
      </c>
      <c r="F82" s="5">
        <f>IFERROR(__xludf.DUMMYFUNCTION("""COMPUTED_VALUE"""),8478850.0)</f>
        <v>8478850</v>
      </c>
    </row>
    <row r="83">
      <c r="A83" s="6">
        <f>IFERROR(__xludf.DUMMYFUNCTION("""COMPUTED_VALUE"""),45772.64583333333)</f>
        <v>45772.64583</v>
      </c>
      <c r="B83" s="5">
        <f>IFERROR(__xludf.DUMMYFUNCTION("""COMPUTED_VALUE"""),572.3)</f>
        <v>572.3</v>
      </c>
      <c r="C83" s="5">
        <f>IFERROR(__xludf.DUMMYFUNCTION("""COMPUTED_VALUE"""),584.8)</f>
        <v>584.8</v>
      </c>
      <c r="D83" s="5">
        <f>IFERROR(__xludf.DUMMYFUNCTION("""COMPUTED_VALUE"""),544.0)</f>
        <v>544</v>
      </c>
      <c r="E83" s="5">
        <f>IFERROR(__xludf.DUMMYFUNCTION("""COMPUTED_VALUE"""),548.7)</f>
        <v>548.7</v>
      </c>
      <c r="F83" s="5">
        <f>IFERROR(__xludf.DUMMYFUNCTION("""COMPUTED_VALUE"""),1.788217E7)</f>
        <v>17882170</v>
      </c>
    </row>
    <row r="84">
      <c r="A84" s="6">
        <f>IFERROR(__xludf.DUMMYFUNCTION("""COMPUTED_VALUE"""),45779.64583333333)</f>
        <v>45779.64583</v>
      </c>
      <c r="B84" s="5">
        <f>IFERROR(__xludf.DUMMYFUNCTION("""COMPUTED_VALUE"""),548.85)</f>
        <v>548.85</v>
      </c>
      <c r="C84" s="5">
        <f>IFERROR(__xludf.DUMMYFUNCTION("""COMPUTED_VALUE"""),552.85)</f>
        <v>552.85</v>
      </c>
      <c r="D84" s="5">
        <f>IFERROR(__xludf.DUMMYFUNCTION("""COMPUTED_VALUE"""),527.25)</f>
        <v>527.25</v>
      </c>
      <c r="E84" s="5">
        <f>IFERROR(__xludf.DUMMYFUNCTION("""COMPUTED_VALUE"""),531.7)</f>
        <v>531.7</v>
      </c>
      <c r="F84" s="5">
        <f>IFERROR(__xludf.DUMMYFUNCTION("""COMPUTED_VALUE"""),1.8411615E7)</f>
        <v>18411615</v>
      </c>
    </row>
    <row r="85">
      <c r="A85" s="6">
        <f>IFERROR(__xludf.DUMMYFUNCTION("""COMPUTED_VALUE"""),45786.64583333333)</f>
        <v>45786.64583</v>
      </c>
      <c r="B85" s="5">
        <f>IFERROR(__xludf.DUMMYFUNCTION("""COMPUTED_VALUE"""),535.8)</f>
        <v>535.8</v>
      </c>
      <c r="C85" s="5">
        <f>IFERROR(__xludf.DUMMYFUNCTION("""COMPUTED_VALUE"""),549.65)</f>
        <v>549.65</v>
      </c>
      <c r="D85" s="5">
        <f>IFERROR(__xludf.DUMMYFUNCTION("""COMPUTED_VALUE"""),512.25)</f>
        <v>512.25</v>
      </c>
      <c r="E85" s="5">
        <f>IFERROR(__xludf.DUMMYFUNCTION("""COMPUTED_VALUE"""),527.45)</f>
        <v>527.45</v>
      </c>
      <c r="F85" s="5">
        <f>IFERROR(__xludf.DUMMYFUNCTION("""COMPUTED_VALUE"""),2.0371097E7)</f>
        <v>20371097</v>
      </c>
    </row>
    <row r="86">
      <c r="A86" s="6">
        <f>IFERROR(__xludf.DUMMYFUNCTION("""COMPUTED_VALUE"""),45793.64583333333)</f>
        <v>45793.64583</v>
      </c>
      <c r="B86" s="5">
        <f>IFERROR(__xludf.DUMMYFUNCTION("""COMPUTED_VALUE"""),540.0)</f>
        <v>540</v>
      </c>
      <c r="C86" s="5">
        <f>IFERROR(__xludf.DUMMYFUNCTION("""COMPUTED_VALUE"""),565.9)</f>
        <v>565.9</v>
      </c>
      <c r="D86" s="5">
        <f>IFERROR(__xludf.DUMMYFUNCTION("""COMPUTED_VALUE"""),534.3)</f>
        <v>534.3</v>
      </c>
      <c r="E86" s="5">
        <f>IFERROR(__xludf.DUMMYFUNCTION("""COMPUTED_VALUE"""),563.5)</f>
        <v>563.5</v>
      </c>
      <c r="F86" s="5">
        <f>IFERROR(__xludf.DUMMYFUNCTION("""COMPUTED_VALUE"""),1.4536234E7)</f>
        <v>14536234</v>
      </c>
    </row>
    <row r="87">
      <c r="A87" s="6">
        <f>IFERROR(__xludf.DUMMYFUNCTION("""COMPUTED_VALUE"""),45800.64583333333)</f>
        <v>45800.64583</v>
      </c>
      <c r="B87" s="5">
        <f>IFERROR(__xludf.DUMMYFUNCTION("""COMPUTED_VALUE"""),566.0)</f>
        <v>566</v>
      </c>
      <c r="C87" s="5">
        <f>IFERROR(__xludf.DUMMYFUNCTION("""COMPUTED_VALUE"""),576.0)</f>
        <v>576</v>
      </c>
      <c r="D87" s="5">
        <f>IFERROR(__xludf.DUMMYFUNCTION("""COMPUTED_VALUE"""),559.35)</f>
        <v>559.35</v>
      </c>
      <c r="E87" s="5">
        <f>IFERROR(__xludf.DUMMYFUNCTION("""COMPUTED_VALUE"""),570.9)</f>
        <v>570.9</v>
      </c>
      <c r="F87" s="5">
        <f>IFERROR(__xludf.DUMMYFUNCTION("""COMPUTED_VALUE"""),8158214.0)</f>
        <v>8158214</v>
      </c>
    </row>
    <row r="88">
      <c r="A88" s="6">
        <f>IFERROR(__xludf.DUMMYFUNCTION("""COMPUTED_VALUE"""),45807.64583333333)</f>
        <v>45807.64583</v>
      </c>
      <c r="B88" s="5">
        <f>IFERROR(__xludf.DUMMYFUNCTION("""COMPUTED_VALUE"""),571.35)</f>
        <v>571.35</v>
      </c>
      <c r="C88" s="5">
        <f>IFERROR(__xludf.DUMMYFUNCTION("""COMPUTED_VALUE"""),576.35)</f>
        <v>576.35</v>
      </c>
      <c r="D88" s="5">
        <f>IFERROR(__xludf.DUMMYFUNCTION("""COMPUTED_VALUE"""),551.3)</f>
        <v>551.3</v>
      </c>
      <c r="E88" s="5">
        <f>IFERROR(__xludf.DUMMYFUNCTION("""COMPUTED_VALUE"""),553.5)</f>
        <v>553.5</v>
      </c>
      <c r="F88" s="5">
        <f>IFERROR(__xludf.DUMMYFUNCTION("""COMPUTED_VALUE"""),7253380.0)</f>
        <v>7253380</v>
      </c>
    </row>
    <row r="89">
      <c r="A89" s="6">
        <f>IFERROR(__xludf.DUMMYFUNCTION("""COMPUTED_VALUE"""),45814.64583333333)</f>
        <v>45814.64583</v>
      </c>
      <c r="B89" s="5">
        <f>IFERROR(__xludf.DUMMYFUNCTION("""COMPUTED_VALUE"""),553.55)</f>
        <v>553.55</v>
      </c>
      <c r="C89" s="5">
        <f>IFERROR(__xludf.DUMMYFUNCTION("""COMPUTED_VALUE"""),559.55)</f>
        <v>559.55</v>
      </c>
      <c r="D89" s="5">
        <f>IFERROR(__xludf.DUMMYFUNCTION("""COMPUTED_VALUE"""),547.5)</f>
        <v>547.5</v>
      </c>
      <c r="E89" s="5">
        <f>IFERROR(__xludf.DUMMYFUNCTION("""COMPUTED_VALUE"""),555.15)</f>
        <v>555.15</v>
      </c>
      <c r="F89" s="5">
        <f>IFERROR(__xludf.DUMMYFUNCTION("""COMPUTED_VALUE"""),1.0152765E7)</f>
        <v>10152765</v>
      </c>
    </row>
    <row r="90">
      <c r="A90" s="6">
        <f>IFERROR(__xludf.DUMMYFUNCTION("""COMPUTED_VALUE"""),45821.64583333333)</f>
        <v>45821.64583</v>
      </c>
      <c r="B90" s="5">
        <f>IFERROR(__xludf.DUMMYFUNCTION("""COMPUTED_VALUE"""),563.0)</f>
        <v>563</v>
      </c>
      <c r="C90" s="5">
        <f>IFERROR(__xludf.DUMMYFUNCTION("""COMPUTED_VALUE"""),567.0)</f>
        <v>567</v>
      </c>
      <c r="D90" s="5">
        <f>IFERROR(__xludf.DUMMYFUNCTION("""COMPUTED_VALUE"""),536.05)</f>
        <v>536.05</v>
      </c>
      <c r="E90" s="5">
        <f>IFERROR(__xludf.DUMMYFUNCTION("""COMPUTED_VALUE"""),542.5)</f>
        <v>542.5</v>
      </c>
      <c r="F90" s="5">
        <f>IFERROR(__xludf.DUMMYFUNCTION("""COMPUTED_VALUE"""),1.2247872E7)</f>
        <v>12247872</v>
      </c>
    </row>
    <row r="91">
      <c r="A91" s="6">
        <f>IFERROR(__xludf.DUMMYFUNCTION("""COMPUTED_VALUE"""),45828.64583333333)</f>
        <v>45828.64583</v>
      </c>
      <c r="B91" s="5">
        <f>IFERROR(__xludf.DUMMYFUNCTION("""COMPUTED_VALUE"""),543.95)</f>
        <v>543.95</v>
      </c>
      <c r="C91" s="5">
        <f>IFERROR(__xludf.DUMMYFUNCTION("""COMPUTED_VALUE"""),556.6)</f>
        <v>556.6</v>
      </c>
      <c r="D91" s="5">
        <f>IFERROR(__xludf.DUMMYFUNCTION("""COMPUTED_VALUE"""),528.45)</f>
        <v>528.45</v>
      </c>
      <c r="E91" s="5">
        <f>IFERROR(__xludf.DUMMYFUNCTION("""COMPUTED_VALUE"""),533.45)</f>
        <v>533.45</v>
      </c>
      <c r="F91" s="5">
        <f>IFERROR(__xludf.DUMMYFUNCTION("""COMPUTED_VALUE"""),7846237.0)</f>
        <v>7846237</v>
      </c>
    </row>
    <row r="92">
      <c r="A92" s="6">
        <f>IFERROR(__xludf.DUMMYFUNCTION("""COMPUTED_VALUE"""),45835.64583333333)</f>
        <v>45835.64583</v>
      </c>
      <c r="B92" s="5">
        <f>IFERROR(__xludf.DUMMYFUNCTION("""COMPUTED_VALUE"""),530.0)</f>
        <v>530</v>
      </c>
      <c r="C92" s="5">
        <f>IFERROR(__xludf.DUMMYFUNCTION("""COMPUTED_VALUE"""),579.75)</f>
        <v>579.75</v>
      </c>
      <c r="D92" s="5">
        <f>IFERROR(__xludf.DUMMYFUNCTION("""COMPUTED_VALUE"""),528.45)</f>
        <v>528.45</v>
      </c>
      <c r="E92" s="5">
        <f>IFERROR(__xludf.DUMMYFUNCTION("""COMPUTED_VALUE"""),574.95)</f>
        <v>574.95</v>
      </c>
      <c r="F92" s="5">
        <f>IFERROR(__xludf.DUMMYFUNCTION("""COMPUTED_VALUE"""),1.5790757E7)</f>
        <v>15790757</v>
      </c>
    </row>
    <row r="93">
      <c r="A93" s="6">
        <f>IFERROR(__xludf.DUMMYFUNCTION("""COMPUTED_VALUE"""),45842.64583333333)</f>
        <v>45842.64583</v>
      </c>
      <c r="B93" s="5">
        <f>IFERROR(__xludf.DUMMYFUNCTION("""COMPUTED_VALUE"""),575.05)</f>
        <v>575.05</v>
      </c>
      <c r="C93" s="5">
        <f>IFERROR(__xludf.DUMMYFUNCTION("""COMPUTED_VALUE"""),601.75)</f>
        <v>601.75</v>
      </c>
      <c r="D93" s="5">
        <f>IFERROR(__xludf.DUMMYFUNCTION("""COMPUTED_VALUE"""),572.2)</f>
        <v>572.2</v>
      </c>
      <c r="E93" s="5">
        <f>IFERROR(__xludf.DUMMYFUNCTION("""COMPUTED_VALUE"""),595.75)</f>
        <v>595.75</v>
      </c>
      <c r="F93" s="5">
        <f>IFERROR(__xludf.DUMMYFUNCTION("""COMPUTED_VALUE"""),1.316074E7)</f>
        <v>13160740</v>
      </c>
    </row>
    <row r="94">
      <c r="A94" s="6">
        <f>IFERROR(__xludf.DUMMYFUNCTION("""COMPUTED_VALUE"""),45849.64583333333)</f>
        <v>45849.64583</v>
      </c>
      <c r="B94" s="5">
        <f>IFERROR(__xludf.DUMMYFUNCTION("""COMPUTED_VALUE"""),596.0)</f>
        <v>596</v>
      </c>
      <c r="C94" s="5">
        <f>IFERROR(__xludf.DUMMYFUNCTION("""COMPUTED_VALUE"""),596.85)</f>
        <v>596.85</v>
      </c>
      <c r="D94" s="5">
        <f>IFERROR(__xludf.DUMMYFUNCTION("""COMPUTED_VALUE"""),580.0)</f>
        <v>580</v>
      </c>
      <c r="E94" s="5">
        <f>IFERROR(__xludf.DUMMYFUNCTION("""COMPUTED_VALUE"""),587.15)</f>
        <v>587.15</v>
      </c>
      <c r="F94" s="5">
        <f>IFERROR(__xludf.DUMMYFUNCTION("""COMPUTED_VALUE"""),1.1776752E7)</f>
        <v>11776752</v>
      </c>
    </row>
    <row r="95">
      <c r="A95" s="6">
        <f>IFERROR(__xludf.DUMMYFUNCTION("""COMPUTED_VALUE"""),45856.64583333333)</f>
        <v>45856.64583</v>
      </c>
      <c r="B95" s="5">
        <f>IFERROR(__xludf.DUMMYFUNCTION("""COMPUTED_VALUE"""),586.75)</f>
        <v>586.75</v>
      </c>
      <c r="C95" s="5">
        <f>IFERROR(__xludf.DUMMYFUNCTION("""COMPUTED_VALUE"""),599.75)</f>
        <v>599.75</v>
      </c>
      <c r="D95" s="5">
        <f>IFERROR(__xludf.DUMMYFUNCTION("""COMPUTED_VALUE"""),584.5)</f>
        <v>584.5</v>
      </c>
      <c r="E95" s="5">
        <f>IFERROR(__xludf.DUMMYFUNCTION("""COMPUTED_VALUE"""),596.7)</f>
        <v>596.7</v>
      </c>
      <c r="F95" s="5">
        <f>IFERROR(__xludf.DUMMYFUNCTION("""COMPUTED_VALUE"""),8904230.0)</f>
        <v>8904230</v>
      </c>
    </row>
    <row r="96">
      <c r="A96" s="6">
        <f>IFERROR(__xludf.DUMMYFUNCTION("""COMPUTED_VALUE"""),45863.64583333333)</f>
        <v>45863.64583</v>
      </c>
      <c r="B96" s="5">
        <f>IFERROR(__xludf.DUMMYFUNCTION("""COMPUTED_VALUE"""),599.35)</f>
        <v>599.35</v>
      </c>
      <c r="C96" s="5">
        <f>IFERROR(__xludf.DUMMYFUNCTION("""COMPUTED_VALUE"""),624.95)</f>
        <v>624.95</v>
      </c>
      <c r="D96" s="5">
        <f>IFERROR(__xludf.DUMMYFUNCTION("""COMPUTED_VALUE"""),597.15)</f>
        <v>597.15</v>
      </c>
      <c r="E96" s="5">
        <f>IFERROR(__xludf.DUMMYFUNCTION("""COMPUTED_VALUE"""),613.1)</f>
        <v>613.1</v>
      </c>
      <c r="F96" s="5">
        <f>IFERROR(__xludf.DUMMYFUNCTION("""COMPUTED_VALUE"""),1.5071223E7)</f>
        <v>15071223</v>
      </c>
    </row>
    <row r="97">
      <c r="A97" s="6">
        <f>IFERROR(__xludf.DUMMYFUNCTION("""COMPUTED_VALUE"""),45870.64583333333)</f>
        <v>45870.64583</v>
      </c>
      <c r="B97" s="5">
        <f>IFERROR(__xludf.DUMMYFUNCTION("""COMPUTED_VALUE"""),611.9)</f>
        <v>611.9</v>
      </c>
      <c r="C97" s="5">
        <f>IFERROR(__xludf.DUMMYFUNCTION("""COMPUTED_VALUE"""),624.8)</f>
        <v>624.8</v>
      </c>
      <c r="D97" s="5">
        <f>IFERROR(__xludf.DUMMYFUNCTION("""COMPUTED_VALUE"""),588.75)</f>
        <v>588.75</v>
      </c>
      <c r="E97" s="5">
        <f>IFERROR(__xludf.DUMMYFUNCTION("""COMPUTED_VALUE"""),607.95)</f>
        <v>607.95</v>
      </c>
      <c r="F97" s="5">
        <f>IFERROR(__xludf.DUMMYFUNCTION("""COMPUTED_VALUE"""),1.8111168E7)</f>
        <v>18111168</v>
      </c>
    </row>
    <row r="98">
      <c r="A98" s="6">
        <f>IFERROR(__xludf.DUMMYFUNCTION("""COMPUTED_VALUE"""),45877.64583333333)</f>
        <v>45877.64583</v>
      </c>
      <c r="B98" s="5">
        <f>IFERROR(__xludf.DUMMYFUNCTION("""COMPUTED_VALUE"""),609.75)</f>
        <v>609.75</v>
      </c>
      <c r="C98" s="5">
        <f>IFERROR(__xludf.DUMMYFUNCTION("""COMPUTED_VALUE"""),615.0)</f>
        <v>615</v>
      </c>
      <c r="D98" s="5">
        <f>IFERROR(__xludf.DUMMYFUNCTION("""COMPUTED_VALUE"""),578.0)</f>
        <v>578</v>
      </c>
      <c r="E98" s="5">
        <f>IFERROR(__xludf.DUMMYFUNCTION("""COMPUTED_VALUE"""),580.0)</f>
        <v>580</v>
      </c>
      <c r="F98" s="5">
        <f>IFERROR(__xludf.DUMMYFUNCTION("""COMPUTED_VALUE"""),7543228.0)</f>
        <v>7543228</v>
      </c>
    </row>
    <row r="99">
      <c r="A99" s="6">
        <f>IFERROR(__xludf.DUMMYFUNCTION("""COMPUTED_VALUE"""),45883.64583333333)</f>
        <v>45883.64583</v>
      </c>
      <c r="B99" s="5">
        <f>IFERROR(__xludf.DUMMYFUNCTION("""COMPUTED_VALUE"""),580.15)</f>
        <v>580.15</v>
      </c>
      <c r="C99" s="5">
        <f>IFERROR(__xludf.DUMMYFUNCTION("""COMPUTED_VALUE"""),591.65)</f>
        <v>591.65</v>
      </c>
      <c r="D99" s="5">
        <f>IFERROR(__xludf.DUMMYFUNCTION("""COMPUTED_VALUE"""),571.55)</f>
        <v>571.55</v>
      </c>
      <c r="E99" s="5">
        <f>IFERROR(__xludf.DUMMYFUNCTION("""COMPUTED_VALUE"""),578.05)</f>
        <v>578.05</v>
      </c>
      <c r="F99" s="5">
        <f>IFERROR(__xludf.DUMMYFUNCTION("""COMPUTED_VALUE"""),5976658.0)</f>
        <v>5976658</v>
      </c>
    </row>
    <row r="100">
      <c r="A100" s="6">
        <f>IFERROR(__xludf.DUMMYFUNCTION("""COMPUTED_VALUE"""),45891.64583333333)</f>
        <v>45891.64583</v>
      </c>
      <c r="B100" s="5">
        <f>IFERROR(__xludf.DUMMYFUNCTION("""COMPUTED_VALUE"""),595.0)</f>
        <v>595</v>
      </c>
      <c r="C100" s="5">
        <f>IFERROR(__xludf.DUMMYFUNCTION("""COMPUTED_VALUE"""),605.45)</f>
        <v>605.45</v>
      </c>
      <c r="D100" s="5">
        <f>IFERROR(__xludf.DUMMYFUNCTION("""COMPUTED_VALUE"""),576.0)</f>
        <v>576</v>
      </c>
      <c r="E100" s="5">
        <f>IFERROR(__xludf.DUMMYFUNCTION("""COMPUTED_VALUE"""),577.15)</f>
        <v>577.15</v>
      </c>
      <c r="F100" s="5">
        <f>IFERROR(__xludf.DUMMYFUNCTION("""COMPUTED_VALUE"""),1.0386538E7)</f>
        <v>10386538</v>
      </c>
    </row>
  </sheetData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IFERROR(__xludf.DUMMYFUNCTION("GOOGLEFINANCE(""NSE:MARUTI"", ""all"",ConfigSheet!B2 -ConfigSheet!B1,ConfigSheet!B2,ConfigSheet!B3)"),"#N/A")</f>
        <v>#N/A</v>
      </c>
    </row>
  </sheetData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IFERROR(__xludf.DUMMYFUNCTION("GOOGLEFINANCE(""NSE:MAXHEALTH"", ""all"",ConfigSheet!B2 -ConfigSheet!B1,ConfigSheet!B2,ConfigSheet!B3)"),"#N/A")</f>
        <v>#N/A</v>
      </c>
    </row>
  </sheetData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IFERROR(__xludf.DUMMYFUNCTION("GOOGLEFINANCE(""NSE:MAZDOCK"", ""all"",ConfigSheet!B2 -ConfigSheet!B1,ConfigSheet!B2,ConfigSheet!B3)"),"#N/A")</f>
        <v>#N/A</v>
      </c>
    </row>
  </sheetData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IFERROR(__xludf.DUMMYFUNCTION("GOOGLEFINANCE(""NSE:MFSL"", ""all"",ConfigSheet!B2 -ConfigSheet!B1,ConfigSheet!B2,ConfigSheet!B3)"),"#N/A")</f>
        <v>#N/A</v>
      </c>
    </row>
  </sheetData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IFERROR(__xludf.DUMMYFUNCTION("GOOGLEFINANCE(""NSE:MOTHERSON"", ""all"",ConfigSheet!B2 -ConfigSheet!B1,ConfigSheet!B2,ConfigSheet!B3)"),"#N/A")</f>
        <v>#N/A</v>
      </c>
    </row>
  </sheetData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IFERROR(__xludf.DUMMYFUNCTION("GOOGLEFINANCE(""NSE:MOTILALOFS"", ""all"",ConfigSheet!B2 -ConfigSheet!B1,ConfigSheet!B2,ConfigSheet!B3)"),"#N/A")</f>
        <v>#N/A</v>
      </c>
    </row>
  </sheetData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IFERROR(__xludf.DUMMYFUNCTION("GOOGLEFINANCE(""NSE:MPHASIS"", ""all"",ConfigSheet!B2 -ConfigSheet!B1,ConfigSheet!B2,ConfigSheet!B3)"),"#N/A")</f>
        <v>#N/A</v>
      </c>
    </row>
  </sheetData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IFERROR(__xludf.DUMMYFUNCTION("GOOGLEFINANCE(""NSE:MRF"", ""all"",ConfigSheet!B2 -ConfigSheet!B1,ConfigSheet!B2,ConfigSheet!B3)"),"#N/A")</f>
        <v>#N/A</v>
      </c>
    </row>
  </sheetData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IFERROR(__xludf.DUMMYFUNCTION("GOOGLEFINANCE(""NSE:MUTHOOTFIN"", ""all"",ConfigSheet!B2 -ConfigSheet!B1,ConfigSheet!B2,ConfigSheet!B3)"),"#N/A")</f>
        <v>#N/A</v>
      </c>
    </row>
  </sheetData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IFERROR(__xludf.DUMMYFUNCTION("GOOGLEFINANCE(""NSE:NATIONALUM"", ""all"",ConfigSheet!B2 -ConfigSheet!B1,ConfigSheet!B2,ConfigSheet!B3)"),"#N/A")</f>
        <v>#N/A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IFERROR(__xludf.DUMMYFUNCTION("GOOGLEFINANCE(""NSE:APLAPOLLO"", ""all"",ConfigSheet!B2 -ConfigSheet!B1,ConfigSheet!B2,ConfigSheet!B3)"),"Date")</f>
        <v>Date</v>
      </c>
      <c r="B1" s="5" t="str">
        <f>IFERROR(__xludf.DUMMYFUNCTION("""COMPUTED_VALUE"""),"Open")</f>
        <v>Open</v>
      </c>
      <c r="C1" s="5" t="str">
        <f>IFERROR(__xludf.DUMMYFUNCTION("""COMPUTED_VALUE"""),"High")</f>
        <v>High</v>
      </c>
      <c r="D1" s="5" t="str">
        <f>IFERROR(__xludf.DUMMYFUNCTION("""COMPUTED_VALUE"""),"Low")</f>
        <v>Low</v>
      </c>
      <c r="E1" s="5" t="str">
        <f>IFERROR(__xludf.DUMMYFUNCTION("""COMPUTED_VALUE"""),"Close")</f>
        <v>Close</v>
      </c>
      <c r="F1" s="5" t="str">
        <f>IFERROR(__xludf.DUMMYFUNCTION("""COMPUTED_VALUE"""),"Volume")</f>
        <v>Volume</v>
      </c>
    </row>
    <row r="2">
      <c r="A2" s="6">
        <f>IFERROR(__xludf.DUMMYFUNCTION("""COMPUTED_VALUE"""),45170.64583333333)</f>
        <v>45170.64583</v>
      </c>
      <c r="B2" s="5">
        <f>IFERROR(__xludf.DUMMYFUNCTION("""COMPUTED_VALUE"""),1704.3)</f>
        <v>1704.3</v>
      </c>
      <c r="C2" s="5">
        <f>IFERROR(__xludf.DUMMYFUNCTION("""COMPUTED_VALUE"""),1741.0)</f>
        <v>1741</v>
      </c>
      <c r="D2" s="5">
        <f>IFERROR(__xludf.DUMMYFUNCTION("""COMPUTED_VALUE"""),1607.25)</f>
        <v>1607.25</v>
      </c>
      <c r="E2" s="5">
        <f>IFERROR(__xludf.DUMMYFUNCTION("""COMPUTED_VALUE"""),1729.5)</f>
        <v>1729.5</v>
      </c>
      <c r="F2" s="5">
        <f>IFERROR(__xludf.DUMMYFUNCTION("""COMPUTED_VALUE"""),7494504.0)</f>
        <v>7494504</v>
      </c>
    </row>
    <row r="3">
      <c r="A3" s="6">
        <f>IFERROR(__xludf.DUMMYFUNCTION("""COMPUTED_VALUE"""),45177.64583333333)</f>
        <v>45177.64583</v>
      </c>
      <c r="B3" s="5">
        <f>IFERROR(__xludf.DUMMYFUNCTION("""COMPUTED_VALUE"""),1729.5)</f>
        <v>1729.5</v>
      </c>
      <c r="C3" s="5">
        <f>IFERROR(__xludf.DUMMYFUNCTION("""COMPUTED_VALUE"""),1800.0)</f>
        <v>1800</v>
      </c>
      <c r="D3" s="5">
        <f>IFERROR(__xludf.DUMMYFUNCTION("""COMPUTED_VALUE"""),1703.0)</f>
        <v>1703</v>
      </c>
      <c r="E3" s="5">
        <f>IFERROR(__xludf.DUMMYFUNCTION("""COMPUTED_VALUE"""),1716.45)</f>
        <v>1716.45</v>
      </c>
      <c r="F3" s="5">
        <f>IFERROR(__xludf.DUMMYFUNCTION("""COMPUTED_VALUE"""),4429042.0)</f>
        <v>4429042</v>
      </c>
    </row>
    <row r="4">
      <c r="A4" s="6">
        <f>IFERROR(__xludf.DUMMYFUNCTION("""COMPUTED_VALUE"""),45184.64583333333)</f>
        <v>45184.64583</v>
      </c>
      <c r="B4" s="5">
        <f>IFERROR(__xludf.DUMMYFUNCTION("""COMPUTED_VALUE"""),1719.95)</f>
        <v>1719.95</v>
      </c>
      <c r="C4" s="5">
        <f>IFERROR(__xludf.DUMMYFUNCTION("""COMPUTED_VALUE"""),1754.9)</f>
        <v>1754.9</v>
      </c>
      <c r="D4" s="5">
        <f>IFERROR(__xludf.DUMMYFUNCTION("""COMPUTED_VALUE"""),1590.05)</f>
        <v>1590.05</v>
      </c>
      <c r="E4" s="5">
        <f>IFERROR(__xludf.DUMMYFUNCTION("""COMPUTED_VALUE"""),1620.2)</f>
        <v>1620.2</v>
      </c>
      <c r="F4" s="5">
        <f>IFERROR(__xludf.DUMMYFUNCTION("""COMPUTED_VALUE"""),4008128.0)</f>
        <v>4008128</v>
      </c>
    </row>
    <row r="5">
      <c r="A5" s="6">
        <f>IFERROR(__xludf.DUMMYFUNCTION("""COMPUTED_VALUE"""),45191.64583333333)</f>
        <v>45191.64583</v>
      </c>
      <c r="B5" s="5">
        <f>IFERROR(__xludf.DUMMYFUNCTION("""COMPUTED_VALUE"""),1620.2)</f>
        <v>1620.2</v>
      </c>
      <c r="C5" s="5">
        <f>IFERROR(__xludf.DUMMYFUNCTION("""COMPUTED_VALUE"""),1639.95)</f>
        <v>1639.95</v>
      </c>
      <c r="D5" s="5">
        <f>IFERROR(__xludf.DUMMYFUNCTION("""COMPUTED_VALUE"""),1561.15)</f>
        <v>1561.15</v>
      </c>
      <c r="E5" s="5">
        <f>IFERROR(__xludf.DUMMYFUNCTION("""COMPUTED_VALUE"""),1578.25)</f>
        <v>1578.25</v>
      </c>
      <c r="F5" s="5">
        <f>IFERROR(__xludf.DUMMYFUNCTION("""COMPUTED_VALUE"""),1905948.0)</f>
        <v>1905948</v>
      </c>
    </row>
    <row r="6">
      <c r="A6" s="6">
        <f>IFERROR(__xludf.DUMMYFUNCTION("""COMPUTED_VALUE"""),45198.64583333333)</f>
        <v>45198.64583</v>
      </c>
      <c r="B6" s="5">
        <f>IFERROR(__xludf.DUMMYFUNCTION("""COMPUTED_VALUE"""),1578.25)</f>
        <v>1578.25</v>
      </c>
      <c r="C6" s="5">
        <f>IFERROR(__xludf.DUMMYFUNCTION("""COMPUTED_VALUE"""),1679.0)</f>
        <v>1679</v>
      </c>
      <c r="D6" s="5">
        <f>IFERROR(__xludf.DUMMYFUNCTION("""COMPUTED_VALUE"""),1519.1)</f>
        <v>1519.1</v>
      </c>
      <c r="E6" s="5">
        <f>IFERROR(__xludf.DUMMYFUNCTION("""COMPUTED_VALUE"""),1625.0)</f>
        <v>1625</v>
      </c>
      <c r="F6" s="5">
        <f>IFERROR(__xludf.DUMMYFUNCTION("""COMPUTED_VALUE"""),3697721.0)</f>
        <v>3697721</v>
      </c>
    </row>
    <row r="7">
      <c r="A7" s="6">
        <f>IFERROR(__xludf.DUMMYFUNCTION("""COMPUTED_VALUE"""),45205.64583333333)</f>
        <v>45205.64583</v>
      </c>
      <c r="B7" s="5">
        <f>IFERROR(__xludf.DUMMYFUNCTION("""COMPUTED_VALUE"""),1630.0)</f>
        <v>1630</v>
      </c>
      <c r="C7" s="5">
        <f>IFERROR(__xludf.DUMMYFUNCTION("""COMPUTED_VALUE"""),1657.55)</f>
        <v>1657.55</v>
      </c>
      <c r="D7" s="5">
        <f>IFERROR(__xludf.DUMMYFUNCTION("""COMPUTED_VALUE"""),1599.0)</f>
        <v>1599</v>
      </c>
      <c r="E7" s="5">
        <f>IFERROR(__xludf.DUMMYFUNCTION("""COMPUTED_VALUE"""),1619.3)</f>
        <v>1619.3</v>
      </c>
      <c r="F7" s="5">
        <f>IFERROR(__xludf.DUMMYFUNCTION("""COMPUTED_VALUE"""),2150397.0)</f>
        <v>2150397</v>
      </c>
    </row>
    <row r="8">
      <c r="A8" s="6">
        <f>IFERROR(__xludf.DUMMYFUNCTION("""COMPUTED_VALUE"""),45212.64583333333)</f>
        <v>45212.64583</v>
      </c>
      <c r="B8" s="5">
        <f>IFERROR(__xludf.DUMMYFUNCTION("""COMPUTED_VALUE"""),1610.0)</f>
        <v>1610</v>
      </c>
      <c r="C8" s="5">
        <f>IFERROR(__xludf.DUMMYFUNCTION("""COMPUTED_VALUE"""),1723.0)</f>
        <v>1723</v>
      </c>
      <c r="D8" s="5">
        <f>IFERROR(__xludf.DUMMYFUNCTION("""COMPUTED_VALUE"""),1554.0)</f>
        <v>1554</v>
      </c>
      <c r="E8" s="5">
        <f>IFERROR(__xludf.DUMMYFUNCTION("""COMPUTED_VALUE"""),1712.15)</f>
        <v>1712.15</v>
      </c>
      <c r="F8" s="5">
        <f>IFERROR(__xludf.DUMMYFUNCTION("""COMPUTED_VALUE"""),3721700.0)</f>
        <v>3721700</v>
      </c>
    </row>
    <row r="9">
      <c r="A9" s="6">
        <f>IFERROR(__xludf.DUMMYFUNCTION("""COMPUTED_VALUE"""),45219.64583333333)</f>
        <v>45219.64583</v>
      </c>
      <c r="B9" s="5">
        <f>IFERROR(__xludf.DUMMYFUNCTION("""COMPUTED_VALUE"""),1724.4)</f>
        <v>1724.4</v>
      </c>
      <c r="C9" s="5">
        <f>IFERROR(__xludf.DUMMYFUNCTION("""COMPUTED_VALUE"""),1788.35)</f>
        <v>1788.35</v>
      </c>
      <c r="D9" s="5">
        <f>IFERROR(__xludf.DUMMYFUNCTION("""COMPUTED_VALUE"""),1678.95)</f>
        <v>1678.95</v>
      </c>
      <c r="E9" s="5">
        <f>IFERROR(__xludf.DUMMYFUNCTION("""COMPUTED_VALUE"""),1709.05)</f>
        <v>1709.05</v>
      </c>
      <c r="F9" s="5">
        <f>IFERROR(__xludf.DUMMYFUNCTION("""COMPUTED_VALUE"""),3570399.0)</f>
        <v>3570399</v>
      </c>
    </row>
    <row r="10">
      <c r="A10" s="6">
        <f>IFERROR(__xludf.DUMMYFUNCTION("""COMPUTED_VALUE"""),45226.64583333333)</f>
        <v>45226.64583</v>
      </c>
      <c r="B10" s="5">
        <f>IFERROR(__xludf.DUMMYFUNCTION("""COMPUTED_VALUE"""),1725.0)</f>
        <v>1725</v>
      </c>
      <c r="C10" s="5">
        <f>IFERROR(__xludf.DUMMYFUNCTION("""COMPUTED_VALUE"""),1725.0)</f>
        <v>1725</v>
      </c>
      <c r="D10" s="5">
        <f>IFERROR(__xludf.DUMMYFUNCTION("""COMPUTED_VALUE"""),1587.45)</f>
        <v>1587.45</v>
      </c>
      <c r="E10" s="5">
        <f>IFERROR(__xludf.DUMMYFUNCTION("""COMPUTED_VALUE"""),1623.9)</f>
        <v>1623.9</v>
      </c>
      <c r="F10" s="5">
        <f>IFERROR(__xludf.DUMMYFUNCTION("""COMPUTED_VALUE"""),2640369.0)</f>
        <v>2640369</v>
      </c>
    </row>
    <row r="11">
      <c r="A11" s="6">
        <f>IFERROR(__xludf.DUMMYFUNCTION("""COMPUTED_VALUE"""),45233.64583333333)</f>
        <v>45233.64583</v>
      </c>
      <c r="B11" s="5">
        <f>IFERROR(__xludf.DUMMYFUNCTION("""COMPUTED_VALUE"""),1628.0)</f>
        <v>1628</v>
      </c>
      <c r="C11" s="5">
        <f>IFERROR(__xludf.DUMMYFUNCTION("""COMPUTED_VALUE"""),1637.65)</f>
        <v>1637.65</v>
      </c>
      <c r="D11" s="5">
        <f>IFERROR(__xludf.DUMMYFUNCTION("""COMPUTED_VALUE"""),1506.15)</f>
        <v>1506.15</v>
      </c>
      <c r="E11" s="5">
        <f>IFERROR(__xludf.DUMMYFUNCTION("""COMPUTED_VALUE"""),1543.3)</f>
        <v>1543.3</v>
      </c>
      <c r="F11" s="5">
        <f>IFERROR(__xludf.DUMMYFUNCTION("""COMPUTED_VALUE"""),4994232.0)</f>
        <v>4994232</v>
      </c>
    </row>
    <row r="12">
      <c r="A12" s="6">
        <f>IFERROR(__xludf.DUMMYFUNCTION("""COMPUTED_VALUE"""),45240.64583333333)</f>
        <v>45240.64583</v>
      </c>
      <c r="B12" s="5">
        <f>IFERROR(__xludf.DUMMYFUNCTION("""COMPUTED_VALUE"""),1545.95)</f>
        <v>1545.95</v>
      </c>
      <c r="C12" s="5">
        <f>IFERROR(__xludf.DUMMYFUNCTION("""COMPUTED_VALUE"""),1666.35)</f>
        <v>1666.35</v>
      </c>
      <c r="D12" s="5">
        <f>IFERROR(__xludf.DUMMYFUNCTION("""COMPUTED_VALUE"""),1538.05)</f>
        <v>1538.05</v>
      </c>
      <c r="E12" s="5">
        <f>IFERROR(__xludf.DUMMYFUNCTION("""COMPUTED_VALUE"""),1654.55)</f>
        <v>1654.55</v>
      </c>
      <c r="F12" s="5">
        <f>IFERROR(__xludf.DUMMYFUNCTION("""COMPUTED_VALUE"""),5052748.0)</f>
        <v>5052748</v>
      </c>
    </row>
    <row r="13">
      <c r="A13" s="6">
        <f>IFERROR(__xludf.DUMMYFUNCTION("""COMPUTED_VALUE"""),45247.64583333333)</f>
        <v>45247.64583</v>
      </c>
      <c r="B13" s="5">
        <f>IFERROR(__xludf.DUMMYFUNCTION("""COMPUTED_VALUE"""),1667.95)</f>
        <v>1667.95</v>
      </c>
      <c r="C13" s="5">
        <f>IFERROR(__xludf.DUMMYFUNCTION("""COMPUTED_VALUE"""),1714.9)</f>
        <v>1714.9</v>
      </c>
      <c r="D13" s="5">
        <f>IFERROR(__xludf.DUMMYFUNCTION("""COMPUTED_VALUE"""),1648.05)</f>
        <v>1648.05</v>
      </c>
      <c r="E13" s="5">
        <f>IFERROR(__xludf.DUMMYFUNCTION("""COMPUTED_VALUE"""),1683.1)</f>
        <v>1683.1</v>
      </c>
      <c r="F13" s="5">
        <f>IFERROR(__xludf.DUMMYFUNCTION("""COMPUTED_VALUE"""),5049456.0)</f>
        <v>5049456</v>
      </c>
    </row>
    <row r="14">
      <c r="A14" s="6">
        <f>IFERROR(__xludf.DUMMYFUNCTION("""COMPUTED_VALUE"""),45254.64583333333)</f>
        <v>45254.64583</v>
      </c>
      <c r="B14" s="5">
        <f>IFERROR(__xludf.DUMMYFUNCTION("""COMPUTED_VALUE"""),1694.0)</f>
        <v>1694</v>
      </c>
      <c r="C14" s="5">
        <f>IFERROR(__xludf.DUMMYFUNCTION("""COMPUTED_VALUE"""),1722.3)</f>
        <v>1722.3</v>
      </c>
      <c r="D14" s="5">
        <f>IFERROR(__xludf.DUMMYFUNCTION("""COMPUTED_VALUE"""),1640.15)</f>
        <v>1640.15</v>
      </c>
      <c r="E14" s="5">
        <f>IFERROR(__xludf.DUMMYFUNCTION("""COMPUTED_VALUE"""),1696.25)</f>
        <v>1696.25</v>
      </c>
      <c r="F14" s="5">
        <f>IFERROR(__xludf.DUMMYFUNCTION("""COMPUTED_VALUE"""),5115729.0)</f>
        <v>5115729</v>
      </c>
    </row>
    <row r="15">
      <c r="A15" s="6">
        <f>IFERROR(__xludf.DUMMYFUNCTION("""COMPUTED_VALUE"""),45261.64583333333)</f>
        <v>45261.64583</v>
      </c>
      <c r="B15" s="5">
        <f>IFERROR(__xludf.DUMMYFUNCTION("""COMPUTED_VALUE"""),1709.9)</f>
        <v>1709.9</v>
      </c>
      <c r="C15" s="5">
        <f>IFERROR(__xludf.DUMMYFUNCTION("""COMPUTED_VALUE"""),1774.0)</f>
        <v>1774</v>
      </c>
      <c r="D15" s="5">
        <f>IFERROR(__xludf.DUMMYFUNCTION("""COMPUTED_VALUE"""),1632.95)</f>
        <v>1632.95</v>
      </c>
      <c r="E15" s="5">
        <f>IFERROR(__xludf.DUMMYFUNCTION("""COMPUTED_VALUE"""),1644.95)</f>
        <v>1644.95</v>
      </c>
      <c r="F15" s="5">
        <f>IFERROR(__xludf.DUMMYFUNCTION("""COMPUTED_VALUE"""),2.6784862E7)</f>
        <v>26784862</v>
      </c>
    </row>
    <row r="16">
      <c r="A16" s="6">
        <f>IFERROR(__xludf.DUMMYFUNCTION("""COMPUTED_VALUE"""),45268.64583333333)</f>
        <v>45268.64583</v>
      </c>
      <c r="B16" s="5">
        <f>IFERROR(__xludf.DUMMYFUNCTION("""COMPUTED_VALUE"""),1693.0)</f>
        <v>1693</v>
      </c>
      <c r="C16" s="5">
        <f>IFERROR(__xludf.DUMMYFUNCTION("""COMPUTED_VALUE"""),1694.0)</f>
        <v>1694</v>
      </c>
      <c r="D16" s="5">
        <f>IFERROR(__xludf.DUMMYFUNCTION("""COMPUTED_VALUE"""),1579.15)</f>
        <v>1579.15</v>
      </c>
      <c r="E16" s="5">
        <f>IFERROR(__xludf.DUMMYFUNCTION("""COMPUTED_VALUE"""),1601.55)</f>
        <v>1601.55</v>
      </c>
      <c r="F16" s="5">
        <f>IFERROR(__xludf.DUMMYFUNCTION("""COMPUTED_VALUE"""),3980892.0)</f>
        <v>3980892</v>
      </c>
    </row>
    <row r="17">
      <c r="A17" s="6">
        <f>IFERROR(__xludf.DUMMYFUNCTION("""COMPUTED_VALUE"""),45275.64583333333)</f>
        <v>45275.64583</v>
      </c>
      <c r="B17" s="5">
        <f>IFERROR(__xludf.DUMMYFUNCTION("""COMPUTED_VALUE"""),1601.0)</f>
        <v>1601</v>
      </c>
      <c r="C17" s="5">
        <f>IFERROR(__xludf.DUMMYFUNCTION("""COMPUTED_VALUE"""),1645.0)</f>
        <v>1645</v>
      </c>
      <c r="D17" s="5">
        <f>IFERROR(__xludf.DUMMYFUNCTION("""COMPUTED_VALUE"""),1596.95)</f>
        <v>1596.95</v>
      </c>
      <c r="E17" s="5">
        <f>IFERROR(__xludf.DUMMYFUNCTION("""COMPUTED_VALUE"""),1615.85)</f>
        <v>1615.85</v>
      </c>
      <c r="F17" s="5">
        <f>IFERROR(__xludf.DUMMYFUNCTION("""COMPUTED_VALUE"""),3663329.0)</f>
        <v>3663329</v>
      </c>
    </row>
    <row r="18">
      <c r="A18" s="6">
        <f>IFERROR(__xludf.DUMMYFUNCTION("""COMPUTED_VALUE"""),45282.64583333333)</f>
        <v>45282.64583</v>
      </c>
      <c r="B18" s="5">
        <f>IFERROR(__xludf.DUMMYFUNCTION("""COMPUTED_VALUE"""),1613.0)</f>
        <v>1613</v>
      </c>
      <c r="C18" s="5">
        <f>IFERROR(__xludf.DUMMYFUNCTION("""COMPUTED_VALUE"""),1629.85)</f>
        <v>1629.85</v>
      </c>
      <c r="D18" s="5">
        <f>IFERROR(__xludf.DUMMYFUNCTION("""COMPUTED_VALUE"""),1540.4)</f>
        <v>1540.4</v>
      </c>
      <c r="E18" s="5">
        <f>IFERROR(__xludf.DUMMYFUNCTION("""COMPUTED_VALUE"""),1588.15)</f>
        <v>1588.15</v>
      </c>
      <c r="F18" s="5">
        <f>IFERROR(__xludf.DUMMYFUNCTION("""COMPUTED_VALUE"""),2991073.0)</f>
        <v>2991073</v>
      </c>
    </row>
    <row r="19">
      <c r="A19" s="6">
        <f>IFERROR(__xludf.DUMMYFUNCTION("""COMPUTED_VALUE"""),45289.64583333333)</f>
        <v>45289.64583</v>
      </c>
      <c r="B19" s="5">
        <f>IFERROR(__xludf.DUMMYFUNCTION("""COMPUTED_VALUE"""),1593.9)</f>
        <v>1593.9</v>
      </c>
      <c r="C19" s="5">
        <f>IFERROR(__xludf.DUMMYFUNCTION("""COMPUTED_VALUE"""),1605.05)</f>
        <v>1605.05</v>
      </c>
      <c r="D19" s="5">
        <f>IFERROR(__xludf.DUMMYFUNCTION("""COMPUTED_VALUE"""),1520.15)</f>
        <v>1520.15</v>
      </c>
      <c r="E19" s="5">
        <f>IFERROR(__xludf.DUMMYFUNCTION("""COMPUTED_VALUE"""),1536.8)</f>
        <v>1536.8</v>
      </c>
      <c r="F19" s="5">
        <f>IFERROR(__xludf.DUMMYFUNCTION("""COMPUTED_VALUE"""),2917574.0)</f>
        <v>2917574</v>
      </c>
    </row>
    <row r="20">
      <c r="A20" s="6">
        <f>IFERROR(__xludf.DUMMYFUNCTION("""COMPUTED_VALUE"""),45296.64583333333)</f>
        <v>45296.64583</v>
      </c>
      <c r="B20" s="5">
        <f>IFERROR(__xludf.DUMMYFUNCTION("""COMPUTED_VALUE"""),1553.9)</f>
        <v>1553.9</v>
      </c>
      <c r="C20" s="5">
        <f>IFERROR(__xludf.DUMMYFUNCTION("""COMPUTED_VALUE"""),1560.0)</f>
        <v>1560</v>
      </c>
      <c r="D20" s="5">
        <f>IFERROR(__xludf.DUMMYFUNCTION("""COMPUTED_VALUE"""),1432.9)</f>
        <v>1432.9</v>
      </c>
      <c r="E20" s="5">
        <f>IFERROR(__xludf.DUMMYFUNCTION("""COMPUTED_VALUE"""),1523.75)</f>
        <v>1523.75</v>
      </c>
      <c r="F20" s="5">
        <f>IFERROR(__xludf.DUMMYFUNCTION("""COMPUTED_VALUE"""),7437560.0)</f>
        <v>7437560</v>
      </c>
    </row>
    <row r="21">
      <c r="A21" s="6">
        <f>IFERROR(__xludf.DUMMYFUNCTION("""COMPUTED_VALUE"""),45303.64583333333)</f>
        <v>45303.64583</v>
      </c>
      <c r="B21" s="5">
        <f>IFERROR(__xludf.DUMMYFUNCTION("""COMPUTED_VALUE"""),1524.05)</f>
        <v>1524.05</v>
      </c>
      <c r="C21" s="5">
        <f>IFERROR(__xludf.DUMMYFUNCTION("""COMPUTED_VALUE"""),1589.0)</f>
        <v>1589</v>
      </c>
      <c r="D21" s="5">
        <f>IFERROR(__xludf.DUMMYFUNCTION("""COMPUTED_VALUE"""),1494.55)</f>
        <v>1494.55</v>
      </c>
      <c r="E21" s="5">
        <f>IFERROR(__xludf.DUMMYFUNCTION("""COMPUTED_VALUE"""),1552.85)</f>
        <v>1552.85</v>
      </c>
      <c r="F21" s="5">
        <f>IFERROR(__xludf.DUMMYFUNCTION("""COMPUTED_VALUE"""),4654491.0)</f>
        <v>4654491</v>
      </c>
    </row>
    <row r="22">
      <c r="A22" s="6">
        <f>IFERROR(__xludf.DUMMYFUNCTION("""COMPUTED_VALUE"""),45316.64583333333)</f>
        <v>45316.64583</v>
      </c>
      <c r="B22" s="5">
        <f>IFERROR(__xludf.DUMMYFUNCTION("""COMPUTED_VALUE"""),1539.0)</f>
        <v>1539</v>
      </c>
      <c r="C22" s="5">
        <f>IFERROR(__xludf.DUMMYFUNCTION("""COMPUTED_VALUE"""),1542.85)</f>
        <v>1542.85</v>
      </c>
      <c r="D22" s="5">
        <f>IFERROR(__xludf.DUMMYFUNCTION("""COMPUTED_VALUE"""),1478.0)</f>
        <v>1478</v>
      </c>
      <c r="E22" s="5">
        <f>IFERROR(__xludf.DUMMYFUNCTION("""COMPUTED_VALUE"""),1489.85)</f>
        <v>1489.85</v>
      </c>
      <c r="F22" s="5">
        <f>IFERROR(__xludf.DUMMYFUNCTION("""COMPUTED_VALUE"""),1866521.0)</f>
        <v>1866521</v>
      </c>
    </row>
    <row r="23">
      <c r="A23" s="6">
        <f>IFERROR(__xludf.DUMMYFUNCTION("""COMPUTED_VALUE"""),45324.64583333333)</f>
        <v>45324.64583</v>
      </c>
      <c r="B23" s="5">
        <f>IFERROR(__xludf.DUMMYFUNCTION("""COMPUTED_VALUE"""),1479.95)</f>
        <v>1479.95</v>
      </c>
      <c r="C23" s="5">
        <f>IFERROR(__xludf.DUMMYFUNCTION("""COMPUTED_VALUE"""),1543.9)</f>
        <v>1543.9</v>
      </c>
      <c r="D23" s="5">
        <f>IFERROR(__xludf.DUMMYFUNCTION("""COMPUTED_VALUE"""),1456.6)</f>
        <v>1456.6</v>
      </c>
      <c r="E23" s="5">
        <f>IFERROR(__xludf.DUMMYFUNCTION("""COMPUTED_VALUE"""),1478.65)</f>
        <v>1478.65</v>
      </c>
      <c r="F23" s="5">
        <f>IFERROR(__xludf.DUMMYFUNCTION("""COMPUTED_VALUE"""),5696908.0)</f>
        <v>5696908</v>
      </c>
    </row>
    <row r="24">
      <c r="A24" s="6">
        <f>IFERROR(__xludf.DUMMYFUNCTION("""COMPUTED_VALUE"""),45331.64583333333)</f>
        <v>45331.64583</v>
      </c>
      <c r="B24" s="5">
        <f>IFERROR(__xludf.DUMMYFUNCTION("""COMPUTED_VALUE"""),1478.65)</f>
        <v>1478.65</v>
      </c>
      <c r="C24" s="5">
        <f>IFERROR(__xludf.DUMMYFUNCTION("""COMPUTED_VALUE"""),1494.0)</f>
        <v>1494</v>
      </c>
      <c r="D24" s="5">
        <f>IFERROR(__xludf.DUMMYFUNCTION("""COMPUTED_VALUE"""),1326.75)</f>
        <v>1326.75</v>
      </c>
      <c r="E24" s="5">
        <f>IFERROR(__xludf.DUMMYFUNCTION("""COMPUTED_VALUE"""),1342.6)</f>
        <v>1342.6</v>
      </c>
      <c r="F24" s="5">
        <f>IFERROR(__xludf.DUMMYFUNCTION("""COMPUTED_VALUE"""),6334870.0)</f>
        <v>6334870</v>
      </c>
    </row>
    <row r="25">
      <c r="A25" s="6">
        <f>IFERROR(__xludf.DUMMYFUNCTION("""COMPUTED_VALUE"""),45338.64583333333)</f>
        <v>45338.64583</v>
      </c>
      <c r="B25" s="5">
        <f>IFERROR(__xludf.DUMMYFUNCTION("""COMPUTED_VALUE"""),1358.95)</f>
        <v>1358.95</v>
      </c>
      <c r="C25" s="5">
        <f>IFERROR(__xludf.DUMMYFUNCTION("""COMPUTED_VALUE"""),1444.2)</f>
        <v>1444.2</v>
      </c>
      <c r="D25" s="5">
        <f>IFERROR(__xludf.DUMMYFUNCTION("""COMPUTED_VALUE"""),1305.0)</f>
        <v>1305</v>
      </c>
      <c r="E25" s="5">
        <f>IFERROR(__xludf.DUMMYFUNCTION("""COMPUTED_VALUE"""),1433.15)</f>
        <v>1433.15</v>
      </c>
      <c r="F25" s="5">
        <f>IFERROR(__xludf.DUMMYFUNCTION("""COMPUTED_VALUE"""),3114219.0)</f>
        <v>3114219</v>
      </c>
    </row>
    <row r="26">
      <c r="A26" s="6">
        <f>IFERROR(__xludf.DUMMYFUNCTION("""COMPUTED_VALUE"""),45345.64583333333)</f>
        <v>45345.64583</v>
      </c>
      <c r="B26" s="5">
        <f>IFERROR(__xludf.DUMMYFUNCTION("""COMPUTED_VALUE"""),1433.2)</f>
        <v>1433.2</v>
      </c>
      <c r="C26" s="5">
        <f>IFERROR(__xludf.DUMMYFUNCTION("""COMPUTED_VALUE"""),1470.0)</f>
        <v>1470</v>
      </c>
      <c r="D26" s="5">
        <f>IFERROR(__xludf.DUMMYFUNCTION("""COMPUTED_VALUE"""),1402.4)</f>
        <v>1402.4</v>
      </c>
      <c r="E26" s="5">
        <f>IFERROR(__xludf.DUMMYFUNCTION("""COMPUTED_VALUE"""),1449.25)</f>
        <v>1449.25</v>
      </c>
      <c r="F26" s="5">
        <f>IFERROR(__xludf.DUMMYFUNCTION("""COMPUTED_VALUE"""),2359208.0)</f>
        <v>2359208</v>
      </c>
    </row>
    <row r="27">
      <c r="A27" s="6">
        <f>IFERROR(__xludf.DUMMYFUNCTION("""COMPUTED_VALUE"""),45358.64583333333)</f>
        <v>45358.64583</v>
      </c>
      <c r="B27" s="5">
        <f>IFERROR(__xludf.DUMMYFUNCTION("""COMPUTED_VALUE"""),1539.9)</f>
        <v>1539.9</v>
      </c>
      <c r="C27" s="5">
        <f>IFERROR(__xludf.DUMMYFUNCTION("""COMPUTED_VALUE"""),1589.9)</f>
        <v>1589.9</v>
      </c>
      <c r="D27" s="5">
        <f>IFERROR(__xludf.DUMMYFUNCTION("""COMPUTED_VALUE"""),1523.6)</f>
        <v>1523.6</v>
      </c>
      <c r="E27" s="5">
        <f>IFERROR(__xludf.DUMMYFUNCTION("""COMPUTED_VALUE"""),1582.65)</f>
        <v>1582.65</v>
      </c>
      <c r="F27" s="5">
        <f>IFERROR(__xludf.DUMMYFUNCTION("""COMPUTED_VALUE"""),1594375.0)</f>
        <v>1594375</v>
      </c>
    </row>
    <row r="28">
      <c r="A28" s="6">
        <f>IFERROR(__xludf.DUMMYFUNCTION("""COMPUTED_VALUE"""),45366.64583333333)</f>
        <v>45366.64583</v>
      </c>
      <c r="B28" s="5">
        <f>IFERROR(__xludf.DUMMYFUNCTION("""COMPUTED_VALUE"""),1587.9)</f>
        <v>1587.9</v>
      </c>
      <c r="C28" s="5">
        <f>IFERROR(__xludf.DUMMYFUNCTION("""COMPUTED_VALUE"""),1660.0)</f>
        <v>1660</v>
      </c>
      <c r="D28" s="5">
        <f>IFERROR(__xludf.DUMMYFUNCTION("""COMPUTED_VALUE"""),1440.0)</f>
        <v>1440</v>
      </c>
      <c r="E28" s="5">
        <f>IFERROR(__xludf.DUMMYFUNCTION("""COMPUTED_VALUE"""),1474.7)</f>
        <v>1474.7</v>
      </c>
      <c r="F28" s="5">
        <f>IFERROR(__xludf.DUMMYFUNCTION("""COMPUTED_VALUE"""),8931908.0)</f>
        <v>8931908</v>
      </c>
    </row>
    <row r="29">
      <c r="A29" s="6">
        <f>IFERROR(__xludf.DUMMYFUNCTION("""COMPUTED_VALUE"""),45373.64583333333)</f>
        <v>45373.64583</v>
      </c>
      <c r="B29" s="5">
        <f>IFERROR(__xludf.DUMMYFUNCTION("""COMPUTED_VALUE"""),1472.95)</f>
        <v>1472.95</v>
      </c>
      <c r="C29" s="5">
        <f>IFERROR(__xludf.DUMMYFUNCTION("""COMPUTED_VALUE"""),1570.85)</f>
        <v>1570.85</v>
      </c>
      <c r="D29" s="5">
        <f>IFERROR(__xludf.DUMMYFUNCTION("""COMPUTED_VALUE"""),1463.7)</f>
        <v>1463.7</v>
      </c>
      <c r="E29" s="5">
        <f>IFERROR(__xludf.DUMMYFUNCTION("""COMPUTED_VALUE"""),1518.85)</f>
        <v>1518.85</v>
      </c>
      <c r="F29" s="5">
        <f>IFERROR(__xludf.DUMMYFUNCTION("""COMPUTED_VALUE"""),2446214.0)</f>
        <v>2446214</v>
      </c>
    </row>
    <row r="30">
      <c r="A30" s="6">
        <f>IFERROR(__xludf.DUMMYFUNCTION("""COMPUTED_VALUE"""),45379.64583333333)</f>
        <v>45379.64583</v>
      </c>
      <c r="B30" s="5">
        <f>IFERROR(__xludf.DUMMYFUNCTION("""COMPUTED_VALUE"""),1497.8)</f>
        <v>1497.8</v>
      </c>
      <c r="C30" s="5">
        <f>IFERROR(__xludf.DUMMYFUNCTION("""COMPUTED_VALUE"""),1512.35)</f>
        <v>1512.35</v>
      </c>
      <c r="D30" s="5">
        <f>IFERROR(__xludf.DUMMYFUNCTION("""COMPUTED_VALUE"""),1455.55)</f>
        <v>1455.55</v>
      </c>
      <c r="E30" s="5">
        <f>IFERROR(__xludf.DUMMYFUNCTION("""COMPUTED_VALUE"""),1495.95)</f>
        <v>1495.95</v>
      </c>
      <c r="F30" s="5">
        <f>IFERROR(__xludf.DUMMYFUNCTION("""COMPUTED_VALUE"""),1713395.0)</f>
        <v>1713395</v>
      </c>
    </row>
    <row r="31">
      <c r="A31" s="6">
        <f>IFERROR(__xludf.DUMMYFUNCTION("""COMPUTED_VALUE"""),45387.64583333333)</f>
        <v>45387.64583</v>
      </c>
      <c r="B31" s="5">
        <f>IFERROR(__xludf.DUMMYFUNCTION("""COMPUTED_VALUE"""),1509.95)</f>
        <v>1509.95</v>
      </c>
      <c r="C31" s="5">
        <f>IFERROR(__xludf.DUMMYFUNCTION("""COMPUTED_VALUE"""),1615.0)</f>
        <v>1615</v>
      </c>
      <c r="D31" s="5">
        <f>IFERROR(__xludf.DUMMYFUNCTION("""COMPUTED_VALUE"""),1476.4)</f>
        <v>1476.4</v>
      </c>
      <c r="E31" s="5">
        <f>IFERROR(__xludf.DUMMYFUNCTION("""COMPUTED_VALUE"""),1550.85)</f>
        <v>1550.85</v>
      </c>
      <c r="F31" s="5">
        <f>IFERROR(__xludf.DUMMYFUNCTION("""COMPUTED_VALUE"""),2686330.0)</f>
        <v>2686330</v>
      </c>
    </row>
    <row r="32">
      <c r="A32" s="6">
        <f>IFERROR(__xludf.DUMMYFUNCTION("""COMPUTED_VALUE"""),45394.64583333333)</f>
        <v>45394.64583</v>
      </c>
      <c r="B32" s="5">
        <f>IFERROR(__xludf.DUMMYFUNCTION("""COMPUTED_VALUE"""),1570.0)</f>
        <v>1570</v>
      </c>
      <c r="C32" s="5">
        <f>IFERROR(__xludf.DUMMYFUNCTION("""COMPUTED_VALUE"""),1622.0)</f>
        <v>1622</v>
      </c>
      <c r="D32" s="5">
        <f>IFERROR(__xludf.DUMMYFUNCTION("""COMPUTED_VALUE"""),1535.4)</f>
        <v>1535.4</v>
      </c>
      <c r="E32" s="5">
        <f>IFERROR(__xludf.DUMMYFUNCTION("""COMPUTED_VALUE"""),1547.1)</f>
        <v>1547.1</v>
      </c>
      <c r="F32" s="5">
        <f>IFERROR(__xludf.DUMMYFUNCTION("""COMPUTED_VALUE"""),2333669.0)</f>
        <v>2333669</v>
      </c>
    </row>
    <row r="33">
      <c r="A33" s="6">
        <f>IFERROR(__xludf.DUMMYFUNCTION("""COMPUTED_VALUE"""),45401.64583333333)</f>
        <v>45401.64583</v>
      </c>
      <c r="B33" s="5">
        <f>IFERROR(__xludf.DUMMYFUNCTION("""COMPUTED_VALUE"""),1500.0)</f>
        <v>1500</v>
      </c>
      <c r="C33" s="5">
        <f>IFERROR(__xludf.DUMMYFUNCTION("""COMPUTED_VALUE"""),1570.0)</f>
        <v>1570</v>
      </c>
      <c r="D33" s="5">
        <f>IFERROR(__xludf.DUMMYFUNCTION("""COMPUTED_VALUE"""),1500.0)</f>
        <v>1500</v>
      </c>
      <c r="E33" s="5">
        <f>IFERROR(__xludf.DUMMYFUNCTION("""COMPUTED_VALUE"""),1555.65)</f>
        <v>1555.65</v>
      </c>
      <c r="F33" s="5">
        <f>IFERROR(__xludf.DUMMYFUNCTION("""COMPUTED_VALUE"""),1547355.0)</f>
        <v>1547355</v>
      </c>
    </row>
    <row r="34">
      <c r="A34" s="6">
        <f>IFERROR(__xludf.DUMMYFUNCTION("""COMPUTED_VALUE"""),45408.64583333333)</f>
        <v>45408.64583</v>
      </c>
      <c r="B34" s="5">
        <f>IFERROR(__xludf.DUMMYFUNCTION("""COMPUTED_VALUE"""),1570.0)</f>
        <v>1570</v>
      </c>
      <c r="C34" s="5">
        <f>IFERROR(__xludf.DUMMYFUNCTION("""COMPUTED_VALUE"""),1595.95)</f>
        <v>1595.95</v>
      </c>
      <c r="D34" s="5">
        <f>IFERROR(__xludf.DUMMYFUNCTION("""COMPUTED_VALUE"""),1536.0)</f>
        <v>1536</v>
      </c>
      <c r="E34" s="5">
        <f>IFERROR(__xludf.DUMMYFUNCTION("""COMPUTED_VALUE"""),1554.45)</f>
        <v>1554.45</v>
      </c>
      <c r="F34" s="5">
        <f>IFERROR(__xludf.DUMMYFUNCTION("""COMPUTED_VALUE"""),1685906.0)</f>
        <v>1685906</v>
      </c>
    </row>
    <row r="35">
      <c r="A35" s="6">
        <f>IFERROR(__xludf.DUMMYFUNCTION("""COMPUTED_VALUE"""),45415.64583333333)</f>
        <v>45415.64583</v>
      </c>
      <c r="B35" s="5">
        <f>IFERROR(__xludf.DUMMYFUNCTION("""COMPUTED_VALUE"""),1560.0)</f>
        <v>1560</v>
      </c>
      <c r="C35" s="5">
        <f>IFERROR(__xludf.DUMMYFUNCTION("""COMPUTED_VALUE"""),1613.0)</f>
        <v>1613</v>
      </c>
      <c r="D35" s="5">
        <f>IFERROR(__xludf.DUMMYFUNCTION("""COMPUTED_VALUE"""),1533.35)</f>
        <v>1533.35</v>
      </c>
      <c r="E35" s="5">
        <f>IFERROR(__xludf.DUMMYFUNCTION("""COMPUTED_VALUE"""),1587.3)</f>
        <v>1587.3</v>
      </c>
      <c r="F35" s="5">
        <f>IFERROR(__xludf.DUMMYFUNCTION("""COMPUTED_VALUE"""),1646864.0)</f>
        <v>1646864</v>
      </c>
    </row>
    <row r="36">
      <c r="A36" s="6">
        <f>IFERROR(__xludf.DUMMYFUNCTION("""COMPUTED_VALUE"""),45422.64583333333)</f>
        <v>45422.64583</v>
      </c>
      <c r="B36" s="5">
        <f>IFERROR(__xludf.DUMMYFUNCTION("""COMPUTED_VALUE"""),1580.0)</f>
        <v>1580</v>
      </c>
      <c r="C36" s="5">
        <f>IFERROR(__xludf.DUMMYFUNCTION("""COMPUTED_VALUE"""),1611.0)</f>
        <v>1611</v>
      </c>
      <c r="D36" s="5">
        <f>IFERROR(__xludf.DUMMYFUNCTION("""COMPUTED_VALUE"""),1506.8)</f>
        <v>1506.8</v>
      </c>
      <c r="E36" s="5">
        <f>IFERROR(__xludf.DUMMYFUNCTION("""COMPUTED_VALUE"""),1535.45)</f>
        <v>1535.45</v>
      </c>
      <c r="F36" s="5">
        <f>IFERROR(__xludf.DUMMYFUNCTION("""COMPUTED_VALUE"""),1923119.0)</f>
        <v>1923119</v>
      </c>
    </row>
    <row r="37">
      <c r="A37" s="6">
        <f>IFERROR(__xludf.DUMMYFUNCTION("""COMPUTED_VALUE"""),45436.64583333333)</f>
        <v>45436.64583</v>
      </c>
      <c r="B37" s="5">
        <f>IFERROR(__xludf.DUMMYFUNCTION("""COMPUTED_VALUE"""),1670.3)</f>
        <v>1670.3</v>
      </c>
      <c r="C37" s="5">
        <f>IFERROR(__xludf.DUMMYFUNCTION("""COMPUTED_VALUE"""),1728.95)</f>
        <v>1728.95</v>
      </c>
      <c r="D37" s="5">
        <f>IFERROR(__xludf.DUMMYFUNCTION("""COMPUTED_VALUE"""),1670.3)</f>
        <v>1670.3</v>
      </c>
      <c r="E37" s="5">
        <f>IFERROR(__xludf.DUMMYFUNCTION("""COMPUTED_VALUE"""),1694.25)</f>
        <v>1694.25</v>
      </c>
      <c r="F37" s="5">
        <f>IFERROR(__xludf.DUMMYFUNCTION("""COMPUTED_VALUE"""),1958607.0)</f>
        <v>1958607</v>
      </c>
    </row>
    <row r="38">
      <c r="A38" s="6">
        <f>IFERROR(__xludf.DUMMYFUNCTION("""COMPUTED_VALUE"""),45443.64583333333)</f>
        <v>45443.64583</v>
      </c>
      <c r="B38" s="5">
        <f>IFERROR(__xludf.DUMMYFUNCTION("""COMPUTED_VALUE"""),1700.5)</f>
        <v>1700.5</v>
      </c>
      <c r="C38" s="5">
        <f>IFERROR(__xludf.DUMMYFUNCTION("""COMPUTED_VALUE"""),1705.0)</f>
        <v>1705</v>
      </c>
      <c r="D38" s="5">
        <f>IFERROR(__xludf.DUMMYFUNCTION("""COMPUTED_VALUE"""),1463.6)</f>
        <v>1463.6</v>
      </c>
      <c r="E38" s="5">
        <f>IFERROR(__xludf.DUMMYFUNCTION("""COMPUTED_VALUE"""),1504.9)</f>
        <v>1504.9</v>
      </c>
      <c r="F38" s="5">
        <f>IFERROR(__xludf.DUMMYFUNCTION("""COMPUTED_VALUE"""),4915697.0)</f>
        <v>4915697</v>
      </c>
    </row>
    <row r="39">
      <c r="A39" s="6">
        <f>IFERROR(__xludf.DUMMYFUNCTION("""COMPUTED_VALUE"""),45450.64583333333)</f>
        <v>45450.64583</v>
      </c>
      <c r="B39" s="5">
        <f>IFERROR(__xludf.DUMMYFUNCTION("""COMPUTED_VALUE"""),1562.0)</f>
        <v>1562</v>
      </c>
      <c r="C39" s="5">
        <f>IFERROR(__xludf.DUMMYFUNCTION("""COMPUTED_VALUE"""),1631.5)</f>
        <v>1631.5</v>
      </c>
      <c r="D39" s="5">
        <f>IFERROR(__xludf.DUMMYFUNCTION("""COMPUTED_VALUE"""),1403.25)</f>
        <v>1403.25</v>
      </c>
      <c r="E39" s="5">
        <f>IFERROR(__xludf.DUMMYFUNCTION("""COMPUTED_VALUE"""),1625.05)</f>
        <v>1625.05</v>
      </c>
      <c r="F39" s="5">
        <f>IFERROR(__xludf.DUMMYFUNCTION("""COMPUTED_VALUE"""),6648282.0)</f>
        <v>6648282</v>
      </c>
    </row>
    <row r="40">
      <c r="A40" s="6">
        <f>IFERROR(__xludf.DUMMYFUNCTION("""COMPUTED_VALUE"""),45457.64583333333)</f>
        <v>45457.64583</v>
      </c>
      <c r="B40" s="5">
        <f>IFERROR(__xludf.DUMMYFUNCTION("""COMPUTED_VALUE"""),1634.0)</f>
        <v>1634</v>
      </c>
      <c r="C40" s="5">
        <f>IFERROR(__xludf.DUMMYFUNCTION("""COMPUTED_VALUE"""),1667.5)</f>
        <v>1667.5</v>
      </c>
      <c r="D40" s="5">
        <f>IFERROR(__xludf.DUMMYFUNCTION("""COMPUTED_VALUE"""),1533.25)</f>
        <v>1533.25</v>
      </c>
      <c r="E40" s="5">
        <f>IFERROR(__xludf.DUMMYFUNCTION("""COMPUTED_VALUE"""),1558.8)</f>
        <v>1558.8</v>
      </c>
      <c r="F40" s="5">
        <f>IFERROR(__xludf.DUMMYFUNCTION("""COMPUTED_VALUE"""),2702381.0)</f>
        <v>2702381</v>
      </c>
    </row>
    <row r="41">
      <c r="A41" s="6">
        <f>IFERROR(__xludf.DUMMYFUNCTION("""COMPUTED_VALUE"""),45464.64583333333)</f>
        <v>45464.64583</v>
      </c>
      <c r="B41" s="5">
        <f>IFERROR(__xludf.DUMMYFUNCTION("""COMPUTED_VALUE"""),1559.4)</f>
        <v>1559.4</v>
      </c>
      <c r="C41" s="5">
        <f>IFERROR(__xludf.DUMMYFUNCTION("""COMPUTED_VALUE"""),1679.0)</f>
        <v>1679</v>
      </c>
      <c r="D41" s="5">
        <f>IFERROR(__xludf.DUMMYFUNCTION("""COMPUTED_VALUE"""),1555.05)</f>
        <v>1555.05</v>
      </c>
      <c r="E41" s="5">
        <f>IFERROR(__xludf.DUMMYFUNCTION("""COMPUTED_VALUE"""),1646.6)</f>
        <v>1646.6</v>
      </c>
      <c r="F41" s="5">
        <f>IFERROR(__xludf.DUMMYFUNCTION("""COMPUTED_VALUE"""),3768750.0)</f>
        <v>3768750</v>
      </c>
    </row>
    <row r="42">
      <c r="A42" s="6">
        <f>IFERROR(__xludf.DUMMYFUNCTION("""COMPUTED_VALUE"""),45471.64583333333)</f>
        <v>45471.64583</v>
      </c>
      <c r="B42" s="5">
        <f>IFERROR(__xludf.DUMMYFUNCTION("""COMPUTED_VALUE"""),1638.5)</f>
        <v>1638.5</v>
      </c>
      <c r="C42" s="5">
        <f>IFERROR(__xludf.DUMMYFUNCTION("""COMPUTED_VALUE"""),1647.2)</f>
        <v>1647.2</v>
      </c>
      <c r="D42" s="5">
        <f>IFERROR(__xludf.DUMMYFUNCTION("""COMPUTED_VALUE"""),1520.0)</f>
        <v>1520</v>
      </c>
      <c r="E42" s="5">
        <f>IFERROR(__xludf.DUMMYFUNCTION("""COMPUTED_VALUE"""),1555.3)</f>
        <v>1555.3</v>
      </c>
      <c r="F42" s="5">
        <f>IFERROR(__xludf.DUMMYFUNCTION("""COMPUTED_VALUE"""),2759770.0)</f>
        <v>2759770</v>
      </c>
    </row>
    <row r="43">
      <c r="A43" s="6">
        <f>IFERROR(__xludf.DUMMYFUNCTION("""COMPUTED_VALUE"""),45478.64583333333)</f>
        <v>45478.64583</v>
      </c>
      <c r="B43" s="5">
        <f>IFERROR(__xludf.DUMMYFUNCTION("""COMPUTED_VALUE"""),1560.05)</f>
        <v>1560.05</v>
      </c>
      <c r="C43" s="5">
        <f>IFERROR(__xludf.DUMMYFUNCTION("""COMPUTED_VALUE"""),1654.0)</f>
        <v>1654</v>
      </c>
      <c r="D43" s="5">
        <f>IFERROR(__xludf.DUMMYFUNCTION("""COMPUTED_VALUE"""),1551.0)</f>
        <v>1551</v>
      </c>
      <c r="E43" s="5">
        <f>IFERROR(__xludf.DUMMYFUNCTION("""COMPUTED_VALUE"""),1569.65)</f>
        <v>1569.65</v>
      </c>
      <c r="F43" s="5">
        <f>IFERROR(__xludf.DUMMYFUNCTION("""COMPUTED_VALUE"""),3921000.0)</f>
        <v>3921000</v>
      </c>
    </row>
    <row r="44">
      <c r="A44" s="6">
        <f>IFERROR(__xludf.DUMMYFUNCTION("""COMPUTED_VALUE"""),45485.64583333333)</f>
        <v>45485.64583</v>
      </c>
      <c r="B44" s="5">
        <f>IFERROR(__xludf.DUMMYFUNCTION("""COMPUTED_VALUE"""),1570.0)</f>
        <v>1570</v>
      </c>
      <c r="C44" s="5">
        <f>IFERROR(__xludf.DUMMYFUNCTION("""COMPUTED_VALUE"""),1586.95)</f>
        <v>1586.95</v>
      </c>
      <c r="D44" s="5">
        <f>IFERROR(__xludf.DUMMYFUNCTION("""COMPUTED_VALUE"""),1529.0)</f>
        <v>1529</v>
      </c>
      <c r="E44" s="5">
        <f>IFERROR(__xludf.DUMMYFUNCTION("""COMPUTED_VALUE"""),1541.2)</f>
        <v>1541.2</v>
      </c>
      <c r="F44" s="5">
        <f>IFERROR(__xludf.DUMMYFUNCTION("""COMPUTED_VALUE"""),2306122.0)</f>
        <v>2306122</v>
      </c>
    </row>
    <row r="45">
      <c r="A45" s="6">
        <f>IFERROR(__xludf.DUMMYFUNCTION("""COMPUTED_VALUE"""),45492.64583333333)</f>
        <v>45492.64583</v>
      </c>
      <c r="B45" s="5">
        <f>IFERROR(__xludf.DUMMYFUNCTION("""COMPUTED_VALUE"""),1541.9)</f>
        <v>1541.9</v>
      </c>
      <c r="C45" s="5">
        <f>IFERROR(__xludf.DUMMYFUNCTION("""COMPUTED_VALUE"""),1564.85)</f>
        <v>1564.85</v>
      </c>
      <c r="D45" s="5">
        <f>IFERROR(__xludf.DUMMYFUNCTION("""COMPUTED_VALUE"""),1486.05)</f>
        <v>1486.05</v>
      </c>
      <c r="E45" s="5">
        <f>IFERROR(__xludf.DUMMYFUNCTION("""COMPUTED_VALUE"""),1489.45)</f>
        <v>1489.45</v>
      </c>
      <c r="F45" s="5">
        <f>IFERROR(__xludf.DUMMYFUNCTION("""COMPUTED_VALUE"""),3271533.0)</f>
        <v>3271533</v>
      </c>
    </row>
    <row r="46">
      <c r="A46" s="6">
        <f>IFERROR(__xludf.DUMMYFUNCTION("""COMPUTED_VALUE"""),45499.64583333333)</f>
        <v>45499.64583</v>
      </c>
      <c r="B46" s="5">
        <f>IFERROR(__xludf.DUMMYFUNCTION("""COMPUTED_VALUE"""),1461.1)</f>
        <v>1461.1</v>
      </c>
      <c r="C46" s="5">
        <f>IFERROR(__xludf.DUMMYFUNCTION("""COMPUTED_VALUE"""),1515.0)</f>
        <v>1515</v>
      </c>
      <c r="D46" s="5">
        <f>IFERROR(__xludf.DUMMYFUNCTION("""COMPUTED_VALUE"""),1455.4)</f>
        <v>1455.4</v>
      </c>
      <c r="E46" s="5">
        <f>IFERROR(__xludf.DUMMYFUNCTION("""COMPUTED_VALUE"""),1484.35)</f>
        <v>1484.35</v>
      </c>
      <c r="F46" s="5">
        <f>IFERROR(__xludf.DUMMYFUNCTION("""COMPUTED_VALUE"""),1721283.0)</f>
        <v>1721283</v>
      </c>
    </row>
    <row r="47">
      <c r="A47" s="6">
        <f>IFERROR(__xludf.DUMMYFUNCTION("""COMPUTED_VALUE"""),45506.64583333333)</f>
        <v>45506.64583</v>
      </c>
      <c r="B47" s="5">
        <f>IFERROR(__xludf.DUMMYFUNCTION("""COMPUTED_VALUE"""),1489.95)</f>
        <v>1489.95</v>
      </c>
      <c r="C47" s="5">
        <f>IFERROR(__xludf.DUMMYFUNCTION("""COMPUTED_VALUE"""),1512.0)</f>
        <v>1512</v>
      </c>
      <c r="D47" s="5">
        <f>IFERROR(__xludf.DUMMYFUNCTION("""COMPUTED_VALUE"""),1458.05)</f>
        <v>1458.05</v>
      </c>
      <c r="E47" s="5">
        <f>IFERROR(__xludf.DUMMYFUNCTION("""COMPUTED_VALUE"""),1472.6)</f>
        <v>1472.6</v>
      </c>
      <c r="F47" s="5">
        <f>IFERROR(__xludf.DUMMYFUNCTION("""COMPUTED_VALUE"""),2834761.0)</f>
        <v>2834761</v>
      </c>
    </row>
    <row r="48">
      <c r="A48" s="6">
        <f>IFERROR(__xludf.DUMMYFUNCTION("""COMPUTED_VALUE"""),45513.64583333333)</f>
        <v>45513.64583</v>
      </c>
      <c r="B48" s="5">
        <f>IFERROR(__xludf.DUMMYFUNCTION("""COMPUTED_VALUE"""),1450.0)</f>
        <v>1450</v>
      </c>
      <c r="C48" s="5">
        <f>IFERROR(__xludf.DUMMYFUNCTION("""COMPUTED_VALUE"""),1465.5)</f>
        <v>1465.5</v>
      </c>
      <c r="D48" s="5">
        <f>IFERROR(__xludf.DUMMYFUNCTION("""COMPUTED_VALUE"""),1397.0)</f>
        <v>1397</v>
      </c>
      <c r="E48" s="5">
        <f>IFERROR(__xludf.DUMMYFUNCTION("""COMPUTED_VALUE"""),1425.1)</f>
        <v>1425.1</v>
      </c>
      <c r="F48" s="5">
        <f>IFERROR(__xludf.DUMMYFUNCTION("""COMPUTED_VALUE"""),1534090.0)</f>
        <v>1534090</v>
      </c>
    </row>
    <row r="49">
      <c r="A49" s="6">
        <f>IFERROR(__xludf.DUMMYFUNCTION("""COMPUTED_VALUE"""),45520.64583333333)</f>
        <v>45520.64583</v>
      </c>
      <c r="B49" s="5">
        <f>IFERROR(__xludf.DUMMYFUNCTION("""COMPUTED_VALUE"""),1419.3)</f>
        <v>1419.3</v>
      </c>
      <c r="C49" s="5">
        <f>IFERROR(__xludf.DUMMYFUNCTION("""COMPUTED_VALUE"""),1447.5)</f>
        <v>1447.5</v>
      </c>
      <c r="D49" s="5">
        <f>IFERROR(__xludf.DUMMYFUNCTION("""COMPUTED_VALUE"""),1398.8)</f>
        <v>1398.8</v>
      </c>
      <c r="E49" s="5">
        <f>IFERROR(__xludf.DUMMYFUNCTION("""COMPUTED_VALUE"""),1407.55)</f>
        <v>1407.55</v>
      </c>
      <c r="F49" s="5">
        <f>IFERROR(__xludf.DUMMYFUNCTION("""COMPUTED_VALUE"""),1488865.0)</f>
        <v>1488865</v>
      </c>
    </row>
    <row r="50">
      <c r="A50" s="6">
        <f>IFERROR(__xludf.DUMMYFUNCTION("""COMPUTED_VALUE"""),45527.64583333333)</f>
        <v>45527.64583</v>
      </c>
      <c r="B50" s="5">
        <f>IFERROR(__xludf.DUMMYFUNCTION("""COMPUTED_VALUE"""),1407.0)</f>
        <v>1407</v>
      </c>
      <c r="C50" s="5">
        <f>IFERROR(__xludf.DUMMYFUNCTION("""COMPUTED_VALUE"""),1444.95)</f>
        <v>1444.95</v>
      </c>
      <c r="D50" s="5">
        <f>IFERROR(__xludf.DUMMYFUNCTION("""COMPUTED_VALUE"""),1341.95)</f>
        <v>1341.95</v>
      </c>
      <c r="E50" s="5">
        <f>IFERROR(__xludf.DUMMYFUNCTION("""COMPUTED_VALUE"""),1422.6)</f>
        <v>1422.6</v>
      </c>
      <c r="F50" s="5">
        <f>IFERROR(__xludf.DUMMYFUNCTION("""COMPUTED_VALUE"""),4288972.0)</f>
        <v>4288972</v>
      </c>
    </row>
    <row r="51">
      <c r="A51" s="6">
        <f>IFERROR(__xludf.DUMMYFUNCTION("""COMPUTED_VALUE"""),45534.64583333333)</f>
        <v>45534.64583</v>
      </c>
      <c r="B51" s="5">
        <f>IFERROR(__xludf.DUMMYFUNCTION("""COMPUTED_VALUE"""),1429.0)</f>
        <v>1429</v>
      </c>
      <c r="C51" s="5">
        <f>IFERROR(__xludf.DUMMYFUNCTION("""COMPUTED_VALUE"""),1507.75)</f>
        <v>1507.75</v>
      </c>
      <c r="D51" s="5">
        <f>IFERROR(__xludf.DUMMYFUNCTION("""COMPUTED_VALUE"""),1414.0)</f>
        <v>1414</v>
      </c>
      <c r="E51" s="5">
        <f>IFERROR(__xludf.DUMMYFUNCTION("""COMPUTED_VALUE"""),1462.1)</f>
        <v>1462.1</v>
      </c>
      <c r="F51" s="5">
        <f>IFERROR(__xludf.DUMMYFUNCTION("""COMPUTED_VALUE"""),3209520.0)</f>
        <v>3209520</v>
      </c>
    </row>
    <row r="52">
      <c r="A52" s="6">
        <f>IFERROR(__xludf.DUMMYFUNCTION("""COMPUTED_VALUE"""),45541.64583333333)</f>
        <v>45541.64583</v>
      </c>
      <c r="B52" s="5">
        <f>IFERROR(__xludf.DUMMYFUNCTION("""COMPUTED_VALUE"""),1451.1)</f>
        <v>1451.1</v>
      </c>
      <c r="C52" s="5">
        <f>IFERROR(__xludf.DUMMYFUNCTION("""COMPUTED_VALUE"""),1475.0)</f>
        <v>1475</v>
      </c>
      <c r="D52" s="5">
        <f>IFERROR(__xludf.DUMMYFUNCTION("""COMPUTED_VALUE"""),1394.0)</f>
        <v>1394</v>
      </c>
      <c r="E52" s="5">
        <f>IFERROR(__xludf.DUMMYFUNCTION("""COMPUTED_VALUE"""),1403.1)</f>
        <v>1403.1</v>
      </c>
      <c r="F52" s="5">
        <f>IFERROR(__xludf.DUMMYFUNCTION("""COMPUTED_VALUE"""),2491822.0)</f>
        <v>2491822</v>
      </c>
    </row>
    <row r="53">
      <c r="A53" s="6">
        <f>IFERROR(__xludf.DUMMYFUNCTION("""COMPUTED_VALUE"""),45548.64583333333)</f>
        <v>45548.64583</v>
      </c>
      <c r="B53" s="5">
        <f>IFERROR(__xludf.DUMMYFUNCTION("""COMPUTED_VALUE"""),1414.0)</f>
        <v>1414</v>
      </c>
      <c r="C53" s="5">
        <f>IFERROR(__xludf.DUMMYFUNCTION("""COMPUTED_VALUE"""),1486.35)</f>
        <v>1486.35</v>
      </c>
      <c r="D53" s="5">
        <f>IFERROR(__xludf.DUMMYFUNCTION("""COMPUTED_VALUE"""),1382.45)</f>
        <v>1382.45</v>
      </c>
      <c r="E53" s="5">
        <f>IFERROR(__xludf.DUMMYFUNCTION("""COMPUTED_VALUE"""),1459.05)</f>
        <v>1459.05</v>
      </c>
      <c r="F53" s="5">
        <f>IFERROR(__xludf.DUMMYFUNCTION("""COMPUTED_VALUE"""),1683859.0)</f>
        <v>1683859</v>
      </c>
    </row>
    <row r="54">
      <c r="A54" s="6">
        <f>IFERROR(__xludf.DUMMYFUNCTION("""COMPUTED_VALUE"""),45555.64583333333)</f>
        <v>45555.64583</v>
      </c>
      <c r="B54" s="5">
        <f>IFERROR(__xludf.DUMMYFUNCTION("""COMPUTED_VALUE"""),1461.0)</f>
        <v>1461</v>
      </c>
      <c r="C54" s="5">
        <f>IFERROR(__xludf.DUMMYFUNCTION("""COMPUTED_VALUE"""),1478.75)</f>
        <v>1478.75</v>
      </c>
      <c r="D54" s="5">
        <f>IFERROR(__xludf.DUMMYFUNCTION("""COMPUTED_VALUE"""),1423.0)</f>
        <v>1423</v>
      </c>
      <c r="E54" s="5">
        <f>IFERROR(__xludf.DUMMYFUNCTION("""COMPUTED_VALUE"""),1439.65)</f>
        <v>1439.65</v>
      </c>
      <c r="F54" s="5">
        <f>IFERROR(__xludf.DUMMYFUNCTION("""COMPUTED_VALUE"""),1494356.0)</f>
        <v>1494356</v>
      </c>
    </row>
    <row r="55">
      <c r="A55" s="6">
        <f>IFERROR(__xludf.DUMMYFUNCTION("""COMPUTED_VALUE"""),45562.64583333333)</f>
        <v>45562.64583</v>
      </c>
      <c r="B55" s="5">
        <f>IFERROR(__xludf.DUMMYFUNCTION("""COMPUTED_VALUE"""),1445.0)</f>
        <v>1445</v>
      </c>
      <c r="C55" s="5">
        <f>IFERROR(__xludf.DUMMYFUNCTION("""COMPUTED_VALUE"""),1539.45)</f>
        <v>1539.45</v>
      </c>
      <c r="D55" s="5">
        <f>IFERROR(__xludf.DUMMYFUNCTION("""COMPUTED_VALUE"""),1407.4)</f>
        <v>1407.4</v>
      </c>
      <c r="E55" s="5">
        <f>IFERROR(__xludf.DUMMYFUNCTION("""COMPUTED_VALUE"""),1532.4)</f>
        <v>1532.4</v>
      </c>
      <c r="F55" s="5">
        <f>IFERROR(__xludf.DUMMYFUNCTION("""COMPUTED_VALUE"""),3704526.0)</f>
        <v>3704526</v>
      </c>
    </row>
    <row r="56">
      <c r="A56" s="6">
        <f>IFERROR(__xludf.DUMMYFUNCTION("""COMPUTED_VALUE"""),45569.64583333333)</f>
        <v>45569.64583</v>
      </c>
      <c r="B56" s="5">
        <f>IFERROR(__xludf.DUMMYFUNCTION("""COMPUTED_VALUE"""),1535.85)</f>
        <v>1535.85</v>
      </c>
      <c r="C56" s="5">
        <f>IFERROR(__xludf.DUMMYFUNCTION("""COMPUTED_VALUE"""),1652.6)</f>
        <v>1652.6</v>
      </c>
      <c r="D56" s="5">
        <f>IFERROR(__xludf.DUMMYFUNCTION("""COMPUTED_VALUE"""),1521.9)</f>
        <v>1521.9</v>
      </c>
      <c r="E56" s="5">
        <f>IFERROR(__xludf.DUMMYFUNCTION("""COMPUTED_VALUE"""),1609.3)</f>
        <v>1609.3</v>
      </c>
      <c r="F56" s="5">
        <f>IFERROR(__xludf.DUMMYFUNCTION("""COMPUTED_VALUE"""),4965711.0)</f>
        <v>4965711</v>
      </c>
    </row>
    <row r="57">
      <c r="A57" s="6">
        <f>IFERROR(__xludf.DUMMYFUNCTION("""COMPUTED_VALUE"""),45576.64583333333)</f>
        <v>45576.64583</v>
      </c>
      <c r="B57" s="5">
        <f>IFERROR(__xludf.DUMMYFUNCTION("""COMPUTED_VALUE"""),1610.0)</f>
        <v>1610</v>
      </c>
      <c r="C57" s="5">
        <f>IFERROR(__xludf.DUMMYFUNCTION("""COMPUTED_VALUE"""),1613.9)</f>
        <v>1613.9</v>
      </c>
      <c r="D57" s="5">
        <f>IFERROR(__xludf.DUMMYFUNCTION("""COMPUTED_VALUE"""),1504.2)</f>
        <v>1504.2</v>
      </c>
      <c r="E57" s="5">
        <f>IFERROR(__xludf.DUMMYFUNCTION("""COMPUTED_VALUE"""),1571.7)</f>
        <v>1571.7</v>
      </c>
      <c r="F57" s="5">
        <f>IFERROR(__xludf.DUMMYFUNCTION("""COMPUTED_VALUE"""),1739925.0)</f>
        <v>1739925</v>
      </c>
    </row>
    <row r="58">
      <c r="A58" s="6">
        <f>IFERROR(__xludf.DUMMYFUNCTION("""COMPUTED_VALUE"""),45583.64583333333)</f>
        <v>45583.64583</v>
      </c>
      <c r="B58" s="5">
        <f>IFERROR(__xludf.DUMMYFUNCTION("""COMPUTED_VALUE"""),1569.85)</f>
        <v>1569.85</v>
      </c>
      <c r="C58" s="5">
        <f>IFERROR(__xludf.DUMMYFUNCTION("""COMPUTED_VALUE"""),1601.5)</f>
        <v>1601.5</v>
      </c>
      <c r="D58" s="5">
        <f>IFERROR(__xludf.DUMMYFUNCTION("""COMPUTED_VALUE"""),1532.05)</f>
        <v>1532.05</v>
      </c>
      <c r="E58" s="5">
        <f>IFERROR(__xludf.DUMMYFUNCTION("""COMPUTED_VALUE"""),1576.05)</f>
        <v>1576.05</v>
      </c>
      <c r="F58" s="5">
        <f>IFERROR(__xludf.DUMMYFUNCTION("""COMPUTED_VALUE"""),2180837.0)</f>
        <v>2180837</v>
      </c>
    </row>
    <row r="59">
      <c r="A59" s="6">
        <f>IFERROR(__xludf.DUMMYFUNCTION("""COMPUTED_VALUE"""),45590.64583333333)</f>
        <v>45590.64583</v>
      </c>
      <c r="B59" s="5">
        <f>IFERROR(__xludf.DUMMYFUNCTION("""COMPUTED_VALUE"""),1580.0)</f>
        <v>1580</v>
      </c>
      <c r="C59" s="5">
        <f>IFERROR(__xludf.DUMMYFUNCTION("""COMPUTED_VALUE"""),1589.9)</f>
        <v>1589.9</v>
      </c>
      <c r="D59" s="5">
        <f>IFERROR(__xludf.DUMMYFUNCTION("""COMPUTED_VALUE"""),1439.3)</f>
        <v>1439.3</v>
      </c>
      <c r="E59" s="5">
        <f>IFERROR(__xludf.DUMMYFUNCTION("""COMPUTED_VALUE"""),1473.7)</f>
        <v>1473.7</v>
      </c>
      <c r="F59" s="5">
        <f>IFERROR(__xludf.DUMMYFUNCTION("""COMPUTED_VALUE"""),1891078.0)</f>
        <v>1891078</v>
      </c>
    </row>
    <row r="60">
      <c r="A60" s="6">
        <f>IFERROR(__xludf.DUMMYFUNCTION("""COMPUTED_VALUE"""),45604.64583333333)</f>
        <v>45604.64583</v>
      </c>
      <c r="B60" s="5">
        <f>IFERROR(__xludf.DUMMYFUNCTION("""COMPUTED_VALUE"""),1540.1)</f>
        <v>1540.1</v>
      </c>
      <c r="C60" s="5">
        <f>IFERROR(__xludf.DUMMYFUNCTION("""COMPUTED_VALUE"""),1556.7)</f>
        <v>1556.7</v>
      </c>
      <c r="D60" s="5">
        <f>IFERROR(__xludf.DUMMYFUNCTION("""COMPUTED_VALUE"""),1481.75)</f>
        <v>1481.75</v>
      </c>
      <c r="E60" s="5">
        <f>IFERROR(__xludf.DUMMYFUNCTION("""COMPUTED_VALUE"""),1520.7)</f>
        <v>1520.7</v>
      </c>
      <c r="F60" s="5">
        <f>IFERROR(__xludf.DUMMYFUNCTION("""COMPUTED_VALUE"""),2003548.0)</f>
        <v>2003548</v>
      </c>
    </row>
    <row r="61">
      <c r="A61" s="6">
        <f>IFERROR(__xludf.DUMMYFUNCTION("""COMPUTED_VALUE"""),45610.64583333333)</f>
        <v>45610.64583</v>
      </c>
      <c r="B61" s="5">
        <f>IFERROR(__xludf.DUMMYFUNCTION("""COMPUTED_VALUE"""),1528.35)</f>
        <v>1528.35</v>
      </c>
      <c r="C61" s="5">
        <f>IFERROR(__xludf.DUMMYFUNCTION("""COMPUTED_VALUE"""),1544.4)</f>
        <v>1544.4</v>
      </c>
      <c r="D61" s="5">
        <f>IFERROR(__xludf.DUMMYFUNCTION("""COMPUTED_VALUE"""),1460.0)</f>
        <v>1460</v>
      </c>
      <c r="E61" s="5">
        <f>IFERROR(__xludf.DUMMYFUNCTION("""COMPUTED_VALUE"""),1470.5)</f>
        <v>1470.5</v>
      </c>
      <c r="F61" s="5">
        <f>IFERROR(__xludf.DUMMYFUNCTION("""COMPUTED_VALUE"""),1247057.0)</f>
        <v>1247057</v>
      </c>
    </row>
    <row r="62">
      <c r="A62" s="6">
        <f>IFERROR(__xludf.DUMMYFUNCTION("""COMPUTED_VALUE"""),45618.64583333333)</f>
        <v>45618.64583</v>
      </c>
      <c r="B62" s="5">
        <f>IFERROR(__xludf.DUMMYFUNCTION("""COMPUTED_VALUE"""),1493.95)</f>
        <v>1493.95</v>
      </c>
      <c r="C62" s="5">
        <f>IFERROR(__xludf.DUMMYFUNCTION("""COMPUTED_VALUE"""),1519.2)</f>
        <v>1519.2</v>
      </c>
      <c r="D62" s="5">
        <f>IFERROR(__xludf.DUMMYFUNCTION("""COMPUTED_VALUE"""),1400.0)</f>
        <v>1400</v>
      </c>
      <c r="E62" s="5">
        <f>IFERROR(__xludf.DUMMYFUNCTION("""COMPUTED_VALUE"""),1418.25)</f>
        <v>1418.25</v>
      </c>
      <c r="F62" s="5">
        <f>IFERROR(__xludf.DUMMYFUNCTION("""COMPUTED_VALUE"""),2007687.0)</f>
        <v>2007687</v>
      </c>
    </row>
    <row r="63">
      <c r="A63" s="6">
        <f>IFERROR(__xludf.DUMMYFUNCTION("""COMPUTED_VALUE"""),45625.64583333333)</f>
        <v>45625.64583</v>
      </c>
      <c r="B63" s="5">
        <f>IFERROR(__xludf.DUMMYFUNCTION("""COMPUTED_VALUE"""),1450.0)</f>
        <v>1450</v>
      </c>
      <c r="C63" s="5">
        <f>IFERROR(__xludf.DUMMYFUNCTION("""COMPUTED_VALUE"""),1545.0)</f>
        <v>1545</v>
      </c>
      <c r="D63" s="5">
        <f>IFERROR(__xludf.DUMMYFUNCTION("""COMPUTED_VALUE"""),1435.05)</f>
        <v>1435.05</v>
      </c>
      <c r="E63" s="5">
        <f>IFERROR(__xludf.DUMMYFUNCTION("""COMPUTED_VALUE"""),1516.4)</f>
        <v>1516.4</v>
      </c>
      <c r="F63" s="5">
        <f>IFERROR(__xludf.DUMMYFUNCTION("""COMPUTED_VALUE"""),5180623.0)</f>
        <v>5180623</v>
      </c>
    </row>
    <row r="64">
      <c r="A64" s="6">
        <f>IFERROR(__xludf.DUMMYFUNCTION("""COMPUTED_VALUE"""),45632.64583333333)</f>
        <v>45632.64583</v>
      </c>
      <c r="B64" s="5">
        <f>IFERROR(__xludf.DUMMYFUNCTION("""COMPUTED_VALUE"""),1505.7)</f>
        <v>1505.7</v>
      </c>
      <c r="C64" s="5">
        <f>IFERROR(__xludf.DUMMYFUNCTION("""COMPUTED_VALUE"""),1587.95)</f>
        <v>1587.95</v>
      </c>
      <c r="D64" s="5">
        <f>IFERROR(__xludf.DUMMYFUNCTION("""COMPUTED_VALUE"""),1488.05)</f>
        <v>1488.05</v>
      </c>
      <c r="E64" s="5">
        <f>IFERROR(__xludf.DUMMYFUNCTION("""COMPUTED_VALUE"""),1575.9)</f>
        <v>1575.9</v>
      </c>
      <c r="F64" s="5">
        <f>IFERROR(__xludf.DUMMYFUNCTION("""COMPUTED_VALUE"""),2539724.0)</f>
        <v>2539724</v>
      </c>
    </row>
    <row r="65">
      <c r="A65" s="6">
        <f>IFERROR(__xludf.DUMMYFUNCTION("""COMPUTED_VALUE"""),45639.64583333333)</f>
        <v>45639.64583</v>
      </c>
      <c r="B65" s="5">
        <f>IFERROR(__xludf.DUMMYFUNCTION("""COMPUTED_VALUE"""),1574.8)</f>
        <v>1574.8</v>
      </c>
      <c r="C65" s="5">
        <f>IFERROR(__xludf.DUMMYFUNCTION("""COMPUTED_VALUE"""),1645.8)</f>
        <v>1645.8</v>
      </c>
      <c r="D65" s="5">
        <f>IFERROR(__xludf.DUMMYFUNCTION("""COMPUTED_VALUE"""),1563.1)</f>
        <v>1563.1</v>
      </c>
      <c r="E65" s="5">
        <f>IFERROR(__xludf.DUMMYFUNCTION("""COMPUTED_VALUE"""),1596.9)</f>
        <v>1596.9</v>
      </c>
      <c r="F65" s="5">
        <f>IFERROR(__xludf.DUMMYFUNCTION("""COMPUTED_VALUE"""),3097959.0)</f>
        <v>3097959</v>
      </c>
    </row>
    <row r="66">
      <c r="A66" s="6">
        <f>IFERROR(__xludf.DUMMYFUNCTION("""COMPUTED_VALUE"""),45646.64583333333)</f>
        <v>45646.64583</v>
      </c>
      <c r="B66" s="5">
        <f>IFERROR(__xludf.DUMMYFUNCTION("""COMPUTED_VALUE"""),1596.9)</f>
        <v>1596.9</v>
      </c>
      <c r="C66" s="5">
        <f>IFERROR(__xludf.DUMMYFUNCTION("""COMPUTED_VALUE"""),1611.0)</f>
        <v>1611</v>
      </c>
      <c r="D66" s="5">
        <f>IFERROR(__xludf.DUMMYFUNCTION("""COMPUTED_VALUE"""),1552.0)</f>
        <v>1552</v>
      </c>
      <c r="E66" s="5">
        <f>IFERROR(__xludf.DUMMYFUNCTION("""COMPUTED_VALUE"""),1559.0)</f>
        <v>1559</v>
      </c>
      <c r="F66" s="5">
        <f>IFERROR(__xludf.DUMMYFUNCTION("""COMPUTED_VALUE"""),1902711.0)</f>
        <v>1902711</v>
      </c>
    </row>
    <row r="67">
      <c r="A67" s="6">
        <f>IFERROR(__xludf.DUMMYFUNCTION("""COMPUTED_VALUE"""),45653.64583333333)</f>
        <v>45653.64583</v>
      </c>
      <c r="B67" s="5">
        <f>IFERROR(__xludf.DUMMYFUNCTION("""COMPUTED_VALUE"""),1567.9)</f>
        <v>1567.9</v>
      </c>
      <c r="C67" s="5">
        <f>IFERROR(__xludf.DUMMYFUNCTION("""COMPUTED_VALUE"""),1569.85)</f>
        <v>1569.85</v>
      </c>
      <c r="D67" s="5">
        <f>IFERROR(__xludf.DUMMYFUNCTION("""COMPUTED_VALUE"""),1473.0)</f>
        <v>1473</v>
      </c>
      <c r="E67" s="5">
        <f>IFERROR(__xludf.DUMMYFUNCTION("""COMPUTED_VALUE"""),1514.95)</f>
        <v>1514.95</v>
      </c>
      <c r="F67" s="5">
        <f>IFERROR(__xludf.DUMMYFUNCTION("""COMPUTED_VALUE"""),2595282.0)</f>
        <v>2595282</v>
      </c>
    </row>
    <row r="68">
      <c r="A68" s="6">
        <f>IFERROR(__xludf.DUMMYFUNCTION("""COMPUTED_VALUE"""),45660.64583333333)</f>
        <v>45660.64583</v>
      </c>
      <c r="B68" s="5">
        <f>IFERROR(__xludf.DUMMYFUNCTION("""COMPUTED_VALUE"""),1514.3)</f>
        <v>1514.3</v>
      </c>
      <c r="C68" s="5">
        <f>IFERROR(__xludf.DUMMYFUNCTION("""COMPUTED_VALUE"""),1624.95)</f>
        <v>1624.95</v>
      </c>
      <c r="D68" s="5">
        <f>IFERROR(__xludf.DUMMYFUNCTION("""COMPUTED_VALUE"""),1501.55)</f>
        <v>1501.55</v>
      </c>
      <c r="E68" s="5">
        <f>IFERROR(__xludf.DUMMYFUNCTION("""COMPUTED_VALUE"""),1616.75)</f>
        <v>1616.75</v>
      </c>
      <c r="F68" s="5">
        <f>IFERROR(__xludf.DUMMYFUNCTION("""COMPUTED_VALUE"""),2972882.0)</f>
        <v>2972882</v>
      </c>
    </row>
    <row r="69">
      <c r="A69" s="6">
        <f>IFERROR(__xludf.DUMMYFUNCTION("""COMPUTED_VALUE"""),45667.64583333333)</f>
        <v>45667.64583</v>
      </c>
      <c r="B69" s="5">
        <f>IFERROR(__xludf.DUMMYFUNCTION("""COMPUTED_VALUE"""),1624.0)</f>
        <v>1624</v>
      </c>
      <c r="C69" s="5">
        <f>IFERROR(__xludf.DUMMYFUNCTION("""COMPUTED_VALUE"""),1635.3)</f>
        <v>1635.3</v>
      </c>
      <c r="D69" s="5">
        <f>IFERROR(__xludf.DUMMYFUNCTION("""COMPUTED_VALUE"""),1510.0)</f>
        <v>1510</v>
      </c>
      <c r="E69" s="5">
        <f>IFERROR(__xludf.DUMMYFUNCTION("""COMPUTED_VALUE"""),1520.7)</f>
        <v>1520.7</v>
      </c>
      <c r="F69" s="5">
        <f>IFERROR(__xludf.DUMMYFUNCTION("""COMPUTED_VALUE"""),1722660.0)</f>
        <v>1722660</v>
      </c>
    </row>
    <row r="70">
      <c r="A70" s="6">
        <f>IFERROR(__xludf.DUMMYFUNCTION("""COMPUTED_VALUE"""),45674.64583333333)</f>
        <v>45674.64583</v>
      </c>
      <c r="B70" s="5">
        <f>IFERROR(__xludf.DUMMYFUNCTION("""COMPUTED_VALUE"""),1502.0)</f>
        <v>1502</v>
      </c>
      <c r="C70" s="5">
        <f>IFERROR(__xludf.DUMMYFUNCTION("""COMPUTED_VALUE"""),1598.4)</f>
        <v>1598.4</v>
      </c>
      <c r="D70" s="5">
        <f>IFERROR(__xludf.DUMMYFUNCTION("""COMPUTED_VALUE"""),1415.4)</f>
        <v>1415.4</v>
      </c>
      <c r="E70" s="5">
        <f>IFERROR(__xludf.DUMMYFUNCTION("""COMPUTED_VALUE"""),1570.15)</f>
        <v>1570.15</v>
      </c>
      <c r="F70" s="5">
        <f>IFERROR(__xludf.DUMMYFUNCTION("""COMPUTED_VALUE"""),3541215.0)</f>
        <v>3541215</v>
      </c>
    </row>
    <row r="71">
      <c r="A71" s="6">
        <f>IFERROR(__xludf.DUMMYFUNCTION("""COMPUTED_VALUE"""),45681.64583333333)</f>
        <v>45681.64583</v>
      </c>
      <c r="B71" s="5">
        <f>IFERROR(__xludf.DUMMYFUNCTION("""COMPUTED_VALUE"""),1584.95)</f>
        <v>1584.95</v>
      </c>
      <c r="C71" s="5">
        <f>IFERROR(__xludf.DUMMYFUNCTION("""COMPUTED_VALUE"""),1643.35)</f>
        <v>1643.35</v>
      </c>
      <c r="D71" s="5">
        <f>IFERROR(__xludf.DUMMYFUNCTION("""COMPUTED_VALUE"""),1531.55)</f>
        <v>1531.55</v>
      </c>
      <c r="E71" s="5">
        <f>IFERROR(__xludf.DUMMYFUNCTION("""COMPUTED_VALUE"""),1561.4)</f>
        <v>1561.4</v>
      </c>
      <c r="F71" s="5">
        <f>IFERROR(__xludf.DUMMYFUNCTION("""COMPUTED_VALUE"""),4111305.0)</f>
        <v>4111305</v>
      </c>
    </row>
    <row r="72">
      <c r="A72" s="6">
        <f>IFERROR(__xludf.DUMMYFUNCTION("""COMPUTED_VALUE"""),45695.64583333333)</f>
        <v>45695.64583</v>
      </c>
      <c r="B72" s="5">
        <f>IFERROR(__xludf.DUMMYFUNCTION("""COMPUTED_VALUE"""),1495.55)</f>
        <v>1495.55</v>
      </c>
      <c r="C72" s="5">
        <f>IFERROR(__xludf.DUMMYFUNCTION("""COMPUTED_VALUE"""),1495.55)</f>
        <v>1495.55</v>
      </c>
      <c r="D72" s="5">
        <f>IFERROR(__xludf.DUMMYFUNCTION("""COMPUTED_VALUE"""),1395.25)</f>
        <v>1395.25</v>
      </c>
      <c r="E72" s="5">
        <f>IFERROR(__xludf.DUMMYFUNCTION("""COMPUTED_VALUE"""),1427.85)</f>
        <v>1427.85</v>
      </c>
      <c r="F72" s="5">
        <f>IFERROR(__xludf.DUMMYFUNCTION("""COMPUTED_VALUE"""),2706447.0)</f>
        <v>2706447</v>
      </c>
    </row>
    <row r="73">
      <c r="A73" s="6">
        <f>IFERROR(__xludf.DUMMYFUNCTION("""COMPUTED_VALUE"""),45702.64583333333)</f>
        <v>45702.64583</v>
      </c>
      <c r="B73" s="5">
        <f>IFERROR(__xludf.DUMMYFUNCTION("""COMPUTED_VALUE"""),1433.8)</f>
        <v>1433.8</v>
      </c>
      <c r="C73" s="5">
        <f>IFERROR(__xludf.DUMMYFUNCTION("""COMPUTED_VALUE"""),1438.0)</f>
        <v>1438</v>
      </c>
      <c r="D73" s="5">
        <f>IFERROR(__xludf.DUMMYFUNCTION("""COMPUTED_VALUE"""),1293.0)</f>
        <v>1293</v>
      </c>
      <c r="E73" s="5">
        <f>IFERROR(__xludf.DUMMYFUNCTION("""COMPUTED_VALUE"""),1303.05)</f>
        <v>1303.05</v>
      </c>
      <c r="F73" s="5">
        <f>IFERROR(__xludf.DUMMYFUNCTION("""COMPUTED_VALUE"""),2255850.0)</f>
        <v>2255850</v>
      </c>
    </row>
    <row r="74">
      <c r="A74" s="6">
        <f>IFERROR(__xludf.DUMMYFUNCTION("""COMPUTED_VALUE"""),45709.64583333333)</f>
        <v>45709.64583</v>
      </c>
      <c r="B74" s="5">
        <f>IFERROR(__xludf.DUMMYFUNCTION("""COMPUTED_VALUE"""),1306.75)</f>
        <v>1306.75</v>
      </c>
      <c r="C74" s="5">
        <f>IFERROR(__xludf.DUMMYFUNCTION("""COMPUTED_VALUE"""),1537.5)</f>
        <v>1537.5</v>
      </c>
      <c r="D74" s="5">
        <f>IFERROR(__xludf.DUMMYFUNCTION("""COMPUTED_VALUE"""),1272.7)</f>
        <v>1272.7</v>
      </c>
      <c r="E74" s="5">
        <f>IFERROR(__xludf.DUMMYFUNCTION("""COMPUTED_VALUE"""),1489.2)</f>
        <v>1489.2</v>
      </c>
      <c r="F74" s="5">
        <f>IFERROR(__xludf.DUMMYFUNCTION("""COMPUTED_VALUE"""),5818984.0)</f>
        <v>5818984</v>
      </c>
    </row>
    <row r="75">
      <c r="A75" s="6">
        <f>IFERROR(__xludf.DUMMYFUNCTION("""COMPUTED_VALUE"""),45716.64583333333)</f>
        <v>45716.64583</v>
      </c>
      <c r="B75" s="5">
        <f>IFERROR(__xludf.DUMMYFUNCTION("""COMPUTED_VALUE"""),1480.0)</f>
        <v>1480</v>
      </c>
      <c r="C75" s="5">
        <f>IFERROR(__xludf.DUMMYFUNCTION("""COMPUTED_VALUE"""),1493.65)</f>
        <v>1493.65</v>
      </c>
      <c r="D75" s="5">
        <f>IFERROR(__xludf.DUMMYFUNCTION("""COMPUTED_VALUE"""),1383.85)</f>
        <v>1383.85</v>
      </c>
      <c r="E75" s="5">
        <f>IFERROR(__xludf.DUMMYFUNCTION("""COMPUTED_VALUE"""),1438.95)</f>
        <v>1438.95</v>
      </c>
      <c r="F75" s="5">
        <f>IFERROR(__xludf.DUMMYFUNCTION("""COMPUTED_VALUE"""),2722502.0)</f>
        <v>2722502</v>
      </c>
    </row>
    <row r="76">
      <c r="A76" s="6">
        <f>IFERROR(__xludf.DUMMYFUNCTION("""COMPUTED_VALUE"""),45723.64583333333)</f>
        <v>45723.64583</v>
      </c>
      <c r="B76" s="5">
        <f>IFERROR(__xludf.DUMMYFUNCTION("""COMPUTED_VALUE"""),1426.35)</f>
        <v>1426.35</v>
      </c>
      <c r="C76" s="5">
        <f>IFERROR(__xludf.DUMMYFUNCTION("""COMPUTED_VALUE"""),1497.0)</f>
        <v>1497</v>
      </c>
      <c r="D76" s="5">
        <f>IFERROR(__xludf.DUMMYFUNCTION("""COMPUTED_VALUE"""),1378.5)</f>
        <v>1378.5</v>
      </c>
      <c r="E76" s="5">
        <f>IFERROR(__xludf.DUMMYFUNCTION("""COMPUTED_VALUE"""),1458.25)</f>
        <v>1458.25</v>
      </c>
      <c r="F76" s="5">
        <f>IFERROR(__xludf.DUMMYFUNCTION("""COMPUTED_VALUE"""),2407380.0)</f>
        <v>2407380</v>
      </c>
    </row>
    <row r="77">
      <c r="A77" s="6">
        <f>IFERROR(__xludf.DUMMYFUNCTION("""COMPUTED_VALUE"""),45729.64583333333)</f>
        <v>45729.64583</v>
      </c>
      <c r="B77" s="5">
        <f>IFERROR(__xludf.DUMMYFUNCTION("""COMPUTED_VALUE"""),1458.25)</f>
        <v>1458.25</v>
      </c>
      <c r="C77" s="5">
        <f>IFERROR(__xludf.DUMMYFUNCTION("""COMPUTED_VALUE"""),1474.0)</f>
        <v>1474</v>
      </c>
      <c r="D77" s="5">
        <f>IFERROR(__xludf.DUMMYFUNCTION("""COMPUTED_VALUE"""),1365.0)</f>
        <v>1365</v>
      </c>
      <c r="E77" s="5">
        <f>IFERROR(__xludf.DUMMYFUNCTION("""COMPUTED_VALUE"""),1372.8)</f>
        <v>1372.8</v>
      </c>
      <c r="F77" s="5">
        <f>IFERROR(__xludf.DUMMYFUNCTION("""COMPUTED_VALUE"""),2267644.0)</f>
        <v>2267644</v>
      </c>
    </row>
    <row r="78">
      <c r="A78" s="6">
        <f>IFERROR(__xludf.DUMMYFUNCTION("""COMPUTED_VALUE"""),45737.64583333333)</f>
        <v>45737.64583</v>
      </c>
      <c r="B78" s="5">
        <f>IFERROR(__xludf.DUMMYFUNCTION("""COMPUTED_VALUE"""),1395.0)</f>
        <v>1395</v>
      </c>
      <c r="C78" s="5">
        <f>IFERROR(__xludf.DUMMYFUNCTION("""COMPUTED_VALUE"""),1519.4)</f>
        <v>1519.4</v>
      </c>
      <c r="D78" s="5">
        <f>IFERROR(__xludf.DUMMYFUNCTION("""COMPUTED_VALUE"""),1379.5)</f>
        <v>1379.5</v>
      </c>
      <c r="E78" s="5">
        <f>IFERROR(__xludf.DUMMYFUNCTION("""COMPUTED_VALUE"""),1511.55)</f>
        <v>1511.55</v>
      </c>
      <c r="F78" s="5">
        <f>IFERROR(__xludf.DUMMYFUNCTION("""COMPUTED_VALUE"""),3622002.0)</f>
        <v>3622002</v>
      </c>
    </row>
    <row r="79">
      <c r="A79" s="6">
        <f>IFERROR(__xludf.DUMMYFUNCTION("""COMPUTED_VALUE"""),45744.64583333333)</f>
        <v>45744.64583</v>
      </c>
      <c r="B79" s="5">
        <f>IFERROR(__xludf.DUMMYFUNCTION("""COMPUTED_VALUE"""),1512.05)</f>
        <v>1512.05</v>
      </c>
      <c r="C79" s="5">
        <f>IFERROR(__xludf.DUMMYFUNCTION("""COMPUTED_VALUE"""),1567.5)</f>
        <v>1567.5</v>
      </c>
      <c r="D79" s="5">
        <f>IFERROR(__xludf.DUMMYFUNCTION("""COMPUTED_VALUE"""),1483.65)</f>
        <v>1483.65</v>
      </c>
      <c r="E79" s="5">
        <f>IFERROR(__xludf.DUMMYFUNCTION("""COMPUTED_VALUE"""),1525.25)</f>
        <v>1525.25</v>
      </c>
      <c r="F79" s="5">
        <f>IFERROR(__xludf.DUMMYFUNCTION("""COMPUTED_VALUE"""),2560224.0)</f>
        <v>2560224</v>
      </c>
    </row>
    <row r="80">
      <c r="A80" s="6">
        <f>IFERROR(__xludf.DUMMYFUNCTION("""COMPUTED_VALUE"""),45751.64583333333)</f>
        <v>45751.64583</v>
      </c>
      <c r="B80" s="5">
        <f>IFERROR(__xludf.DUMMYFUNCTION("""COMPUTED_VALUE"""),1524.95)</f>
        <v>1524.95</v>
      </c>
      <c r="C80" s="5">
        <f>IFERROR(__xludf.DUMMYFUNCTION("""COMPUTED_VALUE"""),1571.1)</f>
        <v>1571.1</v>
      </c>
      <c r="D80" s="5">
        <f>IFERROR(__xludf.DUMMYFUNCTION("""COMPUTED_VALUE"""),1496.95)</f>
        <v>1496.95</v>
      </c>
      <c r="E80" s="5">
        <f>IFERROR(__xludf.DUMMYFUNCTION("""COMPUTED_VALUE"""),1519.15)</f>
        <v>1519.15</v>
      </c>
      <c r="F80" s="5">
        <f>IFERROR(__xludf.DUMMYFUNCTION("""COMPUTED_VALUE"""),2119084.0)</f>
        <v>2119084</v>
      </c>
    </row>
    <row r="81">
      <c r="A81" s="6">
        <f>IFERROR(__xludf.DUMMYFUNCTION("""COMPUTED_VALUE"""),45758.64583333333)</f>
        <v>45758.64583</v>
      </c>
      <c r="B81" s="5">
        <f>IFERROR(__xludf.DUMMYFUNCTION("""COMPUTED_VALUE"""),1500.0)</f>
        <v>1500</v>
      </c>
      <c r="C81" s="5">
        <f>IFERROR(__xludf.DUMMYFUNCTION("""COMPUTED_VALUE"""),1533.0)</f>
        <v>1533</v>
      </c>
      <c r="D81" s="5">
        <f>IFERROR(__xludf.DUMMYFUNCTION("""COMPUTED_VALUE"""),1399.95)</f>
        <v>1399.95</v>
      </c>
      <c r="E81" s="5">
        <f>IFERROR(__xludf.DUMMYFUNCTION("""COMPUTED_VALUE"""),1517.35)</f>
        <v>1517.35</v>
      </c>
      <c r="F81" s="5">
        <f>IFERROR(__xludf.DUMMYFUNCTION("""COMPUTED_VALUE"""),2741286.0)</f>
        <v>2741286</v>
      </c>
    </row>
    <row r="82">
      <c r="A82" s="6">
        <f>IFERROR(__xludf.DUMMYFUNCTION("""COMPUTED_VALUE"""),45764.64583333333)</f>
        <v>45764.64583</v>
      </c>
      <c r="B82" s="5">
        <f>IFERROR(__xludf.DUMMYFUNCTION("""COMPUTED_VALUE"""),1560.0)</f>
        <v>1560</v>
      </c>
      <c r="C82" s="5">
        <f>IFERROR(__xludf.DUMMYFUNCTION("""COMPUTED_VALUE"""),1604.4)</f>
        <v>1604.4</v>
      </c>
      <c r="D82" s="5">
        <f>IFERROR(__xludf.DUMMYFUNCTION("""COMPUTED_VALUE"""),1512.8)</f>
        <v>1512.8</v>
      </c>
      <c r="E82" s="5">
        <f>IFERROR(__xludf.DUMMYFUNCTION("""COMPUTED_VALUE"""),1589.4)</f>
        <v>1589.4</v>
      </c>
      <c r="F82" s="5">
        <f>IFERROR(__xludf.DUMMYFUNCTION("""COMPUTED_VALUE"""),1272243.0)</f>
        <v>1272243</v>
      </c>
    </row>
    <row r="83">
      <c r="A83" s="6">
        <f>IFERROR(__xludf.DUMMYFUNCTION("""COMPUTED_VALUE"""),45772.64583333333)</f>
        <v>45772.64583</v>
      </c>
      <c r="B83" s="5">
        <f>IFERROR(__xludf.DUMMYFUNCTION("""COMPUTED_VALUE"""),1591.4)</f>
        <v>1591.4</v>
      </c>
      <c r="C83" s="5">
        <f>IFERROR(__xludf.DUMMYFUNCTION("""COMPUTED_VALUE"""),1647.4)</f>
        <v>1647.4</v>
      </c>
      <c r="D83" s="5">
        <f>IFERROR(__xludf.DUMMYFUNCTION("""COMPUTED_VALUE"""),1572.0)</f>
        <v>1572</v>
      </c>
      <c r="E83" s="5">
        <f>IFERROR(__xludf.DUMMYFUNCTION("""COMPUTED_VALUE"""),1616.9)</f>
        <v>1616.9</v>
      </c>
      <c r="F83" s="5">
        <f>IFERROR(__xludf.DUMMYFUNCTION("""COMPUTED_VALUE"""),2788115.0)</f>
        <v>2788115</v>
      </c>
    </row>
    <row r="84">
      <c r="A84" s="6">
        <f>IFERROR(__xludf.DUMMYFUNCTION("""COMPUTED_VALUE"""),45779.64583333333)</f>
        <v>45779.64583</v>
      </c>
      <c r="B84" s="5">
        <f>IFERROR(__xludf.DUMMYFUNCTION("""COMPUTED_VALUE"""),1610.0)</f>
        <v>1610</v>
      </c>
      <c r="C84" s="5">
        <f>IFERROR(__xludf.DUMMYFUNCTION("""COMPUTED_VALUE"""),1639.8)</f>
        <v>1639.8</v>
      </c>
      <c r="D84" s="5">
        <f>IFERROR(__xludf.DUMMYFUNCTION("""COMPUTED_VALUE"""),1582.1)</f>
        <v>1582.1</v>
      </c>
      <c r="E84" s="5">
        <f>IFERROR(__xludf.DUMMYFUNCTION("""COMPUTED_VALUE"""),1598.8)</f>
        <v>1598.8</v>
      </c>
      <c r="F84" s="5">
        <f>IFERROR(__xludf.DUMMYFUNCTION("""COMPUTED_VALUE"""),1326565.0)</f>
        <v>1326565</v>
      </c>
    </row>
    <row r="85">
      <c r="A85" s="6">
        <f>IFERROR(__xludf.DUMMYFUNCTION("""COMPUTED_VALUE"""),45786.64583333333)</f>
        <v>45786.64583</v>
      </c>
      <c r="B85" s="5">
        <f>IFERROR(__xludf.DUMMYFUNCTION("""COMPUTED_VALUE"""),1600.8)</f>
        <v>1600.8</v>
      </c>
      <c r="C85" s="5">
        <f>IFERROR(__xludf.DUMMYFUNCTION("""COMPUTED_VALUE"""),1709.9)</f>
        <v>1709.9</v>
      </c>
      <c r="D85" s="5">
        <f>IFERROR(__xludf.DUMMYFUNCTION("""COMPUTED_VALUE"""),1595.1)</f>
        <v>1595.1</v>
      </c>
      <c r="E85" s="5">
        <f>IFERROR(__xludf.DUMMYFUNCTION("""COMPUTED_VALUE"""),1655.7)</f>
        <v>1655.7</v>
      </c>
      <c r="F85" s="5">
        <f>IFERROR(__xludf.DUMMYFUNCTION("""COMPUTED_VALUE"""),4226760.0)</f>
        <v>4226760</v>
      </c>
    </row>
    <row r="86">
      <c r="A86" s="6">
        <f>IFERROR(__xludf.DUMMYFUNCTION("""COMPUTED_VALUE"""),45793.64583333333)</f>
        <v>45793.64583</v>
      </c>
      <c r="B86" s="5">
        <f>IFERROR(__xludf.DUMMYFUNCTION("""COMPUTED_VALUE"""),1705.0)</f>
        <v>1705</v>
      </c>
      <c r="C86" s="5">
        <f>IFERROR(__xludf.DUMMYFUNCTION("""COMPUTED_VALUE"""),1796.0)</f>
        <v>1796</v>
      </c>
      <c r="D86" s="5">
        <f>IFERROR(__xludf.DUMMYFUNCTION("""COMPUTED_VALUE"""),1694.1)</f>
        <v>1694.1</v>
      </c>
      <c r="E86" s="5">
        <f>IFERROR(__xludf.DUMMYFUNCTION("""COMPUTED_VALUE"""),1785.4)</f>
        <v>1785.4</v>
      </c>
      <c r="F86" s="5">
        <f>IFERROR(__xludf.DUMMYFUNCTION("""COMPUTED_VALUE"""),4005428.0)</f>
        <v>4005428</v>
      </c>
    </row>
    <row r="87">
      <c r="A87" s="6">
        <f>IFERROR(__xludf.DUMMYFUNCTION("""COMPUTED_VALUE"""),45800.64583333333)</f>
        <v>45800.64583</v>
      </c>
      <c r="B87" s="5">
        <f>IFERROR(__xludf.DUMMYFUNCTION("""COMPUTED_VALUE"""),1795.0)</f>
        <v>1795</v>
      </c>
      <c r="C87" s="5">
        <f>IFERROR(__xludf.DUMMYFUNCTION("""COMPUTED_VALUE"""),1838.0)</f>
        <v>1838</v>
      </c>
      <c r="D87" s="5">
        <f>IFERROR(__xludf.DUMMYFUNCTION("""COMPUTED_VALUE"""),1765.7)</f>
        <v>1765.7</v>
      </c>
      <c r="E87" s="5">
        <f>IFERROR(__xludf.DUMMYFUNCTION("""COMPUTED_VALUE"""),1830.2)</f>
        <v>1830.2</v>
      </c>
      <c r="F87" s="5">
        <f>IFERROR(__xludf.DUMMYFUNCTION("""COMPUTED_VALUE"""),2838746.0)</f>
        <v>2838746</v>
      </c>
    </row>
    <row r="88">
      <c r="A88" s="6">
        <f>IFERROR(__xludf.DUMMYFUNCTION("""COMPUTED_VALUE"""),45807.64583333333)</f>
        <v>45807.64583</v>
      </c>
      <c r="B88" s="5">
        <f>IFERROR(__xludf.DUMMYFUNCTION("""COMPUTED_VALUE"""),1833.0)</f>
        <v>1833</v>
      </c>
      <c r="C88" s="5">
        <f>IFERROR(__xludf.DUMMYFUNCTION("""COMPUTED_VALUE"""),1851.0)</f>
        <v>1851</v>
      </c>
      <c r="D88" s="5">
        <f>IFERROR(__xludf.DUMMYFUNCTION("""COMPUTED_VALUE"""),1787.5)</f>
        <v>1787.5</v>
      </c>
      <c r="E88" s="5">
        <f>IFERROR(__xludf.DUMMYFUNCTION("""COMPUTED_VALUE"""),1811.7)</f>
        <v>1811.7</v>
      </c>
      <c r="F88" s="5">
        <f>IFERROR(__xludf.DUMMYFUNCTION("""COMPUTED_VALUE"""),3750884.0)</f>
        <v>3750884</v>
      </c>
    </row>
    <row r="89">
      <c r="A89" s="6">
        <f>IFERROR(__xludf.DUMMYFUNCTION("""COMPUTED_VALUE"""),45814.64583333333)</f>
        <v>45814.64583</v>
      </c>
      <c r="B89" s="5">
        <f>IFERROR(__xludf.DUMMYFUNCTION("""COMPUTED_VALUE"""),1810.0)</f>
        <v>1810</v>
      </c>
      <c r="C89" s="5">
        <f>IFERROR(__xludf.DUMMYFUNCTION("""COMPUTED_VALUE"""),1924.8)</f>
        <v>1924.8</v>
      </c>
      <c r="D89" s="5">
        <f>IFERROR(__xludf.DUMMYFUNCTION("""COMPUTED_VALUE"""),1782.1)</f>
        <v>1782.1</v>
      </c>
      <c r="E89" s="5">
        <f>IFERROR(__xludf.DUMMYFUNCTION("""COMPUTED_VALUE"""),1920.9)</f>
        <v>1920.9</v>
      </c>
      <c r="F89" s="5">
        <f>IFERROR(__xludf.DUMMYFUNCTION("""COMPUTED_VALUE"""),3396851.0)</f>
        <v>3396851</v>
      </c>
    </row>
    <row r="90">
      <c r="A90" s="6">
        <f>IFERROR(__xludf.DUMMYFUNCTION("""COMPUTED_VALUE"""),45821.64583333333)</f>
        <v>45821.64583</v>
      </c>
      <c r="B90" s="5">
        <f>IFERROR(__xludf.DUMMYFUNCTION("""COMPUTED_VALUE"""),1927.9)</f>
        <v>1927.9</v>
      </c>
      <c r="C90" s="5">
        <f>IFERROR(__xludf.DUMMYFUNCTION("""COMPUTED_VALUE"""),1936.0)</f>
        <v>1936</v>
      </c>
      <c r="D90" s="5">
        <f>IFERROR(__xludf.DUMMYFUNCTION("""COMPUTED_VALUE"""),1808.6)</f>
        <v>1808.6</v>
      </c>
      <c r="E90" s="5">
        <f>IFERROR(__xludf.DUMMYFUNCTION("""COMPUTED_VALUE"""),1846.0)</f>
        <v>1846</v>
      </c>
      <c r="F90" s="5">
        <f>IFERROR(__xludf.DUMMYFUNCTION("""COMPUTED_VALUE"""),1895764.0)</f>
        <v>1895764</v>
      </c>
    </row>
    <row r="91">
      <c r="A91" s="6">
        <f>IFERROR(__xludf.DUMMYFUNCTION("""COMPUTED_VALUE"""),45828.64583333333)</f>
        <v>45828.64583</v>
      </c>
      <c r="B91" s="5">
        <f>IFERROR(__xludf.DUMMYFUNCTION("""COMPUTED_VALUE"""),1844.5)</f>
        <v>1844.5</v>
      </c>
      <c r="C91" s="5">
        <f>IFERROR(__xludf.DUMMYFUNCTION("""COMPUTED_VALUE"""),1868.4)</f>
        <v>1868.4</v>
      </c>
      <c r="D91" s="5">
        <f>IFERROR(__xludf.DUMMYFUNCTION("""COMPUTED_VALUE"""),1753.0)</f>
        <v>1753</v>
      </c>
      <c r="E91" s="5">
        <f>IFERROR(__xludf.DUMMYFUNCTION("""COMPUTED_VALUE"""),1769.8)</f>
        <v>1769.8</v>
      </c>
      <c r="F91" s="5">
        <f>IFERROR(__xludf.DUMMYFUNCTION("""COMPUTED_VALUE"""),3066430.0)</f>
        <v>3066430</v>
      </c>
    </row>
    <row r="92">
      <c r="A92" s="6">
        <f>IFERROR(__xludf.DUMMYFUNCTION("""COMPUTED_VALUE"""),45835.64583333333)</f>
        <v>45835.64583</v>
      </c>
      <c r="B92" s="5">
        <f>IFERROR(__xludf.DUMMYFUNCTION("""COMPUTED_VALUE"""),1766.7)</f>
        <v>1766.7</v>
      </c>
      <c r="C92" s="5">
        <f>IFERROR(__xludf.DUMMYFUNCTION("""COMPUTED_VALUE"""),1830.9)</f>
        <v>1830.9</v>
      </c>
      <c r="D92" s="5">
        <f>IFERROR(__xludf.DUMMYFUNCTION("""COMPUTED_VALUE"""),1743.0)</f>
        <v>1743</v>
      </c>
      <c r="E92" s="5">
        <f>IFERROR(__xludf.DUMMYFUNCTION("""COMPUTED_VALUE"""),1755.9)</f>
        <v>1755.9</v>
      </c>
      <c r="F92" s="5">
        <f>IFERROR(__xludf.DUMMYFUNCTION("""COMPUTED_VALUE"""),3828714.0)</f>
        <v>3828714</v>
      </c>
    </row>
    <row r="93">
      <c r="A93" s="6">
        <f>IFERROR(__xludf.DUMMYFUNCTION("""COMPUTED_VALUE"""),45842.64583333333)</f>
        <v>45842.64583</v>
      </c>
      <c r="B93" s="5">
        <f>IFERROR(__xludf.DUMMYFUNCTION("""COMPUTED_VALUE"""),1755.9)</f>
        <v>1755.9</v>
      </c>
      <c r="C93" s="5">
        <f>IFERROR(__xludf.DUMMYFUNCTION("""COMPUTED_VALUE"""),1793.9)</f>
        <v>1793.9</v>
      </c>
      <c r="D93" s="5">
        <f>IFERROR(__xludf.DUMMYFUNCTION("""COMPUTED_VALUE"""),1703.6)</f>
        <v>1703.6</v>
      </c>
      <c r="E93" s="5">
        <f>IFERROR(__xludf.DUMMYFUNCTION("""COMPUTED_VALUE"""),1717.6)</f>
        <v>1717.6</v>
      </c>
      <c r="F93" s="5">
        <f>IFERROR(__xludf.DUMMYFUNCTION("""COMPUTED_VALUE"""),4806114.0)</f>
        <v>4806114</v>
      </c>
    </row>
    <row r="94">
      <c r="A94" s="6">
        <f>IFERROR(__xludf.DUMMYFUNCTION("""COMPUTED_VALUE"""),45849.64583333333)</f>
        <v>45849.64583</v>
      </c>
      <c r="B94" s="5">
        <f>IFERROR(__xludf.DUMMYFUNCTION("""COMPUTED_VALUE"""),1717.0)</f>
        <v>1717</v>
      </c>
      <c r="C94" s="5">
        <f>IFERROR(__xludf.DUMMYFUNCTION("""COMPUTED_VALUE"""),1749.5)</f>
        <v>1749.5</v>
      </c>
      <c r="D94" s="5">
        <f>IFERROR(__xludf.DUMMYFUNCTION("""COMPUTED_VALUE"""),1690.1)</f>
        <v>1690.1</v>
      </c>
      <c r="E94" s="5">
        <f>IFERROR(__xludf.DUMMYFUNCTION("""COMPUTED_VALUE"""),1701.8)</f>
        <v>1701.8</v>
      </c>
      <c r="F94" s="5">
        <f>IFERROR(__xludf.DUMMYFUNCTION("""COMPUTED_VALUE"""),3005149.0)</f>
        <v>3005149</v>
      </c>
    </row>
    <row r="95">
      <c r="A95" s="6">
        <f>IFERROR(__xludf.DUMMYFUNCTION("""COMPUTED_VALUE"""),45856.64583333333)</f>
        <v>45856.64583</v>
      </c>
      <c r="B95" s="5">
        <f>IFERROR(__xludf.DUMMYFUNCTION("""COMPUTED_VALUE"""),1703.0)</f>
        <v>1703</v>
      </c>
      <c r="C95" s="5">
        <f>IFERROR(__xludf.DUMMYFUNCTION("""COMPUTED_VALUE"""),1726.0)</f>
        <v>1726</v>
      </c>
      <c r="D95" s="5">
        <f>IFERROR(__xludf.DUMMYFUNCTION("""COMPUTED_VALUE"""),1663.3)</f>
        <v>1663.3</v>
      </c>
      <c r="E95" s="5">
        <f>IFERROR(__xludf.DUMMYFUNCTION("""COMPUTED_VALUE"""),1666.4)</f>
        <v>1666.4</v>
      </c>
      <c r="F95" s="5">
        <f>IFERROR(__xludf.DUMMYFUNCTION("""COMPUTED_VALUE"""),2538478.0)</f>
        <v>2538478</v>
      </c>
    </row>
    <row r="96">
      <c r="A96" s="6">
        <f>IFERROR(__xludf.DUMMYFUNCTION("""COMPUTED_VALUE"""),45863.64583333333)</f>
        <v>45863.64583</v>
      </c>
      <c r="B96" s="5">
        <f>IFERROR(__xludf.DUMMYFUNCTION("""COMPUTED_VALUE"""),1666.4)</f>
        <v>1666.4</v>
      </c>
      <c r="C96" s="5">
        <f>IFERROR(__xludf.DUMMYFUNCTION("""COMPUTED_VALUE"""),1703.0)</f>
        <v>1703</v>
      </c>
      <c r="D96" s="5">
        <f>IFERROR(__xludf.DUMMYFUNCTION("""COMPUTED_VALUE"""),1526.1)</f>
        <v>1526.1</v>
      </c>
      <c r="E96" s="5">
        <f>IFERROR(__xludf.DUMMYFUNCTION("""COMPUTED_VALUE"""),1543.1)</f>
        <v>1543.1</v>
      </c>
      <c r="F96" s="5">
        <f>IFERROR(__xludf.DUMMYFUNCTION("""COMPUTED_VALUE"""),4547402.0)</f>
        <v>4547402</v>
      </c>
    </row>
    <row r="97">
      <c r="A97" s="6">
        <f>IFERROR(__xludf.DUMMYFUNCTION("""COMPUTED_VALUE"""),45870.64583333333)</f>
        <v>45870.64583</v>
      </c>
      <c r="B97" s="5">
        <f>IFERROR(__xludf.DUMMYFUNCTION("""COMPUTED_VALUE"""),1539.1)</f>
        <v>1539.1</v>
      </c>
      <c r="C97" s="5">
        <f>IFERROR(__xludf.DUMMYFUNCTION("""COMPUTED_VALUE"""),1626.9)</f>
        <v>1626.9</v>
      </c>
      <c r="D97" s="5">
        <f>IFERROR(__xludf.DUMMYFUNCTION("""COMPUTED_VALUE"""),1492.0)</f>
        <v>1492</v>
      </c>
      <c r="E97" s="5">
        <f>IFERROR(__xludf.DUMMYFUNCTION("""COMPUTED_VALUE"""),1594.1)</f>
        <v>1594.1</v>
      </c>
      <c r="F97" s="5">
        <f>IFERROR(__xludf.DUMMYFUNCTION("""COMPUTED_VALUE"""),7209289.0)</f>
        <v>7209289</v>
      </c>
    </row>
    <row r="98">
      <c r="A98" s="6">
        <f>IFERROR(__xludf.DUMMYFUNCTION("""COMPUTED_VALUE"""),45877.64583333333)</f>
        <v>45877.64583</v>
      </c>
      <c r="B98" s="5">
        <f>IFERROR(__xludf.DUMMYFUNCTION("""COMPUTED_VALUE"""),1590.0)</f>
        <v>1590</v>
      </c>
      <c r="C98" s="5">
        <f>IFERROR(__xludf.DUMMYFUNCTION("""COMPUTED_VALUE"""),1633.1)</f>
        <v>1633.1</v>
      </c>
      <c r="D98" s="5">
        <f>IFERROR(__xludf.DUMMYFUNCTION("""COMPUTED_VALUE"""),1549.0)</f>
        <v>1549</v>
      </c>
      <c r="E98" s="5">
        <f>IFERROR(__xludf.DUMMYFUNCTION("""COMPUTED_VALUE"""),1582.6)</f>
        <v>1582.6</v>
      </c>
      <c r="F98" s="5">
        <f>IFERROR(__xludf.DUMMYFUNCTION("""COMPUTED_VALUE"""),3909192.0)</f>
        <v>3909192</v>
      </c>
    </row>
    <row r="99">
      <c r="A99" s="6">
        <f>IFERROR(__xludf.DUMMYFUNCTION("""COMPUTED_VALUE"""),45883.64583333333)</f>
        <v>45883.64583</v>
      </c>
      <c r="B99" s="5">
        <f>IFERROR(__xludf.DUMMYFUNCTION("""COMPUTED_VALUE"""),1580.0)</f>
        <v>1580</v>
      </c>
      <c r="C99" s="5">
        <f>IFERROR(__xludf.DUMMYFUNCTION("""COMPUTED_VALUE"""),1615.3)</f>
        <v>1615.3</v>
      </c>
      <c r="D99" s="5">
        <f>IFERROR(__xludf.DUMMYFUNCTION("""COMPUTED_VALUE"""),1565.5)</f>
        <v>1565.5</v>
      </c>
      <c r="E99" s="5">
        <f>IFERROR(__xludf.DUMMYFUNCTION("""COMPUTED_VALUE"""),1608.5)</f>
        <v>1608.5</v>
      </c>
      <c r="F99" s="5">
        <f>IFERROR(__xludf.DUMMYFUNCTION("""COMPUTED_VALUE"""),1583948.0)</f>
        <v>1583948</v>
      </c>
    </row>
    <row r="100">
      <c r="A100" s="6">
        <f>IFERROR(__xludf.DUMMYFUNCTION("""COMPUTED_VALUE"""),45891.64583333333)</f>
        <v>45891.64583</v>
      </c>
      <c r="B100" s="5">
        <f>IFERROR(__xludf.DUMMYFUNCTION("""COMPUTED_VALUE"""),1608.5)</f>
        <v>1608.5</v>
      </c>
      <c r="C100" s="5">
        <f>IFERROR(__xludf.DUMMYFUNCTION("""COMPUTED_VALUE"""),1669.0)</f>
        <v>1669</v>
      </c>
      <c r="D100" s="5">
        <f>IFERROR(__xludf.DUMMYFUNCTION("""COMPUTED_VALUE"""),1600.5)</f>
        <v>1600.5</v>
      </c>
      <c r="E100" s="5">
        <f>IFERROR(__xludf.DUMMYFUNCTION("""COMPUTED_VALUE"""),1649.5)</f>
        <v>1649.5</v>
      </c>
      <c r="F100" s="5">
        <f>IFERROR(__xludf.DUMMYFUNCTION("""COMPUTED_VALUE"""),1759014.0)</f>
        <v>1759014</v>
      </c>
    </row>
  </sheetData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IFERROR(__xludf.DUMMYFUNCTION("GOOGLEFINANCE(""NSE:NAUKRI"", ""all"",ConfigSheet!B2 -ConfigSheet!B1,ConfigSheet!B2,ConfigSheet!B3)"),"#N/A")</f>
        <v>#N/A</v>
      </c>
    </row>
  </sheetData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IFERROR(__xludf.DUMMYFUNCTION("GOOGLEFINANCE(""NSE:NESTLEIND"", ""all"",ConfigSheet!B2 -ConfigSheet!B1,ConfigSheet!B2,ConfigSheet!B3)"),"#N/A")</f>
        <v>#N/A</v>
      </c>
    </row>
  </sheetData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IFERROR(__xludf.DUMMYFUNCTION("GOOGLEFINANCE(""NSE:NHPC"", ""all"",ConfigSheet!B2 -ConfigSheet!B1,ConfigSheet!B2,ConfigSheet!B3)"),"#N/A")</f>
        <v>#N/A</v>
      </c>
    </row>
  </sheetData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IFERROR(__xludf.DUMMYFUNCTION("GOOGLEFINANCE(""NSE:NMDC"", ""all"",ConfigSheet!B2 -ConfigSheet!B1,ConfigSheet!B2,ConfigSheet!B3)"),"#N/A")</f>
        <v>#N/A</v>
      </c>
    </row>
  </sheetData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IFERROR(__xludf.DUMMYFUNCTION("GOOGLEFINANCE(""NSE:NTPC"", ""all"",ConfigSheet!B2 -ConfigSheet!B1,ConfigSheet!B2,ConfigSheet!B3)"),"#N/A")</f>
        <v>#N/A</v>
      </c>
    </row>
  </sheetData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IFERROR(__xludf.DUMMYFUNCTION("GOOGLEFINANCE(""NSE:NTPCGREEN"", ""all"",ConfigSheet!B2 -ConfigSheet!B1,ConfigSheet!B2,ConfigSheet!B3)"),"#N/A")</f>
        <v>#N/A</v>
      </c>
    </row>
  </sheetData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IFERROR(__xludf.DUMMYFUNCTION("GOOGLEFINANCE(""NSE:NYKAA"", ""all"",ConfigSheet!B2 -ConfigSheet!B1,ConfigSheet!B2,ConfigSheet!B3)"),"#N/A")</f>
        <v>#N/A</v>
      </c>
    </row>
  </sheetData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IFERROR(__xludf.DUMMYFUNCTION("GOOGLEFINANCE(""NSE:OBEROIRLTY"", ""all"",ConfigSheet!B2 -ConfigSheet!B1,ConfigSheet!B2,ConfigSheet!B3)"),"#N/A")</f>
        <v>#N/A</v>
      </c>
    </row>
  </sheetData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IFERROR(__xludf.DUMMYFUNCTION("GOOGLEFINANCE(""NSE:OFSS"", ""all"",ConfigSheet!B2 -ConfigSheet!B1,ConfigSheet!B2,ConfigSheet!B3)"),"#N/A")</f>
        <v>#N/A</v>
      </c>
    </row>
  </sheetData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IFERROR(__xludf.DUMMYFUNCTION("GOOGLEFINANCE(""NSE:OIL"", ""all"",ConfigSheet!B2 -ConfigSheet!B1,ConfigSheet!B2,ConfigSheet!B3)"),"#N/A")</f>
        <v>#N/A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IFERROR(__xludf.DUMMYFUNCTION("GOOGLEFINANCE(""NSE:APOLLOHOSP"", ""all"",ConfigSheet!B2 -ConfigSheet!B1,ConfigSheet!B2,ConfigSheet!B3)"),"#N/A")</f>
        <v>#N/A</v>
      </c>
    </row>
  </sheetData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IFERROR(__xludf.DUMMYFUNCTION("GOOGLEFINANCE(""NSE:OLAELEC"", ""all"",ConfigSheet!B2 -ConfigSheet!B1,ConfigSheet!B2,ConfigSheet!B3)"),"#N/A")</f>
        <v>#N/A</v>
      </c>
    </row>
  </sheetData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IFERROR(__xludf.DUMMYFUNCTION("GOOGLEFINANCE(""NSE:ONGC"", ""all"",ConfigSheet!B2 -ConfigSheet!B1,ConfigSheet!B2,ConfigSheet!B3)"),"#N/A")</f>
        <v>#N/A</v>
      </c>
    </row>
  </sheetData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IFERROR(__xludf.DUMMYFUNCTION("GOOGLEFINANCE(""NSE:PAGEIND"", ""all"",ConfigSheet!B2 -ConfigSheet!B1,ConfigSheet!B2,ConfigSheet!B3)"),"#N/A")</f>
        <v>#N/A</v>
      </c>
    </row>
  </sheetData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IFERROR(__xludf.DUMMYFUNCTION("GOOGLEFINANCE(""NSE:PATANJALI"", ""all"",ConfigSheet!B2 -ConfigSheet!B1,ConfigSheet!B2,ConfigSheet!B3)"),"#N/A")</f>
        <v>#N/A</v>
      </c>
    </row>
  </sheetData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IFERROR(__xludf.DUMMYFUNCTION("GOOGLEFINANCE(""NSE:PAYTM"", ""all"",ConfigSheet!B2 -ConfigSheet!B1,ConfigSheet!B2,ConfigSheet!B3)"),"#N/A")</f>
        <v>#N/A</v>
      </c>
    </row>
  </sheetData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IFERROR(__xludf.DUMMYFUNCTION("GOOGLEFINANCE(""NSE:PERSISTENT"", ""all"",ConfigSheet!B2 -ConfigSheet!B1,ConfigSheet!B2,ConfigSheet!B3)"),"#N/A")</f>
        <v>#N/A</v>
      </c>
    </row>
  </sheetData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IFERROR(__xludf.DUMMYFUNCTION("GOOGLEFINANCE(""NSE:PETRONET"", ""all"",ConfigSheet!B2 -ConfigSheet!B1,ConfigSheet!B2,ConfigSheet!B3)"),"#N/A")</f>
        <v>#N/A</v>
      </c>
    </row>
  </sheetData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IFERROR(__xludf.DUMMYFUNCTION("GOOGLEFINANCE(""NSE:PFC"", ""all"",ConfigSheet!B2 -ConfigSheet!B1,ConfigSheet!B2,ConfigSheet!B3)"),"#N/A")</f>
        <v>#N/A</v>
      </c>
    </row>
  </sheetData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IFERROR(__xludf.DUMMYFUNCTION("GOOGLEFINANCE(""NSE:PHOENIXLTD"", ""all"",ConfigSheet!B2 -ConfigSheet!B1,ConfigSheet!B2,ConfigSheet!B3)"),"#N/A")</f>
        <v>#N/A</v>
      </c>
    </row>
  </sheetData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IFERROR(__xludf.DUMMYFUNCTION("GOOGLEFINANCE(""NSE:PIDILITIND"", ""all"",ConfigSheet!B2 -ConfigSheet!B1,ConfigSheet!B2,ConfigSheet!B3)"),"#N/A")</f>
        <v>#N/A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IFERROR(__xludf.DUMMYFUNCTION("GOOGLEFINANCE(""NSE:APOLLOTYRE"", ""all"",ConfigSheet!B2 -ConfigSheet!B1,ConfigSheet!B2,ConfigSheet!B3)"),"#N/A")</f>
        <v>#N/A</v>
      </c>
    </row>
  </sheetData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IFERROR(__xludf.DUMMYFUNCTION("GOOGLEFINANCE(""NSE:PIIND"", ""all"",ConfigSheet!B2 -ConfigSheet!B1,ConfigSheet!B2,ConfigSheet!B3)"),"#N/A")</f>
        <v>#N/A</v>
      </c>
    </row>
  </sheetData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IFERROR(__xludf.DUMMYFUNCTION("GOOGLEFINANCE(""NSE:PNB"", ""all"",ConfigSheet!B2 -ConfigSheet!B1,ConfigSheet!B2,ConfigSheet!B3)"),"#N/A")</f>
        <v>#N/A</v>
      </c>
    </row>
  </sheetData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IFERROR(__xludf.DUMMYFUNCTION("GOOGLEFINANCE(""NSE:POLICYBZR"", ""all"",ConfigSheet!B2 -ConfigSheet!B1,ConfigSheet!B2,ConfigSheet!B3)"),"#N/A")</f>
        <v>#N/A</v>
      </c>
    </row>
  </sheetData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IFERROR(__xludf.DUMMYFUNCTION("GOOGLEFINANCE(""NSE:POLYCAB"", ""all"",ConfigSheet!B2 -ConfigSheet!B1,ConfigSheet!B2,ConfigSheet!B3)"),"#N/A")</f>
        <v>#N/A</v>
      </c>
    </row>
  </sheetData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IFERROR(__xludf.DUMMYFUNCTION("GOOGLEFINANCE(""NSE:POWERGRID"", ""all"",ConfigSheet!B2 -ConfigSheet!B1,ConfigSheet!B2,ConfigSheet!B3)"),"#N/A")</f>
        <v>#N/A</v>
      </c>
    </row>
  </sheetData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IFERROR(__xludf.DUMMYFUNCTION("GOOGLEFINANCE(""NSE:PREMIERENE"", ""all"",ConfigSheet!B2 -ConfigSheet!B1,ConfigSheet!B2,ConfigSheet!B3)"),"#N/A")</f>
        <v>#N/A</v>
      </c>
    </row>
  </sheetData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IFERROR(__xludf.DUMMYFUNCTION("GOOGLEFINANCE(""NSE:PRESTIGE"", ""all"",ConfigSheet!B2 -ConfigSheet!B1,ConfigSheet!B2,ConfigSheet!B3)"),"#N/A")</f>
        <v>#N/A</v>
      </c>
    </row>
  </sheetData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IFERROR(__xludf.DUMMYFUNCTION("GOOGLEFINANCE(""NSE:RECLTD"", ""all"",ConfigSheet!B2 -ConfigSheet!B1,ConfigSheet!B2,ConfigSheet!B3)"),"#N/A")</f>
        <v>#N/A</v>
      </c>
    </row>
  </sheetData>
  <drawing r:id="rId1"/>
</worksheet>
</file>

<file path=xl/worksheets/sheet1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IFERROR(__xludf.DUMMYFUNCTION("GOOGLEFINANCE(""NSE:RELIANCE"", ""all"",ConfigSheet!B2 -ConfigSheet!B1,ConfigSheet!B2,ConfigSheet!B3)"),"#N/A")</f>
        <v>#N/A</v>
      </c>
    </row>
  </sheetData>
  <drawing r:id="rId1"/>
</worksheet>
</file>

<file path=xl/worksheets/sheet1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IFERROR(__xludf.DUMMYFUNCTION("GOOGLEFINANCE(""NSE:RVNL"", ""all"",ConfigSheet!B2 -ConfigSheet!B1,ConfigSheet!B2,ConfigSheet!B3)"),"#N/A")</f>
        <v>#N/A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IFERROR(__xludf.DUMMYFUNCTION("GOOGLEFINANCE(""NSE:ASHOKLEY"", ""all"",ConfigSheet!B2 -ConfigSheet!B1,ConfigSheet!B2,ConfigSheet!B3)"),"#N/A")</f>
        <v>#N/A</v>
      </c>
    </row>
  </sheetData>
  <drawing r:id="rId1"/>
</worksheet>
</file>

<file path=xl/worksheets/sheet1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IFERROR(__xludf.DUMMYFUNCTION("GOOGLEFINANCE(""NSE:SAIL"", ""all"",ConfigSheet!B2 -ConfigSheet!B1,ConfigSheet!B2,ConfigSheet!B3)"),"#N/A")</f>
        <v>#N/A</v>
      </c>
    </row>
  </sheetData>
  <drawing r:id="rId1"/>
</worksheet>
</file>

<file path=xl/worksheets/sheet1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IFERROR(__xludf.DUMMYFUNCTION("GOOGLEFINANCE(""NSE:SBICARD"", ""all"",ConfigSheet!B2 -ConfigSheet!B1,ConfigSheet!B2,ConfigSheet!B3)"),"#N/A")</f>
        <v>#N/A</v>
      </c>
    </row>
  </sheetData>
  <drawing r:id="rId1"/>
</worksheet>
</file>

<file path=xl/worksheets/sheet1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IFERROR(__xludf.DUMMYFUNCTION("GOOGLEFINANCE(""NSE:SBILIFE"", ""all"",ConfigSheet!B2 -ConfigSheet!B1,ConfigSheet!B2,ConfigSheet!B3)"),"#N/A")</f>
        <v>#N/A</v>
      </c>
    </row>
  </sheetData>
  <drawing r:id="rId1"/>
</worksheet>
</file>

<file path=xl/worksheets/sheet1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IFERROR(__xludf.DUMMYFUNCTION("GOOGLEFINANCE(""NSE:SBIN"", ""all"",ConfigSheet!B2 -ConfigSheet!B1,ConfigSheet!B2,ConfigSheet!B3)"),"#N/A")</f>
        <v>#N/A</v>
      </c>
    </row>
  </sheetData>
  <drawing r:id="rId1"/>
</worksheet>
</file>

<file path=xl/worksheets/sheet1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IFERROR(__xludf.DUMMYFUNCTION("GOOGLEFINANCE(""NSE:SHREECEM"", ""all"",ConfigSheet!B2 -ConfigSheet!B1,ConfigSheet!B2,ConfigSheet!B3)"),"#N/A")</f>
        <v>#N/A</v>
      </c>
    </row>
  </sheetData>
  <drawing r:id="rId1"/>
</worksheet>
</file>

<file path=xl/worksheets/sheet1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IFERROR(__xludf.DUMMYFUNCTION("GOOGLEFINANCE(""NSE:SHRIRAMFIN"", ""all"",ConfigSheet!B2 -ConfigSheet!B1,ConfigSheet!B2,ConfigSheet!B3)"),"#N/A")</f>
        <v>#N/A</v>
      </c>
    </row>
  </sheetData>
  <drawing r:id="rId1"/>
</worksheet>
</file>

<file path=xl/worksheets/sheet1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IFERROR(__xludf.DUMMYFUNCTION("GOOGLEFINANCE(""NSE:SIEMENS"", ""all"",ConfigSheet!B2 -ConfigSheet!B1,ConfigSheet!B2,ConfigSheet!B3)"),"#N/A")</f>
        <v>#N/A</v>
      </c>
    </row>
  </sheetData>
  <drawing r:id="rId1"/>
</worksheet>
</file>

<file path=xl/worksheets/sheet1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IFERROR(__xludf.DUMMYFUNCTION("GOOGLEFINANCE(""NSE:SJVN"", ""all"",ConfigSheet!B2 -ConfigSheet!B1,ConfigSheet!B2,ConfigSheet!B3)"),"#N/A")</f>
        <v>#N/A</v>
      </c>
    </row>
  </sheetData>
  <drawing r:id="rId1"/>
</worksheet>
</file>

<file path=xl/worksheets/sheet1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IFERROR(__xludf.DUMMYFUNCTION("GOOGLEFINANCE(""NSE:SOLARINDS"", ""all"",ConfigSheet!B2 -ConfigSheet!B1,ConfigSheet!B2,ConfigSheet!B3)"),"#N/A")</f>
        <v>#N/A</v>
      </c>
    </row>
  </sheetData>
  <drawing r:id="rId1"/>
</worksheet>
</file>

<file path=xl/worksheets/sheet1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IFERROR(__xludf.DUMMYFUNCTION("GOOGLEFINANCE(""NSE:SONACOMS"", ""all"",ConfigSheet!B2 -ConfigSheet!B1,ConfigSheet!B2,ConfigSheet!B3)"),"#N/A")</f>
        <v>#N/A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IFERROR(__xludf.DUMMYFUNCTION("GOOGLEFINANCE(""NSE:ASIANPAINT"", ""all"",ConfigSheet!B2 -ConfigSheet!B1,ConfigSheet!B2,ConfigSheet!B3)"),"#N/A")</f>
        <v>#N/A</v>
      </c>
    </row>
  </sheetData>
  <drawing r:id="rId1"/>
</worksheet>
</file>

<file path=xl/worksheets/sheet1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IFERROR(__xludf.DUMMYFUNCTION("GOOGLEFINANCE(""NSE:SRF"", ""all"",ConfigSheet!B2 -ConfigSheet!B1,ConfigSheet!B2,ConfigSheet!B3)"),"#N/A")</f>
        <v>#N/A</v>
      </c>
    </row>
  </sheetData>
  <drawing r:id="rId1"/>
</worksheet>
</file>

<file path=xl/worksheets/sheet1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IFERROR(__xludf.DUMMYFUNCTION("GOOGLEFINANCE(""NSE:SUNPHARMA"", ""all"",ConfigSheet!B2 -ConfigSheet!B1,ConfigSheet!B2,ConfigSheet!B3)"),"#N/A")</f>
        <v>#N/A</v>
      </c>
    </row>
  </sheetData>
  <drawing r:id="rId1"/>
</worksheet>
</file>

<file path=xl/worksheets/sheet1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IFERROR(__xludf.DUMMYFUNCTION("GOOGLEFINANCE(""NSE:SUPREMEIND"", ""all"",ConfigSheet!B2 -ConfigSheet!B1,ConfigSheet!B2,ConfigSheet!B3)"),"#N/A")</f>
        <v>#N/A</v>
      </c>
    </row>
  </sheetData>
  <drawing r:id="rId1"/>
</worksheet>
</file>

<file path=xl/worksheets/sheet1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IFERROR(__xludf.DUMMYFUNCTION("GOOGLEFINANCE(""NSE:SUZLON"", ""all"",ConfigSheet!B2 -ConfigSheet!B1,ConfigSheet!B2,ConfigSheet!B3)"),"#N/A")</f>
        <v>#N/A</v>
      </c>
    </row>
  </sheetData>
  <drawing r:id="rId1"/>
</worksheet>
</file>

<file path=xl/worksheets/sheet1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IFERROR(__xludf.DUMMYFUNCTION("GOOGLEFINANCE(""NSE:SWIGGY"", ""all"",ConfigSheet!B2 -ConfigSheet!B1,ConfigSheet!B2,ConfigSheet!B3)"),"#N/A")</f>
        <v>#N/A</v>
      </c>
    </row>
  </sheetData>
  <drawing r:id="rId1"/>
</worksheet>
</file>

<file path=xl/worksheets/sheet1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IFERROR(__xludf.DUMMYFUNCTION("GOOGLEFINANCE(""NSE:TATACOMM"", ""all"",ConfigSheet!B2 -ConfigSheet!B1,ConfigSheet!B2,ConfigSheet!B3)"),"#N/A")</f>
        <v>#N/A</v>
      </c>
    </row>
  </sheetData>
  <drawing r:id="rId1"/>
</worksheet>
</file>

<file path=xl/worksheets/sheet1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IFERROR(__xludf.DUMMYFUNCTION("GOOGLEFINANCE(""NSE:TATACONSUM"", ""all"",ConfigSheet!B2 -ConfigSheet!B1,ConfigSheet!B2,ConfigSheet!B3)"),"#N/A")</f>
        <v>#N/A</v>
      </c>
    </row>
  </sheetData>
  <drawing r:id="rId1"/>
</worksheet>
</file>

<file path=xl/worksheets/sheet1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IFERROR(__xludf.DUMMYFUNCTION("GOOGLEFINANCE(""NSE:TATAELXSI"", ""all"",ConfigSheet!B2 -ConfigSheet!B1,ConfigSheet!B2,ConfigSheet!B3)"),"#N/A")</f>
        <v>#N/A</v>
      </c>
    </row>
  </sheetData>
  <drawing r:id="rId1"/>
</worksheet>
</file>

<file path=xl/worksheets/sheet1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IFERROR(__xludf.DUMMYFUNCTION("GOOGLEFINANCE(""NSE:TATAMOTORS"", ""all"",ConfigSheet!B2 -ConfigSheet!B1,ConfigSheet!B2,ConfigSheet!B3)"),"#N/A")</f>
        <v>#N/A</v>
      </c>
    </row>
  </sheetData>
  <drawing r:id="rId1"/>
</worksheet>
</file>

<file path=xl/worksheets/sheet1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IFERROR(__xludf.DUMMYFUNCTION("GOOGLEFINANCE(""NSE:TATAPOWER"", ""all"",ConfigSheet!B2 -ConfigSheet!B1,ConfigSheet!B2,ConfigSheet!B3)"),"#N/A")</f>
        <v>#N/A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IFERROR(__xludf.DUMMYFUNCTION("GOOGLEFINANCE(""NSE:ASTRAL"", ""all"",ConfigSheet!B2 -ConfigSheet!B1,ConfigSheet!B2,ConfigSheet!B3)"),"#N/A")</f>
        <v>#N/A</v>
      </c>
    </row>
  </sheetData>
  <drawing r:id="rId1"/>
</worksheet>
</file>

<file path=xl/worksheets/sheet1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IFERROR(__xludf.DUMMYFUNCTION("GOOGLEFINANCE(""NSE:TATASTEEL"", ""all"",ConfigSheet!B2 -ConfigSheet!B1,ConfigSheet!B2,ConfigSheet!B3)"),"#N/A")</f>
        <v>#N/A</v>
      </c>
    </row>
  </sheetData>
  <drawing r:id="rId1"/>
</worksheet>
</file>

<file path=xl/worksheets/sheet1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IFERROR(__xludf.DUMMYFUNCTION("GOOGLEFINANCE(""NSE:TATATECH"", ""all"",ConfigSheet!B2 -ConfigSheet!B1,ConfigSheet!B2,ConfigSheet!B3)"),"#N/A")</f>
        <v>#N/A</v>
      </c>
    </row>
  </sheetData>
  <drawing r:id="rId1"/>
</worksheet>
</file>

<file path=xl/worksheets/sheet1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IFERROR(__xludf.DUMMYFUNCTION("GOOGLEFINANCE(""NSE:TCS"", ""all"",ConfigSheet!B2 -ConfigSheet!B1,ConfigSheet!B2,ConfigSheet!B3)"),"#N/A")</f>
        <v>#N/A</v>
      </c>
    </row>
  </sheetData>
  <drawing r:id="rId1"/>
</worksheet>
</file>

<file path=xl/worksheets/sheet1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IFERROR(__xludf.DUMMYFUNCTION("GOOGLEFINANCE(""NSE:TECHM"", ""all"",ConfigSheet!B2 -ConfigSheet!B1,ConfigSheet!B2,ConfigSheet!B3)"),"#N/A")</f>
        <v>#N/A</v>
      </c>
    </row>
  </sheetData>
  <drawing r:id="rId1"/>
</worksheet>
</file>

<file path=xl/worksheets/sheet1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IFERROR(__xludf.DUMMYFUNCTION("GOOGLEFINANCE(""NSE:TIINDIA"", ""all"",ConfigSheet!B2 -ConfigSheet!B1,ConfigSheet!B2,ConfigSheet!B3)"),"#N/A")</f>
        <v>#N/A</v>
      </c>
    </row>
  </sheetData>
  <drawing r:id="rId1"/>
</worksheet>
</file>

<file path=xl/worksheets/sheet1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IFERROR(__xludf.DUMMYFUNCTION("GOOGLEFINANCE(""NSE:TITAN"", ""all"",ConfigSheet!B2 -ConfigSheet!B1,ConfigSheet!B2,ConfigSheet!B3)"),"#N/A")</f>
        <v>#N/A</v>
      </c>
    </row>
  </sheetData>
  <drawing r:id="rId1"/>
</worksheet>
</file>

<file path=xl/worksheets/sheet1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IFERROR(__xludf.DUMMYFUNCTION("GOOGLEFINANCE(""NSE:TORNTPHARM"", ""all"",ConfigSheet!B2 -ConfigSheet!B1,ConfigSheet!B2,ConfigSheet!B3)"),"#N/A")</f>
        <v>#N/A</v>
      </c>
    </row>
  </sheetData>
  <drawing r:id="rId1"/>
</worksheet>
</file>

<file path=xl/worksheets/sheet1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IFERROR(__xludf.DUMMYFUNCTION("GOOGLEFINANCE(""NSE:TORNTPOWER"", ""all"",ConfigSheet!B2 -ConfigSheet!B1,ConfigSheet!B2,ConfigSheet!B3)"),"#N/A")</f>
        <v>#N/A</v>
      </c>
    </row>
  </sheetData>
  <drawing r:id="rId1"/>
</worksheet>
</file>

<file path=xl/worksheets/sheet1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IFERROR(__xludf.DUMMYFUNCTION("GOOGLEFINANCE(""NSE:TRENT"", ""all"",ConfigSheet!B2 -ConfigSheet!B1,ConfigSheet!B2,ConfigSheet!B3)"),"#N/A")</f>
        <v>#N/A</v>
      </c>
    </row>
  </sheetData>
  <drawing r:id="rId1"/>
</worksheet>
</file>

<file path=xl/worksheets/sheet1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IFERROR(__xludf.DUMMYFUNCTION("GOOGLEFINANCE(""NSE:TVSMOTOR"", ""all"",ConfigSheet!B2 -ConfigSheet!B1,ConfigSheet!B2,ConfigSheet!B3)"),"#N/A")</f>
        <v>#N/A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IFERROR(__xludf.DUMMYFUNCTION("GOOGLEFINANCE(""NSE:ATGL"", ""all"",ConfigSheet!B2 -ConfigSheet!B1,ConfigSheet!B2,ConfigSheet!B3)"),"#N/A")</f>
        <v>#N/A</v>
      </c>
    </row>
  </sheetData>
  <drawing r:id="rId1"/>
</worksheet>
</file>

<file path=xl/worksheets/sheet1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IFERROR(__xludf.DUMMYFUNCTION("GOOGLEFINANCE(""NSE:ULTRACEMCO"", ""all"",ConfigSheet!B2 -ConfigSheet!B1,ConfigSheet!B2,ConfigSheet!B3)"),"#N/A")</f>
        <v>#N/A</v>
      </c>
    </row>
  </sheetData>
  <drawing r:id="rId1"/>
</worksheet>
</file>

<file path=xl/worksheets/sheet1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IFERROR(__xludf.DUMMYFUNCTION("GOOGLEFINANCE(""NSE:UNIONBANK"", ""all"",ConfigSheet!B2 -ConfigSheet!B1,ConfigSheet!B2,ConfigSheet!B3)"),"#N/A")</f>
        <v>#N/A</v>
      </c>
    </row>
  </sheetData>
  <drawing r:id="rId1"/>
</worksheet>
</file>

<file path=xl/worksheets/sheet1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IFERROR(__xludf.DUMMYFUNCTION("GOOGLEFINANCE(""NSE:UNITDSPR"", ""all"",ConfigSheet!B2 -ConfigSheet!B1,ConfigSheet!B2,ConfigSheet!B3)"),"#N/A")</f>
        <v>#N/A</v>
      </c>
    </row>
  </sheetData>
  <drawing r:id="rId1"/>
</worksheet>
</file>

<file path=xl/worksheets/sheet1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IFERROR(__xludf.DUMMYFUNCTION("GOOGLEFINANCE(""NSE:UPL"", ""all"",ConfigSheet!B2 -ConfigSheet!B1,ConfigSheet!B2,ConfigSheet!B3)"),"#N/A")</f>
        <v>#N/A</v>
      </c>
    </row>
  </sheetData>
  <drawing r:id="rId1"/>
</worksheet>
</file>

<file path=xl/worksheets/sheet1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IFERROR(__xludf.DUMMYFUNCTION("GOOGLEFINANCE(""NSE:VBL"", ""all"",ConfigSheet!B2 -ConfigSheet!B1,ConfigSheet!B2,ConfigSheet!B3)"),"#N/A")</f>
        <v>#N/A</v>
      </c>
    </row>
  </sheetData>
  <drawing r:id="rId1"/>
</worksheet>
</file>

<file path=xl/worksheets/sheet1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IFERROR(__xludf.DUMMYFUNCTION("GOOGLEFINANCE(""NSE:VEDL"", ""all"",ConfigSheet!B2 -ConfigSheet!B1,ConfigSheet!B2,ConfigSheet!B3)"),"#N/A")</f>
        <v>#N/A</v>
      </c>
    </row>
    <row r="100">
      <c r="A100" s="8" t="s">
        <v>4</v>
      </c>
    </row>
  </sheetData>
  <drawing r:id="rId1"/>
</worksheet>
</file>

<file path=xl/worksheets/sheet1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IFERROR(__xludf.DUMMYFUNCTION("GOOGLEFINANCE(""NSE:VMM"", ""all"",ConfigSheet!B2 -ConfigSheet!B1,ConfigSheet!B2,ConfigSheet!B3)"),"#N/A")</f>
        <v>#N/A</v>
      </c>
    </row>
  </sheetData>
  <drawing r:id="rId1"/>
</worksheet>
</file>

<file path=xl/worksheets/sheet1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IFERROR(__xludf.DUMMYFUNCTION("GOOGLEFINANCE(""NSE:VOLTAS"", ""all"",ConfigSheet!B2 -ConfigSheet!B1,ConfigSheet!B2,ConfigSheet!B3)"),"#N/A")</f>
        <v>#N/A</v>
      </c>
    </row>
  </sheetData>
  <drawing r:id="rId1"/>
</worksheet>
</file>

<file path=xl/worksheets/sheet1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IFERROR(__xludf.DUMMYFUNCTION("GOOGLEFINANCE(""NSE:WAAREEENER"", ""all"",ConfigSheet!B2 -ConfigSheet!B1,ConfigSheet!B2,ConfigSheet!B3)"),"#N/A")</f>
        <v>#N/A</v>
      </c>
    </row>
  </sheetData>
  <drawing r:id="rId1"/>
</worksheet>
</file>

<file path=xl/worksheets/sheet1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IFERROR(__xludf.DUMMYFUNCTION("GOOGLEFINANCE(""NSE:WIPRO"", ""all"",ConfigSheet!B2 -ConfigSheet!B1,ConfigSheet!B2,ConfigSheet!B3)"),"#N/A")</f>
        <v>#N/A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IFERROR(__xludf.DUMMYFUNCTION("GOOGLEFINANCE(""NSE:ABB"", ""all"",ConfigSheet!B2 -ConfigSheet!B1,ConfigSheet!B2,ConfigSheet!B3)"),"Date")</f>
        <v>Date</v>
      </c>
      <c r="B1" s="5" t="str">
        <f>IFERROR(__xludf.DUMMYFUNCTION("""COMPUTED_VALUE"""),"Open")</f>
        <v>Open</v>
      </c>
      <c r="C1" s="5" t="str">
        <f>IFERROR(__xludf.DUMMYFUNCTION("""COMPUTED_VALUE"""),"High")</f>
        <v>High</v>
      </c>
      <c r="D1" s="5" t="str">
        <f>IFERROR(__xludf.DUMMYFUNCTION("""COMPUTED_VALUE"""),"Low")</f>
        <v>Low</v>
      </c>
      <c r="E1" s="5" t="str">
        <f>IFERROR(__xludf.DUMMYFUNCTION("""COMPUTED_VALUE"""),"Close")</f>
        <v>Close</v>
      </c>
      <c r="F1" s="5" t="str">
        <f>IFERROR(__xludf.DUMMYFUNCTION("""COMPUTED_VALUE"""),"Volume")</f>
        <v>Volume</v>
      </c>
    </row>
    <row r="2">
      <c r="A2" s="6">
        <f>IFERROR(__xludf.DUMMYFUNCTION("""COMPUTED_VALUE"""),45170.64583333333)</f>
        <v>45170.64583</v>
      </c>
      <c r="B2" s="5">
        <f>IFERROR(__xludf.DUMMYFUNCTION("""COMPUTED_VALUE"""),4259.9)</f>
        <v>4259.9</v>
      </c>
      <c r="C2" s="5">
        <f>IFERROR(__xludf.DUMMYFUNCTION("""COMPUTED_VALUE"""),4399.0)</f>
        <v>4399</v>
      </c>
      <c r="D2" s="5">
        <f>IFERROR(__xludf.DUMMYFUNCTION("""COMPUTED_VALUE"""),4244.1)</f>
        <v>4244.1</v>
      </c>
      <c r="E2" s="5">
        <f>IFERROR(__xludf.DUMMYFUNCTION("""COMPUTED_VALUE"""),4291.45)</f>
        <v>4291.45</v>
      </c>
      <c r="F2" s="5">
        <f>IFERROR(__xludf.DUMMYFUNCTION("""COMPUTED_VALUE"""),1169663.0)</f>
        <v>1169663</v>
      </c>
    </row>
    <row r="3">
      <c r="A3" s="6">
        <f>IFERROR(__xludf.DUMMYFUNCTION("""COMPUTED_VALUE"""),45177.64583333333)</f>
        <v>45177.64583</v>
      </c>
      <c r="B3" s="5">
        <f>IFERROR(__xludf.DUMMYFUNCTION("""COMPUTED_VALUE"""),4300.0)</f>
        <v>4300</v>
      </c>
      <c r="C3" s="5">
        <f>IFERROR(__xludf.DUMMYFUNCTION("""COMPUTED_VALUE"""),4540.0)</f>
        <v>4540</v>
      </c>
      <c r="D3" s="5">
        <f>IFERROR(__xludf.DUMMYFUNCTION("""COMPUTED_VALUE"""),4245.25)</f>
        <v>4245.25</v>
      </c>
      <c r="E3" s="5">
        <f>IFERROR(__xludf.DUMMYFUNCTION("""COMPUTED_VALUE"""),4458.55)</f>
        <v>4458.55</v>
      </c>
      <c r="F3" s="5">
        <f>IFERROR(__xludf.DUMMYFUNCTION("""COMPUTED_VALUE"""),1534040.0)</f>
        <v>1534040</v>
      </c>
    </row>
    <row r="4">
      <c r="A4" s="6">
        <f>IFERROR(__xludf.DUMMYFUNCTION("""COMPUTED_VALUE"""),45184.64583333333)</f>
        <v>45184.64583</v>
      </c>
      <c r="B4" s="5">
        <f>IFERROR(__xludf.DUMMYFUNCTION("""COMPUTED_VALUE"""),4484.95)</f>
        <v>4484.95</v>
      </c>
      <c r="C4" s="5">
        <f>IFERROR(__xludf.DUMMYFUNCTION("""COMPUTED_VALUE"""),4678.0)</f>
        <v>4678</v>
      </c>
      <c r="D4" s="5">
        <f>IFERROR(__xludf.DUMMYFUNCTION("""COMPUTED_VALUE"""),4260.0)</f>
        <v>4260</v>
      </c>
      <c r="E4" s="5">
        <f>IFERROR(__xludf.DUMMYFUNCTION("""COMPUTED_VALUE"""),4379.4)</f>
        <v>4379.4</v>
      </c>
      <c r="F4" s="5">
        <f>IFERROR(__xludf.DUMMYFUNCTION("""COMPUTED_VALUE"""),1841816.0)</f>
        <v>1841816</v>
      </c>
    </row>
    <row r="5">
      <c r="A5" s="6">
        <f>IFERROR(__xludf.DUMMYFUNCTION("""COMPUTED_VALUE"""),45191.64583333333)</f>
        <v>45191.64583</v>
      </c>
      <c r="B5" s="5">
        <f>IFERROR(__xludf.DUMMYFUNCTION("""COMPUTED_VALUE"""),4377.0)</f>
        <v>4377</v>
      </c>
      <c r="C5" s="5">
        <f>IFERROR(__xludf.DUMMYFUNCTION("""COMPUTED_VALUE"""),4427.9)</f>
        <v>4427.9</v>
      </c>
      <c r="D5" s="5">
        <f>IFERROR(__xludf.DUMMYFUNCTION("""COMPUTED_VALUE"""),4165.0)</f>
        <v>4165</v>
      </c>
      <c r="E5" s="5">
        <f>IFERROR(__xludf.DUMMYFUNCTION("""COMPUTED_VALUE"""),4187.0)</f>
        <v>4187</v>
      </c>
      <c r="F5" s="5">
        <f>IFERROR(__xludf.DUMMYFUNCTION("""COMPUTED_VALUE"""),777111.0)</f>
        <v>777111</v>
      </c>
    </row>
    <row r="6">
      <c r="A6" s="6">
        <f>IFERROR(__xludf.DUMMYFUNCTION("""COMPUTED_VALUE"""),45198.64583333333)</f>
        <v>45198.64583</v>
      </c>
      <c r="B6" s="5">
        <f>IFERROR(__xludf.DUMMYFUNCTION("""COMPUTED_VALUE"""),4219.3)</f>
        <v>4219.3</v>
      </c>
      <c r="C6" s="5">
        <f>IFERROR(__xludf.DUMMYFUNCTION("""COMPUTED_VALUE"""),4250.0)</f>
        <v>4250</v>
      </c>
      <c r="D6" s="5">
        <f>IFERROR(__xludf.DUMMYFUNCTION("""COMPUTED_VALUE"""),4087.7)</f>
        <v>4087.7</v>
      </c>
      <c r="E6" s="5">
        <f>IFERROR(__xludf.DUMMYFUNCTION("""COMPUTED_VALUE"""),4098.25)</f>
        <v>4098.25</v>
      </c>
      <c r="F6" s="5">
        <f>IFERROR(__xludf.DUMMYFUNCTION("""COMPUTED_VALUE"""),1201902.0)</f>
        <v>1201902</v>
      </c>
    </row>
    <row r="7">
      <c r="A7" s="6">
        <f>IFERROR(__xludf.DUMMYFUNCTION("""COMPUTED_VALUE"""),45205.64583333333)</f>
        <v>45205.64583</v>
      </c>
      <c r="B7" s="5">
        <f>IFERROR(__xludf.DUMMYFUNCTION("""COMPUTED_VALUE"""),4103.95)</f>
        <v>4103.95</v>
      </c>
      <c r="C7" s="5">
        <f>IFERROR(__xludf.DUMMYFUNCTION("""COMPUTED_VALUE"""),4149.95)</f>
        <v>4149.95</v>
      </c>
      <c r="D7" s="5">
        <f>IFERROR(__xludf.DUMMYFUNCTION("""COMPUTED_VALUE"""),3978.35)</f>
        <v>3978.35</v>
      </c>
      <c r="E7" s="5">
        <f>IFERROR(__xludf.DUMMYFUNCTION("""COMPUTED_VALUE"""),4133.1)</f>
        <v>4133.1</v>
      </c>
      <c r="F7" s="5">
        <f>IFERROR(__xludf.DUMMYFUNCTION("""COMPUTED_VALUE"""),1260413.0)</f>
        <v>1260413</v>
      </c>
    </row>
    <row r="8">
      <c r="A8" s="6">
        <f>IFERROR(__xludf.DUMMYFUNCTION("""COMPUTED_VALUE"""),45212.64583333333)</f>
        <v>45212.64583</v>
      </c>
      <c r="B8" s="5">
        <f>IFERROR(__xludf.DUMMYFUNCTION("""COMPUTED_VALUE"""),4122.1)</f>
        <v>4122.1</v>
      </c>
      <c r="C8" s="5">
        <f>IFERROR(__xludf.DUMMYFUNCTION("""COMPUTED_VALUE"""),4236.95)</f>
        <v>4236.95</v>
      </c>
      <c r="D8" s="5">
        <f>IFERROR(__xludf.DUMMYFUNCTION("""COMPUTED_VALUE"""),4060.0)</f>
        <v>4060</v>
      </c>
      <c r="E8" s="5">
        <f>IFERROR(__xludf.DUMMYFUNCTION("""COMPUTED_VALUE"""),4229.2)</f>
        <v>4229.2</v>
      </c>
      <c r="F8" s="5">
        <f>IFERROR(__xludf.DUMMYFUNCTION("""COMPUTED_VALUE"""),922542.0)</f>
        <v>922542</v>
      </c>
    </row>
    <row r="9">
      <c r="A9" s="6">
        <f>IFERROR(__xludf.DUMMYFUNCTION("""COMPUTED_VALUE"""),45219.64583333333)</f>
        <v>45219.64583</v>
      </c>
      <c r="B9" s="5">
        <f>IFERROR(__xludf.DUMMYFUNCTION("""COMPUTED_VALUE"""),4239.95)</f>
        <v>4239.95</v>
      </c>
      <c r="C9" s="5">
        <f>IFERROR(__xludf.DUMMYFUNCTION("""COMPUTED_VALUE"""),4339.4)</f>
        <v>4339.4</v>
      </c>
      <c r="D9" s="5">
        <f>IFERROR(__xludf.DUMMYFUNCTION("""COMPUTED_VALUE"""),4001.0)</f>
        <v>4001</v>
      </c>
      <c r="E9" s="5">
        <f>IFERROR(__xludf.DUMMYFUNCTION("""COMPUTED_VALUE"""),4015.3)</f>
        <v>4015.3</v>
      </c>
      <c r="F9" s="5">
        <f>IFERROR(__xludf.DUMMYFUNCTION("""COMPUTED_VALUE"""),1610537.0)</f>
        <v>1610537</v>
      </c>
    </row>
    <row r="10">
      <c r="A10" s="6">
        <f>IFERROR(__xludf.DUMMYFUNCTION("""COMPUTED_VALUE"""),45226.64583333333)</f>
        <v>45226.64583</v>
      </c>
      <c r="B10" s="5">
        <f>IFERROR(__xludf.DUMMYFUNCTION("""COMPUTED_VALUE"""),4021.7)</f>
        <v>4021.7</v>
      </c>
      <c r="C10" s="5">
        <f>IFERROR(__xludf.DUMMYFUNCTION("""COMPUTED_VALUE"""),4085.5)</f>
        <v>4085.5</v>
      </c>
      <c r="D10" s="5">
        <f>IFERROR(__xludf.DUMMYFUNCTION("""COMPUTED_VALUE"""),3850.0)</f>
        <v>3850</v>
      </c>
      <c r="E10" s="5">
        <f>IFERROR(__xludf.DUMMYFUNCTION("""COMPUTED_VALUE"""),4008.5)</f>
        <v>4008.5</v>
      </c>
      <c r="F10" s="5">
        <f>IFERROR(__xludf.DUMMYFUNCTION("""COMPUTED_VALUE"""),988722.0)</f>
        <v>988722</v>
      </c>
    </row>
    <row r="11">
      <c r="A11" s="6">
        <f>IFERROR(__xludf.DUMMYFUNCTION("""COMPUTED_VALUE"""),45233.64583333333)</f>
        <v>45233.64583</v>
      </c>
      <c r="B11" s="5">
        <f>IFERROR(__xludf.DUMMYFUNCTION("""COMPUTED_VALUE"""),4036.6)</f>
        <v>4036.6</v>
      </c>
      <c r="C11" s="5">
        <f>IFERROR(__xludf.DUMMYFUNCTION("""COMPUTED_VALUE"""),4180.0)</f>
        <v>4180</v>
      </c>
      <c r="D11" s="5">
        <f>IFERROR(__xludf.DUMMYFUNCTION("""COMPUTED_VALUE"""),3990.55)</f>
        <v>3990.55</v>
      </c>
      <c r="E11" s="5">
        <f>IFERROR(__xludf.DUMMYFUNCTION("""COMPUTED_VALUE"""),4167.5)</f>
        <v>4167.5</v>
      </c>
      <c r="F11" s="5">
        <f>IFERROR(__xludf.DUMMYFUNCTION("""COMPUTED_VALUE"""),861081.0)</f>
        <v>861081</v>
      </c>
    </row>
    <row r="12">
      <c r="A12" s="6">
        <f>IFERROR(__xludf.DUMMYFUNCTION("""COMPUTED_VALUE"""),45240.64583333333)</f>
        <v>45240.64583</v>
      </c>
      <c r="B12" s="5">
        <f>IFERROR(__xludf.DUMMYFUNCTION("""COMPUTED_VALUE"""),4195.0)</f>
        <v>4195</v>
      </c>
      <c r="C12" s="5">
        <f>IFERROR(__xludf.DUMMYFUNCTION("""COMPUTED_VALUE"""),4382.95)</f>
        <v>4382.95</v>
      </c>
      <c r="D12" s="5">
        <f>IFERROR(__xludf.DUMMYFUNCTION("""COMPUTED_VALUE"""),4141.3)</f>
        <v>4141.3</v>
      </c>
      <c r="E12" s="5">
        <f>IFERROR(__xludf.DUMMYFUNCTION("""COMPUTED_VALUE"""),4239.3)</f>
        <v>4239.3</v>
      </c>
      <c r="F12" s="5">
        <f>IFERROR(__xludf.DUMMYFUNCTION("""COMPUTED_VALUE"""),1733608.0)</f>
        <v>1733608</v>
      </c>
    </row>
    <row r="13">
      <c r="A13" s="6">
        <f>IFERROR(__xludf.DUMMYFUNCTION("""COMPUTED_VALUE"""),45247.64583333333)</f>
        <v>45247.64583</v>
      </c>
      <c r="B13" s="5">
        <f>IFERROR(__xludf.DUMMYFUNCTION("""COMPUTED_VALUE"""),4265.95)</f>
        <v>4265.95</v>
      </c>
      <c r="C13" s="5">
        <f>IFERROR(__xludf.DUMMYFUNCTION("""COMPUTED_VALUE"""),4307.85)</f>
        <v>4307.85</v>
      </c>
      <c r="D13" s="5">
        <f>IFERROR(__xludf.DUMMYFUNCTION("""COMPUTED_VALUE"""),4202.55)</f>
        <v>4202.55</v>
      </c>
      <c r="E13" s="5">
        <f>IFERROR(__xludf.DUMMYFUNCTION("""COMPUTED_VALUE"""),4285.05)</f>
        <v>4285.05</v>
      </c>
      <c r="F13" s="5">
        <f>IFERROR(__xludf.DUMMYFUNCTION("""COMPUTED_VALUE"""),536624.0)</f>
        <v>536624</v>
      </c>
    </row>
    <row r="14">
      <c r="A14" s="6">
        <f>IFERROR(__xludf.DUMMYFUNCTION("""COMPUTED_VALUE"""),45254.64583333333)</f>
        <v>45254.64583</v>
      </c>
      <c r="B14" s="5">
        <f>IFERROR(__xludf.DUMMYFUNCTION("""COMPUTED_VALUE"""),4316.0)</f>
        <v>4316</v>
      </c>
      <c r="C14" s="5">
        <f>IFERROR(__xludf.DUMMYFUNCTION("""COMPUTED_VALUE"""),4429.9)</f>
        <v>4429.9</v>
      </c>
      <c r="D14" s="5">
        <f>IFERROR(__xludf.DUMMYFUNCTION("""COMPUTED_VALUE"""),4220.0)</f>
        <v>4220</v>
      </c>
      <c r="E14" s="5">
        <f>IFERROR(__xludf.DUMMYFUNCTION("""COMPUTED_VALUE"""),4262.35)</f>
        <v>4262.35</v>
      </c>
      <c r="F14" s="5">
        <f>IFERROR(__xludf.DUMMYFUNCTION("""COMPUTED_VALUE"""),964840.0)</f>
        <v>964840</v>
      </c>
    </row>
    <row r="15">
      <c r="A15" s="6">
        <f>IFERROR(__xludf.DUMMYFUNCTION("""COMPUTED_VALUE"""),45261.64583333333)</f>
        <v>45261.64583</v>
      </c>
      <c r="B15" s="5">
        <f>IFERROR(__xludf.DUMMYFUNCTION("""COMPUTED_VALUE"""),4289.0)</f>
        <v>4289</v>
      </c>
      <c r="C15" s="5">
        <f>IFERROR(__xludf.DUMMYFUNCTION("""COMPUTED_VALUE"""),4465.0)</f>
        <v>4465</v>
      </c>
      <c r="D15" s="5">
        <f>IFERROR(__xludf.DUMMYFUNCTION("""COMPUTED_VALUE"""),4195.55)</f>
        <v>4195.55</v>
      </c>
      <c r="E15" s="5">
        <f>IFERROR(__xludf.DUMMYFUNCTION("""COMPUTED_VALUE"""),4387.25)</f>
        <v>4387.25</v>
      </c>
      <c r="F15" s="5">
        <f>IFERROR(__xludf.DUMMYFUNCTION("""COMPUTED_VALUE"""),972440.0)</f>
        <v>972440</v>
      </c>
    </row>
    <row r="16">
      <c r="A16" s="6">
        <f>IFERROR(__xludf.DUMMYFUNCTION("""COMPUTED_VALUE"""),45268.64583333333)</f>
        <v>45268.64583</v>
      </c>
      <c r="B16" s="5">
        <f>IFERROR(__xludf.DUMMYFUNCTION("""COMPUTED_VALUE"""),4419.75)</f>
        <v>4419.75</v>
      </c>
      <c r="C16" s="5">
        <f>IFERROR(__xludf.DUMMYFUNCTION("""COMPUTED_VALUE"""),4885.45)</f>
        <v>4885.45</v>
      </c>
      <c r="D16" s="5">
        <f>IFERROR(__xludf.DUMMYFUNCTION("""COMPUTED_VALUE"""),4419.1)</f>
        <v>4419.1</v>
      </c>
      <c r="E16" s="5">
        <f>IFERROR(__xludf.DUMMYFUNCTION("""COMPUTED_VALUE"""),4746.8)</f>
        <v>4746.8</v>
      </c>
      <c r="F16" s="5">
        <f>IFERROR(__xludf.DUMMYFUNCTION("""COMPUTED_VALUE"""),2317852.0)</f>
        <v>2317852</v>
      </c>
    </row>
    <row r="17">
      <c r="A17" s="6">
        <f>IFERROR(__xludf.DUMMYFUNCTION("""COMPUTED_VALUE"""),45275.64583333333)</f>
        <v>45275.64583</v>
      </c>
      <c r="B17" s="5">
        <f>IFERROR(__xludf.DUMMYFUNCTION("""COMPUTED_VALUE"""),4778.0)</f>
        <v>4778</v>
      </c>
      <c r="C17" s="5">
        <f>IFERROR(__xludf.DUMMYFUNCTION("""COMPUTED_VALUE"""),4929.55)</f>
        <v>4929.55</v>
      </c>
      <c r="D17" s="5">
        <f>IFERROR(__xludf.DUMMYFUNCTION("""COMPUTED_VALUE"""),4675.05)</f>
        <v>4675.05</v>
      </c>
      <c r="E17" s="5">
        <f>IFERROR(__xludf.DUMMYFUNCTION("""COMPUTED_VALUE"""),4835.1)</f>
        <v>4835.1</v>
      </c>
      <c r="F17" s="5">
        <f>IFERROR(__xludf.DUMMYFUNCTION("""COMPUTED_VALUE"""),1038728.0)</f>
        <v>1038728</v>
      </c>
    </row>
    <row r="18">
      <c r="A18" s="6">
        <f>IFERROR(__xludf.DUMMYFUNCTION("""COMPUTED_VALUE"""),45282.64583333333)</f>
        <v>45282.64583</v>
      </c>
      <c r="B18" s="5">
        <f>IFERROR(__xludf.DUMMYFUNCTION("""COMPUTED_VALUE"""),4834.0)</f>
        <v>4834</v>
      </c>
      <c r="C18" s="5">
        <f>IFERROR(__xludf.DUMMYFUNCTION("""COMPUTED_VALUE"""),4957.0)</f>
        <v>4957</v>
      </c>
      <c r="D18" s="5">
        <f>IFERROR(__xludf.DUMMYFUNCTION("""COMPUTED_VALUE"""),4529.1)</f>
        <v>4529.1</v>
      </c>
      <c r="E18" s="5">
        <f>IFERROR(__xludf.DUMMYFUNCTION("""COMPUTED_VALUE"""),4759.0)</f>
        <v>4759</v>
      </c>
      <c r="F18" s="5">
        <f>IFERROR(__xludf.DUMMYFUNCTION("""COMPUTED_VALUE"""),1274576.0)</f>
        <v>1274576</v>
      </c>
    </row>
    <row r="19">
      <c r="A19" s="6">
        <f>IFERROR(__xludf.DUMMYFUNCTION("""COMPUTED_VALUE"""),45289.64583333333)</f>
        <v>45289.64583</v>
      </c>
      <c r="B19" s="5">
        <f>IFERROR(__xludf.DUMMYFUNCTION("""COMPUTED_VALUE"""),4771.35)</f>
        <v>4771.35</v>
      </c>
      <c r="C19" s="5">
        <f>IFERROR(__xludf.DUMMYFUNCTION("""COMPUTED_VALUE"""),4824.0)</f>
        <v>4824</v>
      </c>
      <c r="D19" s="5">
        <f>IFERROR(__xludf.DUMMYFUNCTION("""COMPUTED_VALUE"""),4618.6)</f>
        <v>4618.6</v>
      </c>
      <c r="E19" s="5">
        <f>IFERROR(__xludf.DUMMYFUNCTION("""COMPUTED_VALUE"""),4674.85)</f>
        <v>4674.85</v>
      </c>
      <c r="F19" s="5">
        <f>IFERROR(__xludf.DUMMYFUNCTION("""COMPUTED_VALUE"""),912372.0)</f>
        <v>912372</v>
      </c>
    </row>
    <row r="20">
      <c r="A20" s="6">
        <f>IFERROR(__xludf.DUMMYFUNCTION("""COMPUTED_VALUE"""),45296.64583333333)</f>
        <v>45296.64583</v>
      </c>
      <c r="B20" s="5">
        <f>IFERROR(__xludf.DUMMYFUNCTION("""COMPUTED_VALUE"""),4674.85)</f>
        <v>4674.85</v>
      </c>
      <c r="C20" s="5">
        <f>IFERROR(__xludf.DUMMYFUNCTION("""COMPUTED_VALUE"""),4900.0)</f>
        <v>4900</v>
      </c>
      <c r="D20" s="5">
        <f>IFERROR(__xludf.DUMMYFUNCTION("""COMPUTED_VALUE"""),4600.0)</f>
        <v>4600</v>
      </c>
      <c r="E20" s="5">
        <f>IFERROR(__xludf.DUMMYFUNCTION("""COMPUTED_VALUE"""),4832.35)</f>
        <v>4832.35</v>
      </c>
      <c r="F20" s="5">
        <f>IFERROR(__xludf.DUMMYFUNCTION("""COMPUTED_VALUE"""),940861.0)</f>
        <v>940861</v>
      </c>
    </row>
    <row r="21">
      <c r="A21" s="6">
        <f>IFERROR(__xludf.DUMMYFUNCTION("""COMPUTED_VALUE"""),45303.64583333333)</f>
        <v>45303.64583</v>
      </c>
      <c r="B21" s="5">
        <f>IFERROR(__xludf.DUMMYFUNCTION("""COMPUTED_VALUE"""),4856.0)</f>
        <v>4856</v>
      </c>
      <c r="C21" s="5">
        <f>IFERROR(__xludf.DUMMYFUNCTION("""COMPUTED_VALUE"""),4990.05)</f>
        <v>4990.05</v>
      </c>
      <c r="D21" s="5">
        <f>IFERROR(__xludf.DUMMYFUNCTION("""COMPUTED_VALUE"""),4740.0)</f>
        <v>4740</v>
      </c>
      <c r="E21" s="5">
        <f>IFERROR(__xludf.DUMMYFUNCTION("""COMPUTED_VALUE"""),4783.95)</f>
        <v>4783.95</v>
      </c>
      <c r="F21" s="5">
        <f>IFERROR(__xludf.DUMMYFUNCTION("""COMPUTED_VALUE"""),1106229.0)</f>
        <v>1106229</v>
      </c>
    </row>
    <row r="22">
      <c r="A22" s="6">
        <f>IFERROR(__xludf.DUMMYFUNCTION("""COMPUTED_VALUE"""),45316.64583333333)</f>
        <v>45316.64583</v>
      </c>
      <c r="B22" s="5">
        <f>IFERROR(__xludf.DUMMYFUNCTION("""COMPUTED_VALUE"""),4750.95)</f>
        <v>4750.95</v>
      </c>
      <c r="C22" s="5">
        <f>IFERROR(__xludf.DUMMYFUNCTION("""COMPUTED_VALUE"""),4897.0)</f>
        <v>4897</v>
      </c>
      <c r="D22" s="5">
        <f>IFERROR(__xludf.DUMMYFUNCTION("""COMPUTED_VALUE"""),4613.8)</f>
        <v>4613.8</v>
      </c>
      <c r="E22" s="5">
        <f>IFERROR(__xludf.DUMMYFUNCTION("""COMPUTED_VALUE"""),4739.3)</f>
        <v>4739.3</v>
      </c>
      <c r="F22" s="5">
        <f>IFERROR(__xludf.DUMMYFUNCTION("""COMPUTED_VALUE"""),756742.0)</f>
        <v>756742</v>
      </c>
    </row>
    <row r="23">
      <c r="A23" s="6">
        <f>IFERROR(__xludf.DUMMYFUNCTION("""COMPUTED_VALUE"""),45324.64583333333)</f>
        <v>45324.64583</v>
      </c>
      <c r="B23" s="5">
        <f>IFERROR(__xludf.DUMMYFUNCTION("""COMPUTED_VALUE"""),4751.0)</f>
        <v>4751</v>
      </c>
      <c r="C23" s="5">
        <f>IFERROR(__xludf.DUMMYFUNCTION("""COMPUTED_VALUE"""),4860.0)</f>
        <v>4860</v>
      </c>
      <c r="D23" s="5">
        <f>IFERROR(__xludf.DUMMYFUNCTION("""COMPUTED_VALUE"""),4340.3)</f>
        <v>4340.3</v>
      </c>
      <c r="E23" s="5">
        <f>IFERROR(__xludf.DUMMYFUNCTION("""COMPUTED_VALUE"""),4480.45)</f>
        <v>4480.45</v>
      </c>
      <c r="F23" s="5">
        <f>IFERROR(__xludf.DUMMYFUNCTION("""COMPUTED_VALUE"""),1674757.0)</f>
        <v>1674757</v>
      </c>
    </row>
    <row r="24">
      <c r="A24" s="6">
        <f>IFERROR(__xludf.DUMMYFUNCTION("""COMPUTED_VALUE"""),45331.64583333333)</f>
        <v>45331.64583</v>
      </c>
      <c r="B24" s="5">
        <f>IFERROR(__xludf.DUMMYFUNCTION("""COMPUTED_VALUE"""),4500.0)</f>
        <v>4500</v>
      </c>
      <c r="C24" s="5">
        <f>IFERROR(__xludf.DUMMYFUNCTION("""COMPUTED_VALUE"""),4629.3)</f>
        <v>4629.3</v>
      </c>
      <c r="D24" s="5">
        <f>IFERROR(__xludf.DUMMYFUNCTION("""COMPUTED_VALUE"""),4343.75)</f>
        <v>4343.75</v>
      </c>
      <c r="E24" s="5">
        <f>IFERROR(__xludf.DUMMYFUNCTION("""COMPUTED_VALUE"""),4489.45)</f>
        <v>4489.45</v>
      </c>
      <c r="F24" s="5">
        <f>IFERROR(__xludf.DUMMYFUNCTION("""COMPUTED_VALUE"""),1085749.0)</f>
        <v>1085749</v>
      </c>
    </row>
    <row r="25">
      <c r="A25" s="6">
        <f>IFERROR(__xludf.DUMMYFUNCTION("""COMPUTED_VALUE"""),45338.64583333333)</f>
        <v>45338.64583</v>
      </c>
      <c r="B25" s="5">
        <f>IFERROR(__xludf.DUMMYFUNCTION("""COMPUTED_VALUE"""),4484.9)</f>
        <v>4484.9</v>
      </c>
      <c r="C25" s="5">
        <f>IFERROR(__xludf.DUMMYFUNCTION("""COMPUTED_VALUE"""),4621.1)</f>
        <v>4621.1</v>
      </c>
      <c r="D25" s="5">
        <f>IFERROR(__xludf.DUMMYFUNCTION("""COMPUTED_VALUE"""),4375.8)</f>
        <v>4375.8</v>
      </c>
      <c r="E25" s="5">
        <f>IFERROR(__xludf.DUMMYFUNCTION("""COMPUTED_VALUE"""),4524.15)</f>
        <v>4524.15</v>
      </c>
      <c r="F25" s="5">
        <f>IFERROR(__xludf.DUMMYFUNCTION("""COMPUTED_VALUE"""),1283549.0)</f>
        <v>1283549</v>
      </c>
    </row>
    <row r="26">
      <c r="A26" s="6">
        <f>IFERROR(__xludf.DUMMYFUNCTION("""COMPUTED_VALUE"""),45345.64583333333)</f>
        <v>45345.64583</v>
      </c>
      <c r="B26" s="5">
        <f>IFERROR(__xludf.DUMMYFUNCTION("""COMPUTED_VALUE"""),4540.0)</f>
        <v>4540</v>
      </c>
      <c r="C26" s="5">
        <f>IFERROR(__xludf.DUMMYFUNCTION("""COMPUTED_VALUE"""),5518.1)</f>
        <v>5518.1</v>
      </c>
      <c r="D26" s="5">
        <f>IFERROR(__xludf.DUMMYFUNCTION("""COMPUTED_VALUE"""),4449.15)</f>
        <v>4449.15</v>
      </c>
      <c r="E26" s="5">
        <f>IFERROR(__xludf.DUMMYFUNCTION("""COMPUTED_VALUE"""),5392.05)</f>
        <v>5392.05</v>
      </c>
      <c r="F26" s="5">
        <f>IFERROR(__xludf.DUMMYFUNCTION("""COMPUTED_VALUE"""),1.0530469E7)</f>
        <v>10530469</v>
      </c>
    </row>
    <row r="27">
      <c r="A27" s="6">
        <f>IFERROR(__xludf.DUMMYFUNCTION("""COMPUTED_VALUE"""),45358.64583333333)</f>
        <v>45358.64583</v>
      </c>
      <c r="B27" s="5">
        <f>IFERROR(__xludf.DUMMYFUNCTION("""COMPUTED_VALUE"""),5490.0)</f>
        <v>5490</v>
      </c>
      <c r="C27" s="5">
        <f>IFERROR(__xludf.DUMMYFUNCTION("""COMPUTED_VALUE"""),5792.0)</f>
        <v>5792</v>
      </c>
      <c r="D27" s="5">
        <f>IFERROR(__xludf.DUMMYFUNCTION("""COMPUTED_VALUE"""),5488.85)</f>
        <v>5488.85</v>
      </c>
      <c r="E27" s="5">
        <f>IFERROR(__xludf.DUMMYFUNCTION("""COMPUTED_VALUE"""),5770.75)</f>
        <v>5770.75</v>
      </c>
      <c r="F27" s="5">
        <f>IFERROR(__xludf.DUMMYFUNCTION("""COMPUTED_VALUE"""),1515279.0)</f>
        <v>1515279</v>
      </c>
    </row>
    <row r="28">
      <c r="A28" s="6">
        <f>IFERROR(__xludf.DUMMYFUNCTION("""COMPUTED_VALUE"""),45366.64583333333)</f>
        <v>45366.64583</v>
      </c>
      <c r="B28" s="5">
        <f>IFERROR(__xludf.DUMMYFUNCTION("""COMPUTED_VALUE"""),5801.05)</f>
        <v>5801.05</v>
      </c>
      <c r="C28" s="5">
        <f>IFERROR(__xludf.DUMMYFUNCTION("""COMPUTED_VALUE"""),5933.9)</f>
        <v>5933.9</v>
      </c>
      <c r="D28" s="5">
        <f>IFERROR(__xludf.DUMMYFUNCTION("""COMPUTED_VALUE"""),5520.0)</f>
        <v>5520</v>
      </c>
      <c r="E28" s="5">
        <f>IFERROR(__xludf.DUMMYFUNCTION("""COMPUTED_VALUE"""),5616.55)</f>
        <v>5616.55</v>
      </c>
      <c r="F28" s="5">
        <f>IFERROR(__xludf.DUMMYFUNCTION("""COMPUTED_VALUE"""),2623491.0)</f>
        <v>2623491</v>
      </c>
    </row>
    <row r="29">
      <c r="A29" s="6">
        <f>IFERROR(__xludf.DUMMYFUNCTION("""COMPUTED_VALUE"""),45373.64583333333)</f>
        <v>45373.64583</v>
      </c>
      <c r="B29" s="5">
        <f>IFERROR(__xludf.DUMMYFUNCTION("""COMPUTED_VALUE"""),5645.0)</f>
        <v>5645</v>
      </c>
      <c r="C29" s="5">
        <f>IFERROR(__xludf.DUMMYFUNCTION("""COMPUTED_VALUE"""),6034.05)</f>
        <v>6034.05</v>
      </c>
      <c r="D29" s="5">
        <f>IFERROR(__xludf.DUMMYFUNCTION("""COMPUTED_VALUE"""),5560.0)</f>
        <v>5560</v>
      </c>
      <c r="E29" s="5">
        <f>IFERROR(__xludf.DUMMYFUNCTION("""COMPUTED_VALUE"""),5967.4)</f>
        <v>5967.4</v>
      </c>
      <c r="F29" s="5">
        <f>IFERROR(__xludf.DUMMYFUNCTION("""COMPUTED_VALUE"""),1720350.0)</f>
        <v>1720350</v>
      </c>
    </row>
    <row r="30">
      <c r="A30" s="6">
        <f>IFERROR(__xludf.DUMMYFUNCTION("""COMPUTED_VALUE"""),45379.64583333333)</f>
        <v>45379.64583</v>
      </c>
      <c r="B30" s="5">
        <f>IFERROR(__xludf.DUMMYFUNCTION("""COMPUTED_VALUE"""),5881.0)</f>
        <v>5881</v>
      </c>
      <c r="C30" s="5">
        <f>IFERROR(__xludf.DUMMYFUNCTION("""COMPUTED_VALUE"""),6471.95)</f>
        <v>6471.95</v>
      </c>
      <c r="D30" s="5">
        <f>IFERROR(__xludf.DUMMYFUNCTION("""COMPUTED_VALUE"""),5875.3)</f>
        <v>5875.3</v>
      </c>
      <c r="E30" s="5">
        <f>IFERROR(__xludf.DUMMYFUNCTION("""COMPUTED_VALUE"""),6360.85)</f>
        <v>6360.85</v>
      </c>
      <c r="F30" s="5">
        <f>IFERROR(__xludf.DUMMYFUNCTION("""COMPUTED_VALUE"""),2337528.0)</f>
        <v>2337528</v>
      </c>
    </row>
    <row r="31">
      <c r="A31" s="6">
        <f>IFERROR(__xludf.DUMMYFUNCTION("""COMPUTED_VALUE"""),45387.64583333333)</f>
        <v>45387.64583</v>
      </c>
      <c r="B31" s="5">
        <f>IFERROR(__xludf.DUMMYFUNCTION("""COMPUTED_VALUE"""),6422.45)</f>
        <v>6422.45</v>
      </c>
      <c r="C31" s="5">
        <f>IFERROR(__xludf.DUMMYFUNCTION("""COMPUTED_VALUE"""),6683.7)</f>
        <v>6683.7</v>
      </c>
      <c r="D31" s="5">
        <f>IFERROR(__xludf.DUMMYFUNCTION("""COMPUTED_VALUE"""),6372.65)</f>
        <v>6372.65</v>
      </c>
      <c r="E31" s="5">
        <f>IFERROR(__xludf.DUMMYFUNCTION("""COMPUTED_VALUE"""),6669.85)</f>
        <v>6669.85</v>
      </c>
      <c r="F31" s="5">
        <f>IFERROR(__xludf.DUMMYFUNCTION("""COMPUTED_VALUE"""),1601312.0)</f>
        <v>1601312</v>
      </c>
    </row>
    <row r="32">
      <c r="A32" s="6">
        <f>IFERROR(__xludf.DUMMYFUNCTION("""COMPUTED_VALUE"""),45394.64583333333)</f>
        <v>45394.64583</v>
      </c>
      <c r="B32" s="5">
        <f>IFERROR(__xludf.DUMMYFUNCTION("""COMPUTED_VALUE"""),6670.0)</f>
        <v>6670</v>
      </c>
      <c r="C32" s="5">
        <f>IFERROR(__xludf.DUMMYFUNCTION("""COMPUTED_VALUE"""),6773.1)</f>
        <v>6773.1</v>
      </c>
      <c r="D32" s="5">
        <f>IFERROR(__xludf.DUMMYFUNCTION("""COMPUTED_VALUE"""),6495.65)</f>
        <v>6495.65</v>
      </c>
      <c r="E32" s="5">
        <f>IFERROR(__xludf.DUMMYFUNCTION("""COMPUTED_VALUE"""),6752.95)</f>
        <v>6752.95</v>
      </c>
      <c r="F32" s="5">
        <f>IFERROR(__xludf.DUMMYFUNCTION("""COMPUTED_VALUE"""),1148959.0)</f>
        <v>1148959</v>
      </c>
    </row>
    <row r="33">
      <c r="A33" s="6">
        <f>IFERROR(__xludf.DUMMYFUNCTION("""COMPUTED_VALUE"""),45401.64583333333)</f>
        <v>45401.64583</v>
      </c>
      <c r="B33" s="5">
        <f>IFERROR(__xludf.DUMMYFUNCTION("""COMPUTED_VALUE"""),6660.0)</f>
        <v>6660</v>
      </c>
      <c r="C33" s="5">
        <f>IFERROR(__xludf.DUMMYFUNCTION("""COMPUTED_VALUE"""),6729.05)</f>
        <v>6729.05</v>
      </c>
      <c r="D33" s="5">
        <f>IFERROR(__xludf.DUMMYFUNCTION("""COMPUTED_VALUE"""),6245.0)</f>
        <v>6245</v>
      </c>
      <c r="E33" s="5">
        <f>IFERROR(__xludf.DUMMYFUNCTION("""COMPUTED_VALUE"""),6292.6)</f>
        <v>6292.6</v>
      </c>
      <c r="F33" s="5">
        <f>IFERROR(__xludf.DUMMYFUNCTION("""COMPUTED_VALUE"""),1929931.0)</f>
        <v>1929931</v>
      </c>
    </row>
    <row r="34">
      <c r="A34" s="6">
        <f>IFERROR(__xludf.DUMMYFUNCTION("""COMPUTED_VALUE"""),45408.64583333333)</f>
        <v>45408.64583</v>
      </c>
      <c r="B34" s="5">
        <f>IFERROR(__xludf.DUMMYFUNCTION("""COMPUTED_VALUE"""),6375.0)</f>
        <v>6375</v>
      </c>
      <c r="C34" s="5">
        <f>IFERROR(__xludf.DUMMYFUNCTION("""COMPUTED_VALUE"""),6569.8)</f>
        <v>6569.8</v>
      </c>
      <c r="D34" s="5">
        <f>IFERROR(__xludf.DUMMYFUNCTION("""COMPUTED_VALUE"""),6295.4)</f>
        <v>6295.4</v>
      </c>
      <c r="E34" s="5">
        <f>IFERROR(__xludf.DUMMYFUNCTION("""COMPUTED_VALUE"""),6410.45)</f>
        <v>6410.45</v>
      </c>
      <c r="F34" s="5">
        <f>IFERROR(__xludf.DUMMYFUNCTION("""COMPUTED_VALUE"""),1599853.0)</f>
        <v>1599853</v>
      </c>
    </row>
    <row r="35">
      <c r="A35" s="6">
        <f>IFERROR(__xludf.DUMMYFUNCTION("""COMPUTED_VALUE"""),45415.64583333333)</f>
        <v>45415.64583</v>
      </c>
      <c r="B35" s="5">
        <f>IFERROR(__xludf.DUMMYFUNCTION("""COMPUTED_VALUE"""),6460.6)</f>
        <v>6460.6</v>
      </c>
      <c r="C35" s="5">
        <f>IFERROR(__xludf.DUMMYFUNCTION("""COMPUTED_VALUE"""),6790.0)</f>
        <v>6790</v>
      </c>
      <c r="D35" s="5">
        <f>IFERROR(__xludf.DUMMYFUNCTION("""COMPUTED_VALUE"""),6349.2)</f>
        <v>6349.2</v>
      </c>
      <c r="E35" s="5">
        <f>IFERROR(__xludf.DUMMYFUNCTION("""COMPUTED_VALUE"""),6698.55)</f>
        <v>6698.55</v>
      </c>
      <c r="F35" s="5">
        <f>IFERROR(__xludf.DUMMYFUNCTION("""COMPUTED_VALUE"""),1208418.0)</f>
        <v>1208418</v>
      </c>
    </row>
    <row r="36">
      <c r="A36" s="6">
        <f>IFERROR(__xludf.DUMMYFUNCTION("""COMPUTED_VALUE"""),45422.64583333333)</f>
        <v>45422.64583</v>
      </c>
      <c r="B36" s="5">
        <f>IFERROR(__xludf.DUMMYFUNCTION("""COMPUTED_VALUE"""),6710.0)</f>
        <v>6710</v>
      </c>
      <c r="C36" s="5">
        <f>IFERROR(__xludf.DUMMYFUNCTION("""COMPUTED_VALUE"""),7218.0)</f>
        <v>7218</v>
      </c>
      <c r="D36" s="5">
        <f>IFERROR(__xludf.DUMMYFUNCTION("""COMPUTED_VALUE"""),6710.0)</f>
        <v>6710</v>
      </c>
      <c r="E36" s="5">
        <f>IFERROR(__xludf.DUMMYFUNCTION("""COMPUTED_VALUE"""),7178.35)</f>
        <v>7178.35</v>
      </c>
      <c r="F36" s="5">
        <f>IFERROR(__xludf.DUMMYFUNCTION("""COMPUTED_VALUE"""),2541595.0)</f>
        <v>2541595</v>
      </c>
    </row>
    <row r="37">
      <c r="A37" s="6">
        <f>IFERROR(__xludf.DUMMYFUNCTION("""COMPUTED_VALUE"""),45436.64583333333)</f>
        <v>45436.64583</v>
      </c>
      <c r="B37" s="5">
        <f>IFERROR(__xludf.DUMMYFUNCTION("""COMPUTED_VALUE"""),8350.0)</f>
        <v>8350</v>
      </c>
      <c r="C37" s="5">
        <f>IFERROR(__xludf.DUMMYFUNCTION("""COMPUTED_VALUE"""),8599.8)</f>
        <v>8599.8</v>
      </c>
      <c r="D37" s="5">
        <f>IFERROR(__xludf.DUMMYFUNCTION("""COMPUTED_VALUE"""),8350.0)</f>
        <v>8350</v>
      </c>
      <c r="E37" s="5">
        <f>IFERROR(__xludf.DUMMYFUNCTION("""COMPUTED_VALUE"""),8422.2)</f>
        <v>8422.2</v>
      </c>
      <c r="F37" s="5">
        <f>IFERROR(__xludf.DUMMYFUNCTION("""COMPUTED_VALUE"""),1068769.0)</f>
        <v>1068769</v>
      </c>
    </row>
    <row r="38">
      <c r="A38" s="6">
        <f>IFERROR(__xludf.DUMMYFUNCTION("""COMPUTED_VALUE"""),45443.64583333333)</f>
        <v>45443.64583</v>
      </c>
      <c r="B38" s="5">
        <f>IFERROR(__xludf.DUMMYFUNCTION("""COMPUTED_VALUE"""),8459.95)</f>
        <v>8459.95</v>
      </c>
      <c r="C38" s="5">
        <f>IFERROR(__xludf.DUMMYFUNCTION("""COMPUTED_VALUE"""),8470.0)</f>
        <v>8470</v>
      </c>
      <c r="D38" s="5">
        <f>IFERROR(__xludf.DUMMYFUNCTION("""COMPUTED_VALUE"""),8109.15)</f>
        <v>8109.15</v>
      </c>
      <c r="E38" s="5">
        <f>IFERROR(__xludf.DUMMYFUNCTION("""COMPUTED_VALUE"""),8317.95)</f>
        <v>8317.95</v>
      </c>
      <c r="F38" s="5">
        <f>IFERROR(__xludf.DUMMYFUNCTION("""COMPUTED_VALUE"""),1620109.0)</f>
        <v>1620109</v>
      </c>
    </row>
    <row r="39">
      <c r="A39" s="6">
        <f>IFERROR(__xludf.DUMMYFUNCTION("""COMPUTED_VALUE"""),45450.64583333333)</f>
        <v>45450.64583</v>
      </c>
      <c r="B39" s="5">
        <f>IFERROR(__xludf.DUMMYFUNCTION("""COMPUTED_VALUE"""),8500.5)</f>
        <v>8500.5</v>
      </c>
      <c r="C39" s="5">
        <f>IFERROR(__xludf.DUMMYFUNCTION("""COMPUTED_VALUE"""),8765.0)</f>
        <v>8765</v>
      </c>
      <c r="D39" s="5">
        <f>IFERROR(__xludf.DUMMYFUNCTION("""COMPUTED_VALUE"""),6982.4)</f>
        <v>6982.4</v>
      </c>
      <c r="E39" s="5">
        <f>IFERROR(__xludf.DUMMYFUNCTION("""COMPUTED_VALUE"""),8073.25)</f>
        <v>8073.25</v>
      </c>
      <c r="F39" s="5">
        <f>IFERROR(__xludf.DUMMYFUNCTION("""COMPUTED_VALUE"""),3789051.0)</f>
        <v>3789051</v>
      </c>
    </row>
    <row r="40">
      <c r="A40" s="6">
        <f>IFERROR(__xludf.DUMMYFUNCTION("""COMPUTED_VALUE"""),45457.64583333333)</f>
        <v>45457.64583</v>
      </c>
      <c r="B40" s="5">
        <f>IFERROR(__xludf.DUMMYFUNCTION("""COMPUTED_VALUE"""),8178.05)</f>
        <v>8178.05</v>
      </c>
      <c r="C40" s="5">
        <f>IFERROR(__xludf.DUMMYFUNCTION("""COMPUTED_VALUE"""),9145.0)</f>
        <v>9145</v>
      </c>
      <c r="D40" s="5">
        <f>IFERROR(__xludf.DUMMYFUNCTION("""COMPUTED_VALUE"""),7994.3)</f>
        <v>7994.3</v>
      </c>
      <c r="E40" s="5">
        <f>IFERROR(__xludf.DUMMYFUNCTION("""COMPUTED_VALUE"""),9020.0)</f>
        <v>9020</v>
      </c>
      <c r="F40" s="5">
        <f>IFERROR(__xludf.DUMMYFUNCTION("""COMPUTED_VALUE"""),2770867.0)</f>
        <v>2770867</v>
      </c>
    </row>
    <row r="41">
      <c r="A41" s="6">
        <f>IFERROR(__xludf.DUMMYFUNCTION("""COMPUTED_VALUE"""),45464.64583333333)</f>
        <v>45464.64583</v>
      </c>
      <c r="B41" s="5">
        <f>IFERROR(__xludf.DUMMYFUNCTION("""COMPUTED_VALUE"""),9149.95)</f>
        <v>9149.95</v>
      </c>
      <c r="C41" s="5">
        <f>IFERROR(__xludf.DUMMYFUNCTION("""COMPUTED_VALUE"""),9149.95)</f>
        <v>9149.95</v>
      </c>
      <c r="D41" s="5">
        <f>IFERROR(__xludf.DUMMYFUNCTION("""COMPUTED_VALUE"""),8355.0)</f>
        <v>8355</v>
      </c>
      <c r="E41" s="5">
        <f>IFERROR(__xludf.DUMMYFUNCTION("""COMPUTED_VALUE"""),8399.4)</f>
        <v>8399.4</v>
      </c>
      <c r="F41" s="5">
        <f>IFERROR(__xludf.DUMMYFUNCTION("""COMPUTED_VALUE"""),1847215.0)</f>
        <v>1847215</v>
      </c>
    </row>
    <row r="42">
      <c r="A42" s="6">
        <f>IFERROR(__xludf.DUMMYFUNCTION("""COMPUTED_VALUE"""),45471.64583333333)</f>
        <v>45471.64583</v>
      </c>
      <c r="B42" s="5">
        <f>IFERROR(__xludf.DUMMYFUNCTION("""COMPUTED_VALUE"""),8389.05)</f>
        <v>8389.05</v>
      </c>
      <c r="C42" s="5">
        <f>IFERROR(__xludf.DUMMYFUNCTION("""COMPUTED_VALUE"""),8720.15)</f>
        <v>8720.15</v>
      </c>
      <c r="D42" s="5">
        <f>IFERROR(__xludf.DUMMYFUNCTION("""COMPUTED_VALUE"""),8235.7)</f>
        <v>8235.7</v>
      </c>
      <c r="E42" s="5">
        <f>IFERROR(__xludf.DUMMYFUNCTION("""COMPUTED_VALUE"""),8490.9)</f>
        <v>8490.9</v>
      </c>
      <c r="F42" s="5">
        <f>IFERROR(__xludf.DUMMYFUNCTION("""COMPUTED_VALUE"""),2071256.0)</f>
        <v>2071256</v>
      </c>
    </row>
    <row r="43">
      <c r="A43" s="6">
        <f>IFERROR(__xludf.DUMMYFUNCTION("""COMPUTED_VALUE"""),45478.64583333333)</f>
        <v>45478.64583</v>
      </c>
      <c r="B43" s="5">
        <f>IFERROR(__xludf.DUMMYFUNCTION("""COMPUTED_VALUE"""),8490.9)</f>
        <v>8490.9</v>
      </c>
      <c r="C43" s="5">
        <f>IFERROR(__xludf.DUMMYFUNCTION("""COMPUTED_VALUE"""),8808.7)</f>
        <v>8808.7</v>
      </c>
      <c r="D43" s="5">
        <f>IFERROR(__xludf.DUMMYFUNCTION("""COMPUTED_VALUE"""),8414.05)</f>
        <v>8414.05</v>
      </c>
      <c r="E43" s="5">
        <f>IFERROR(__xludf.DUMMYFUNCTION("""COMPUTED_VALUE"""),8679.4)</f>
        <v>8679.4</v>
      </c>
      <c r="F43" s="5">
        <f>IFERROR(__xludf.DUMMYFUNCTION("""COMPUTED_VALUE"""),1278786.0)</f>
        <v>1278786</v>
      </c>
    </row>
    <row r="44">
      <c r="A44" s="6">
        <f>IFERROR(__xludf.DUMMYFUNCTION("""COMPUTED_VALUE"""),45485.64583333333)</f>
        <v>45485.64583</v>
      </c>
      <c r="B44" s="5">
        <f>IFERROR(__xludf.DUMMYFUNCTION("""COMPUTED_VALUE"""),8700.0)</f>
        <v>8700</v>
      </c>
      <c r="C44" s="5">
        <f>IFERROR(__xludf.DUMMYFUNCTION("""COMPUTED_VALUE"""),8714.95)</f>
        <v>8714.95</v>
      </c>
      <c r="D44" s="5">
        <f>IFERROR(__xludf.DUMMYFUNCTION("""COMPUTED_VALUE"""),8191.0)</f>
        <v>8191</v>
      </c>
      <c r="E44" s="5">
        <f>IFERROR(__xludf.DUMMYFUNCTION("""COMPUTED_VALUE"""),8209.25)</f>
        <v>8209.25</v>
      </c>
      <c r="F44" s="5">
        <f>IFERROR(__xludf.DUMMYFUNCTION("""COMPUTED_VALUE"""),1076249.0)</f>
        <v>1076249</v>
      </c>
    </row>
    <row r="45">
      <c r="A45" s="6">
        <f>IFERROR(__xludf.DUMMYFUNCTION("""COMPUTED_VALUE"""),45492.64583333333)</f>
        <v>45492.64583</v>
      </c>
      <c r="B45" s="5">
        <f>IFERROR(__xludf.DUMMYFUNCTION("""COMPUTED_VALUE"""),8210.3)</f>
        <v>8210.3</v>
      </c>
      <c r="C45" s="5">
        <f>IFERROR(__xludf.DUMMYFUNCTION("""COMPUTED_VALUE"""),8299.95)</f>
        <v>8299.95</v>
      </c>
      <c r="D45" s="5">
        <f>IFERROR(__xludf.DUMMYFUNCTION("""COMPUTED_VALUE"""),7600.0)</f>
        <v>7600</v>
      </c>
      <c r="E45" s="5">
        <f>IFERROR(__xludf.DUMMYFUNCTION("""COMPUTED_VALUE"""),7620.5)</f>
        <v>7620.5</v>
      </c>
      <c r="F45" s="5">
        <f>IFERROR(__xludf.DUMMYFUNCTION("""COMPUTED_VALUE"""),1562525.0)</f>
        <v>1562525</v>
      </c>
    </row>
    <row r="46">
      <c r="A46" s="6">
        <f>IFERROR(__xludf.DUMMYFUNCTION("""COMPUTED_VALUE"""),45499.64583333333)</f>
        <v>45499.64583</v>
      </c>
      <c r="B46" s="5">
        <f>IFERROR(__xludf.DUMMYFUNCTION("""COMPUTED_VALUE"""),7525.15)</f>
        <v>7525.15</v>
      </c>
      <c r="C46" s="5">
        <f>IFERROR(__xludf.DUMMYFUNCTION("""COMPUTED_VALUE"""),7870.0)</f>
        <v>7870</v>
      </c>
      <c r="D46" s="5">
        <f>IFERROR(__xludf.DUMMYFUNCTION("""COMPUTED_VALUE"""),7053.2)</f>
        <v>7053.2</v>
      </c>
      <c r="E46" s="5">
        <f>IFERROR(__xludf.DUMMYFUNCTION("""COMPUTED_VALUE"""),7851.25)</f>
        <v>7851.25</v>
      </c>
      <c r="F46" s="5">
        <f>IFERROR(__xludf.DUMMYFUNCTION("""COMPUTED_VALUE"""),2008814.0)</f>
        <v>2008814</v>
      </c>
    </row>
    <row r="47">
      <c r="A47" s="6">
        <f>IFERROR(__xludf.DUMMYFUNCTION("""COMPUTED_VALUE"""),45506.64583333333)</f>
        <v>45506.64583</v>
      </c>
      <c r="B47" s="5">
        <f>IFERROR(__xludf.DUMMYFUNCTION("""COMPUTED_VALUE"""),7899.0)</f>
        <v>7899</v>
      </c>
      <c r="C47" s="5">
        <f>IFERROR(__xludf.DUMMYFUNCTION("""COMPUTED_VALUE"""),8049.0)</f>
        <v>8049</v>
      </c>
      <c r="D47" s="5">
        <f>IFERROR(__xludf.DUMMYFUNCTION("""COMPUTED_VALUE"""),7547.55)</f>
        <v>7547.55</v>
      </c>
      <c r="E47" s="5">
        <f>IFERROR(__xludf.DUMMYFUNCTION("""COMPUTED_VALUE"""),7578.8)</f>
        <v>7578.8</v>
      </c>
      <c r="F47" s="5">
        <f>IFERROR(__xludf.DUMMYFUNCTION("""COMPUTED_VALUE"""),957817.0)</f>
        <v>957817</v>
      </c>
    </row>
    <row r="48">
      <c r="A48" s="6">
        <f>IFERROR(__xludf.DUMMYFUNCTION("""COMPUTED_VALUE"""),45513.64583333333)</f>
        <v>45513.64583</v>
      </c>
      <c r="B48" s="5">
        <f>IFERROR(__xludf.DUMMYFUNCTION("""COMPUTED_VALUE"""),7402.1)</f>
        <v>7402.1</v>
      </c>
      <c r="C48" s="5">
        <f>IFERROR(__xludf.DUMMYFUNCTION("""COMPUTED_VALUE"""),8263.75)</f>
        <v>8263.75</v>
      </c>
      <c r="D48" s="5">
        <f>IFERROR(__xludf.DUMMYFUNCTION("""COMPUTED_VALUE"""),7236.8)</f>
        <v>7236.8</v>
      </c>
      <c r="E48" s="5">
        <f>IFERROR(__xludf.DUMMYFUNCTION("""COMPUTED_VALUE"""),7972.1)</f>
        <v>7972.1</v>
      </c>
      <c r="F48" s="5">
        <f>IFERROR(__xludf.DUMMYFUNCTION("""COMPUTED_VALUE"""),2996331.0)</f>
        <v>2996331</v>
      </c>
    </row>
    <row r="49">
      <c r="A49" s="6">
        <f>IFERROR(__xludf.DUMMYFUNCTION("""COMPUTED_VALUE"""),45520.64583333333)</f>
        <v>45520.64583</v>
      </c>
      <c r="B49" s="5">
        <f>IFERROR(__xludf.DUMMYFUNCTION("""COMPUTED_VALUE"""),7989.95)</f>
        <v>7989.95</v>
      </c>
      <c r="C49" s="5">
        <f>IFERROR(__xludf.DUMMYFUNCTION("""COMPUTED_VALUE"""),7989.95)</f>
        <v>7989.95</v>
      </c>
      <c r="D49" s="5">
        <f>IFERROR(__xludf.DUMMYFUNCTION("""COMPUTED_VALUE"""),7451.0)</f>
        <v>7451</v>
      </c>
      <c r="E49" s="5">
        <f>IFERROR(__xludf.DUMMYFUNCTION("""COMPUTED_VALUE"""),7911.2)</f>
        <v>7911.2</v>
      </c>
      <c r="F49" s="5">
        <f>IFERROR(__xludf.DUMMYFUNCTION("""COMPUTED_VALUE"""),1873440.0)</f>
        <v>1873440</v>
      </c>
    </row>
    <row r="50">
      <c r="A50" s="6">
        <f>IFERROR(__xludf.DUMMYFUNCTION("""COMPUTED_VALUE"""),45527.64583333333)</f>
        <v>45527.64583</v>
      </c>
      <c r="B50" s="5">
        <f>IFERROR(__xludf.DUMMYFUNCTION("""COMPUTED_VALUE"""),7954.95)</f>
        <v>7954.95</v>
      </c>
      <c r="C50" s="5">
        <f>IFERROR(__xludf.DUMMYFUNCTION("""COMPUTED_VALUE"""),7984.4)</f>
        <v>7984.4</v>
      </c>
      <c r="D50" s="5">
        <f>IFERROR(__xludf.DUMMYFUNCTION("""COMPUTED_VALUE"""),7735.55)</f>
        <v>7735.55</v>
      </c>
      <c r="E50" s="5">
        <f>IFERROR(__xludf.DUMMYFUNCTION("""COMPUTED_VALUE"""),7795.75)</f>
        <v>7795.75</v>
      </c>
      <c r="F50" s="5">
        <f>IFERROR(__xludf.DUMMYFUNCTION("""COMPUTED_VALUE"""),714729.0)</f>
        <v>714729</v>
      </c>
    </row>
    <row r="51">
      <c r="A51" s="6">
        <f>IFERROR(__xludf.DUMMYFUNCTION("""COMPUTED_VALUE"""),45534.64583333333)</f>
        <v>45534.64583</v>
      </c>
      <c r="B51" s="5">
        <f>IFERROR(__xludf.DUMMYFUNCTION("""COMPUTED_VALUE"""),7820.0)</f>
        <v>7820</v>
      </c>
      <c r="C51" s="5">
        <f>IFERROR(__xludf.DUMMYFUNCTION("""COMPUTED_VALUE"""),8024.25)</f>
        <v>8024.25</v>
      </c>
      <c r="D51" s="5">
        <f>IFERROR(__xludf.DUMMYFUNCTION("""COMPUTED_VALUE"""),7700.0)</f>
        <v>7700</v>
      </c>
      <c r="E51" s="5">
        <f>IFERROR(__xludf.DUMMYFUNCTION("""COMPUTED_VALUE"""),7936.05)</f>
        <v>7936.05</v>
      </c>
      <c r="F51" s="5">
        <f>IFERROR(__xludf.DUMMYFUNCTION("""COMPUTED_VALUE"""),1393833.0)</f>
        <v>1393833</v>
      </c>
    </row>
    <row r="52">
      <c r="A52" s="6">
        <f>IFERROR(__xludf.DUMMYFUNCTION("""COMPUTED_VALUE"""),45541.64583333333)</f>
        <v>45541.64583</v>
      </c>
      <c r="B52" s="5">
        <f>IFERROR(__xludf.DUMMYFUNCTION("""COMPUTED_VALUE"""),7945.0)</f>
        <v>7945</v>
      </c>
      <c r="C52" s="5">
        <f>IFERROR(__xludf.DUMMYFUNCTION("""COMPUTED_VALUE"""),7947.35)</f>
        <v>7947.35</v>
      </c>
      <c r="D52" s="5">
        <f>IFERROR(__xludf.DUMMYFUNCTION("""COMPUTED_VALUE"""),7500.05)</f>
        <v>7500.05</v>
      </c>
      <c r="E52" s="5">
        <f>IFERROR(__xludf.DUMMYFUNCTION("""COMPUTED_VALUE"""),7516.4)</f>
        <v>7516.4</v>
      </c>
      <c r="F52" s="5">
        <f>IFERROR(__xludf.DUMMYFUNCTION("""COMPUTED_VALUE"""),1115454.0)</f>
        <v>1115454</v>
      </c>
    </row>
    <row r="53">
      <c r="A53" s="6">
        <f>IFERROR(__xludf.DUMMYFUNCTION("""COMPUTED_VALUE"""),45548.64583333333)</f>
        <v>45548.64583</v>
      </c>
      <c r="B53" s="5">
        <f>IFERROR(__xludf.DUMMYFUNCTION("""COMPUTED_VALUE"""),7500.0)</f>
        <v>7500</v>
      </c>
      <c r="C53" s="5">
        <f>IFERROR(__xludf.DUMMYFUNCTION("""COMPUTED_VALUE"""),7869.9)</f>
        <v>7869.9</v>
      </c>
      <c r="D53" s="5">
        <f>IFERROR(__xludf.DUMMYFUNCTION("""COMPUTED_VALUE"""),7431.55)</f>
        <v>7431.55</v>
      </c>
      <c r="E53" s="5">
        <f>IFERROR(__xludf.DUMMYFUNCTION("""COMPUTED_VALUE"""),7684.4)</f>
        <v>7684.4</v>
      </c>
      <c r="F53" s="5">
        <f>IFERROR(__xludf.DUMMYFUNCTION("""COMPUTED_VALUE"""),1060351.0)</f>
        <v>1060351</v>
      </c>
    </row>
    <row r="54">
      <c r="A54" s="6">
        <f>IFERROR(__xludf.DUMMYFUNCTION("""COMPUTED_VALUE"""),45555.64583333333)</f>
        <v>45555.64583</v>
      </c>
      <c r="B54" s="5">
        <f>IFERROR(__xludf.DUMMYFUNCTION("""COMPUTED_VALUE"""),7730.0)</f>
        <v>7730</v>
      </c>
      <c r="C54" s="5">
        <f>IFERROR(__xludf.DUMMYFUNCTION("""COMPUTED_VALUE"""),7917.5)</f>
        <v>7917.5</v>
      </c>
      <c r="D54" s="5">
        <f>IFERROR(__xludf.DUMMYFUNCTION("""COMPUTED_VALUE"""),7350.05)</f>
        <v>7350.05</v>
      </c>
      <c r="E54" s="5">
        <f>IFERROR(__xludf.DUMMYFUNCTION("""COMPUTED_VALUE"""),7695.75)</f>
        <v>7695.75</v>
      </c>
      <c r="F54" s="5">
        <f>IFERROR(__xludf.DUMMYFUNCTION("""COMPUTED_VALUE"""),1591443.0)</f>
        <v>1591443</v>
      </c>
    </row>
    <row r="55">
      <c r="A55" s="6">
        <f>IFERROR(__xludf.DUMMYFUNCTION("""COMPUTED_VALUE"""),45562.64583333333)</f>
        <v>45562.64583</v>
      </c>
      <c r="B55" s="5">
        <f>IFERROR(__xludf.DUMMYFUNCTION("""COMPUTED_VALUE"""),7750.0)</f>
        <v>7750</v>
      </c>
      <c r="C55" s="5">
        <f>IFERROR(__xludf.DUMMYFUNCTION("""COMPUTED_VALUE"""),8214.0)</f>
        <v>8214</v>
      </c>
      <c r="D55" s="5">
        <f>IFERROR(__xludf.DUMMYFUNCTION("""COMPUTED_VALUE"""),7750.0)</f>
        <v>7750</v>
      </c>
      <c r="E55" s="5">
        <f>IFERROR(__xludf.DUMMYFUNCTION("""COMPUTED_VALUE"""),8133.45)</f>
        <v>8133.45</v>
      </c>
      <c r="F55" s="5">
        <f>IFERROR(__xludf.DUMMYFUNCTION("""COMPUTED_VALUE"""),1473456.0)</f>
        <v>1473456</v>
      </c>
    </row>
    <row r="56">
      <c r="A56" s="6">
        <f>IFERROR(__xludf.DUMMYFUNCTION("""COMPUTED_VALUE"""),45569.64583333333)</f>
        <v>45569.64583</v>
      </c>
      <c r="B56" s="5">
        <f>IFERROR(__xludf.DUMMYFUNCTION("""COMPUTED_VALUE"""),7975.0)</f>
        <v>7975</v>
      </c>
      <c r="C56" s="5">
        <f>IFERROR(__xludf.DUMMYFUNCTION("""COMPUTED_VALUE"""),8303.25)</f>
        <v>8303.25</v>
      </c>
      <c r="D56" s="5">
        <f>IFERROR(__xludf.DUMMYFUNCTION("""COMPUTED_VALUE"""),7880.0)</f>
        <v>7880</v>
      </c>
      <c r="E56" s="5">
        <f>IFERROR(__xludf.DUMMYFUNCTION("""COMPUTED_VALUE"""),7930.4)</f>
        <v>7930.4</v>
      </c>
      <c r="F56" s="5">
        <f>IFERROR(__xludf.DUMMYFUNCTION("""COMPUTED_VALUE"""),1261929.0)</f>
        <v>1261929</v>
      </c>
    </row>
    <row r="57">
      <c r="A57" s="6">
        <f>IFERROR(__xludf.DUMMYFUNCTION("""COMPUTED_VALUE"""),45576.64583333333)</f>
        <v>45576.64583</v>
      </c>
      <c r="B57" s="5">
        <f>IFERROR(__xludf.DUMMYFUNCTION("""COMPUTED_VALUE"""),7903.0)</f>
        <v>7903</v>
      </c>
      <c r="C57" s="5">
        <f>IFERROR(__xludf.DUMMYFUNCTION("""COMPUTED_VALUE"""),8619.7)</f>
        <v>8619.7</v>
      </c>
      <c r="D57" s="5">
        <f>IFERROR(__xludf.DUMMYFUNCTION("""COMPUTED_VALUE"""),7672.15)</f>
        <v>7672.15</v>
      </c>
      <c r="E57" s="5">
        <f>IFERROR(__xludf.DUMMYFUNCTION("""COMPUTED_VALUE"""),8553.7)</f>
        <v>8553.7</v>
      </c>
      <c r="F57" s="5">
        <f>IFERROR(__xludf.DUMMYFUNCTION("""COMPUTED_VALUE"""),1499521.0)</f>
        <v>1499521</v>
      </c>
    </row>
    <row r="58">
      <c r="A58" s="6">
        <f>IFERROR(__xludf.DUMMYFUNCTION("""COMPUTED_VALUE"""),45583.64583333333)</f>
        <v>45583.64583</v>
      </c>
      <c r="B58" s="5">
        <f>IFERROR(__xludf.DUMMYFUNCTION("""COMPUTED_VALUE"""),8592.6)</f>
        <v>8592.6</v>
      </c>
      <c r="C58" s="5">
        <f>IFERROR(__xludf.DUMMYFUNCTION("""COMPUTED_VALUE"""),8940.6)</f>
        <v>8940.6</v>
      </c>
      <c r="D58" s="5">
        <f>IFERROR(__xludf.DUMMYFUNCTION("""COMPUTED_VALUE"""),8420.05)</f>
        <v>8420.05</v>
      </c>
      <c r="E58" s="5">
        <f>IFERROR(__xludf.DUMMYFUNCTION("""COMPUTED_VALUE"""),8783.0)</f>
        <v>8783</v>
      </c>
      <c r="F58" s="5">
        <f>IFERROR(__xludf.DUMMYFUNCTION("""COMPUTED_VALUE"""),1640021.0)</f>
        <v>1640021</v>
      </c>
    </row>
    <row r="59">
      <c r="A59" s="6">
        <f>IFERROR(__xludf.DUMMYFUNCTION("""COMPUTED_VALUE"""),45590.64583333333)</f>
        <v>45590.64583</v>
      </c>
      <c r="B59" s="5">
        <f>IFERROR(__xludf.DUMMYFUNCTION("""COMPUTED_VALUE"""),8830.1)</f>
        <v>8830.1</v>
      </c>
      <c r="C59" s="5">
        <f>IFERROR(__xludf.DUMMYFUNCTION("""COMPUTED_VALUE"""),8871.3)</f>
        <v>8871.3</v>
      </c>
      <c r="D59" s="5">
        <f>IFERROR(__xludf.DUMMYFUNCTION("""COMPUTED_VALUE"""),7415.1)</f>
        <v>7415.1</v>
      </c>
      <c r="E59" s="5">
        <f>IFERROR(__xludf.DUMMYFUNCTION("""COMPUTED_VALUE"""),7521.65)</f>
        <v>7521.65</v>
      </c>
      <c r="F59" s="5">
        <f>IFERROR(__xludf.DUMMYFUNCTION("""COMPUTED_VALUE"""),1929052.0)</f>
        <v>1929052</v>
      </c>
    </row>
    <row r="60">
      <c r="A60" s="6">
        <f>IFERROR(__xludf.DUMMYFUNCTION("""COMPUTED_VALUE"""),45604.64583333333)</f>
        <v>45604.64583</v>
      </c>
      <c r="B60" s="5">
        <f>IFERROR(__xludf.DUMMYFUNCTION("""COMPUTED_VALUE"""),7444.0)</f>
        <v>7444</v>
      </c>
      <c r="C60" s="5">
        <f>IFERROR(__xludf.DUMMYFUNCTION("""COMPUTED_VALUE"""),7452.0)</f>
        <v>7452</v>
      </c>
      <c r="D60" s="5">
        <f>IFERROR(__xludf.DUMMYFUNCTION("""COMPUTED_VALUE"""),6935.0)</f>
        <v>6935</v>
      </c>
      <c r="E60" s="5">
        <f>IFERROR(__xludf.DUMMYFUNCTION("""COMPUTED_VALUE"""),7045.45)</f>
        <v>7045.45</v>
      </c>
      <c r="F60" s="5">
        <f>IFERROR(__xludf.DUMMYFUNCTION("""COMPUTED_VALUE"""),4151894.0)</f>
        <v>4151894</v>
      </c>
    </row>
    <row r="61">
      <c r="A61" s="6">
        <f>IFERROR(__xludf.DUMMYFUNCTION("""COMPUTED_VALUE"""),45610.64583333333)</f>
        <v>45610.64583</v>
      </c>
      <c r="B61" s="5">
        <f>IFERROR(__xludf.DUMMYFUNCTION("""COMPUTED_VALUE"""),7040.0)</f>
        <v>7040</v>
      </c>
      <c r="C61" s="5">
        <f>IFERROR(__xludf.DUMMYFUNCTION("""COMPUTED_VALUE"""),7308.75)</f>
        <v>7308.75</v>
      </c>
      <c r="D61" s="5">
        <f>IFERROR(__xludf.DUMMYFUNCTION("""COMPUTED_VALUE"""),6629.85)</f>
        <v>6629.85</v>
      </c>
      <c r="E61" s="5">
        <f>IFERROR(__xludf.DUMMYFUNCTION("""COMPUTED_VALUE"""),6680.15)</f>
        <v>6680.15</v>
      </c>
      <c r="F61" s="5">
        <f>IFERROR(__xludf.DUMMYFUNCTION("""COMPUTED_VALUE"""),2064289.0)</f>
        <v>2064289</v>
      </c>
    </row>
    <row r="62">
      <c r="A62" s="6">
        <f>IFERROR(__xludf.DUMMYFUNCTION("""COMPUTED_VALUE"""),45618.64583333333)</f>
        <v>45618.64583</v>
      </c>
      <c r="B62" s="5">
        <f>IFERROR(__xludf.DUMMYFUNCTION("""COMPUTED_VALUE"""),6700.35)</f>
        <v>6700.35</v>
      </c>
      <c r="C62" s="5">
        <f>IFERROR(__xludf.DUMMYFUNCTION("""COMPUTED_VALUE"""),6939.0)</f>
        <v>6939</v>
      </c>
      <c r="D62" s="5">
        <f>IFERROR(__xludf.DUMMYFUNCTION("""COMPUTED_VALUE"""),6605.0)</f>
        <v>6605</v>
      </c>
      <c r="E62" s="5">
        <f>IFERROR(__xludf.DUMMYFUNCTION("""COMPUTED_VALUE"""),6904.65)</f>
        <v>6904.65</v>
      </c>
      <c r="F62" s="5">
        <f>IFERROR(__xludf.DUMMYFUNCTION("""COMPUTED_VALUE"""),1334486.0)</f>
        <v>1334486</v>
      </c>
    </row>
    <row r="63">
      <c r="A63" s="6">
        <f>IFERROR(__xludf.DUMMYFUNCTION("""COMPUTED_VALUE"""),45625.64583333333)</f>
        <v>45625.64583</v>
      </c>
      <c r="B63" s="5">
        <f>IFERROR(__xludf.DUMMYFUNCTION("""COMPUTED_VALUE"""),7090.0)</f>
        <v>7090</v>
      </c>
      <c r="C63" s="5">
        <f>IFERROR(__xludf.DUMMYFUNCTION("""COMPUTED_VALUE"""),7540.1)</f>
        <v>7540.1</v>
      </c>
      <c r="D63" s="5">
        <f>IFERROR(__xludf.DUMMYFUNCTION("""COMPUTED_VALUE"""),7051.0)</f>
        <v>7051</v>
      </c>
      <c r="E63" s="5">
        <f>IFERROR(__xludf.DUMMYFUNCTION("""COMPUTED_VALUE"""),7421.25)</f>
        <v>7421.25</v>
      </c>
      <c r="F63" s="5">
        <f>IFERROR(__xludf.DUMMYFUNCTION("""COMPUTED_VALUE"""),2227175.0)</f>
        <v>2227175</v>
      </c>
    </row>
    <row r="64">
      <c r="A64" s="6">
        <f>IFERROR(__xludf.DUMMYFUNCTION("""COMPUTED_VALUE"""),45632.64583333333)</f>
        <v>45632.64583</v>
      </c>
      <c r="B64" s="5">
        <f>IFERROR(__xludf.DUMMYFUNCTION("""COMPUTED_VALUE"""),7378.0)</f>
        <v>7378</v>
      </c>
      <c r="C64" s="5">
        <f>IFERROR(__xludf.DUMMYFUNCTION("""COMPUTED_VALUE"""),7722.5)</f>
        <v>7722.5</v>
      </c>
      <c r="D64" s="5">
        <f>IFERROR(__xludf.DUMMYFUNCTION("""COMPUTED_VALUE"""),7340.05)</f>
        <v>7340.05</v>
      </c>
      <c r="E64" s="5">
        <f>IFERROR(__xludf.DUMMYFUNCTION("""COMPUTED_VALUE"""),7552.4)</f>
        <v>7552.4</v>
      </c>
      <c r="F64" s="5">
        <f>IFERROR(__xludf.DUMMYFUNCTION("""COMPUTED_VALUE"""),1742071.0)</f>
        <v>1742071</v>
      </c>
    </row>
    <row r="65">
      <c r="A65" s="6">
        <f>IFERROR(__xludf.DUMMYFUNCTION("""COMPUTED_VALUE"""),45639.64583333333)</f>
        <v>45639.64583</v>
      </c>
      <c r="B65" s="5">
        <f>IFERROR(__xludf.DUMMYFUNCTION("""COMPUTED_VALUE"""),7575.95)</f>
        <v>7575.95</v>
      </c>
      <c r="C65" s="5">
        <f>IFERROR(__xludf.DUMMYFUNCTION("""COMPUTED_VALUE"""),7787.0)</f>
        <v>7787</v>
      </c>
      <c r="D65" s="5">
        <f>IFERROR(__xludf.DUMMYFUNCTION("""COMPUTED_VALUE"""),7532.55)</f>
        <v>7532.55</v>
      </c>
      <c r="E65" s="5">
        <f>IFERROR(__xludf.DUMMYFUNCTION("""COMPUTED_VALUE"""),7703.25)</f>
        <v>7703.25</v>
      </c>
      <c r="F65" s="5">
        <f>IFERROR(__xludf.DUMMYFUNCTION("""COMPUTED_VALUE"""),899450.0)</f>
        <v>899450</v>
      </c>
    </row>
    <row r="66">
      <c r="A66" s="6">
        <f>IFERROR(__xludf.DUMMYFUNCTION("""COMPUTED_VALUE"""),45646.64583333333)</f>
        <v>45646.64583</v>
      </c>
      <c r="B66" s="5">
        <f>IFERROR(__xludf.DUMMYFUNCTION("""COMPUTED_VALUE"""),7703.25)</f>
        <v>7703.25</v>
      </c>
      <c r="C66" s="5">
        <f>IFERROR(__xludf.DUMMYFUNCTION("""COMPUTED_VALUE"""),7960.0)</f>
        <v>7960</v>
      </c>
      <c r="D66" s="5">
        <f>IFERROR(__xludf.DUMMYFUNCTION("""COMPUTED_VALUE"""),6886.0)</f>
        <v>6886</v>
      </c>
      <c r="E66" s="5">
        <f>IFERROR(__xludf.DUMMYFUNCTION("""COMPUTED_VALUE"""),6921.25)</f>
        <v>6921.25</v>
      </c>
      <c r="F66" s="5">
        <f>IFERROR(__xludf.DUMMYFUNCTION("""COMPUTED_VALUE"""),1546295.0)</f>
        <v>1546295</v>
      </c>
    </row>
    <row r="67">
      <c r="A67" s="6">
        <f>IFERROR(__xludf.DUMMYFUNCTION("""COMPUTED_VALUE"""),45653.64583333333)</f>
        <v>45653.64583</v>
      </c>
      <c r="B67" s="5">
        <f>IFERROR(__xludf.DUMMYFUNCTION("""COMPUTED_VALUE"""),6966.0)</f>
        <v>6966</v>
      </c>
      <c r="C67" s="5">
        <f>IFERROR(__xludf.DUMMYFUNCTION("""COMPUTED_VALUE"""),7056.0)</f>
        <v>7056</v>
      </c>
      <c r="D67" s="5">
        <f>IFERROR(__xludf.DUMMYFUNCTION("""COMPUTED_VALUE"""),6822.05)</f>
        <v>6822.05</v>
      </c>
      <c r="E67" s="5">
        <f>IFERROR(__xludf.DUMMYFUNCTION("""COMPUTED_VALUE"""),6846.9)</f>
        <v>6846.9</v>
      </c>
      <c r="F67" s="5">
        <f>IFERROR(__xludf.DUMMYFUNCTION("""COMPUTED_VALUE"""),603479.0)</f>
        <v>603479</v>
      </c>
    </row>
    <row r="68">
      <c r="A68" s="6">
        <f>IFERROR(__xludf.DUMMYFUNCTION("""COMPUTED_VALUE"""),45660.64583333333)</f>
        <v>45660.64583</v>
      </c>
      <c r="B68" s="5">
        <f>IFERROR(__xludf.DUMMYFUNCTION("""COMPUTED_VALUE"""),6812.0)</f>
        <v>6812</v>
      </c>
      <c r="C68" s="5">
        <f>IFERROR(__xludf.DUMMYFUNCTION("""COMPUTED_VALUE"""),6948.4)</f>
        <v>6948.4</v>
      </c>
      <c r="D68" s="5">
        <f>IFERROR(__xludf.DUMMYFUNCTION("""COMPUTED_VALUE"""),6668.1)</f>
        <v>6668.1</v>
      </c>
      <c r="E68" s="5">
        <f>IFERROR(__xludf.DUMMYFUNCTION("""COMPUTED_VALUE"""),6800.15)</f>
        <v>6800.15</v>
      </c>
      <c r="F68" s="5">
        <f>IFERROR(__xludf.DUMMYFUNCTION("""COMPUTED_VALUE"""),1811051.0)</f>
        <v>1811051</v>
      </c>
    </row>
    <row r="69">
      <c r="A69" s="6">
        <f>IFERROR(__xludf.DUMMYFUNCTION("""COMPUTED_VALUE"""),45667.64583333333)</f>
        <v>45667.64583</v>
      </c>
      <c r="B69" s="5">
        <f>IFERROR(__xludf.DUMMYFUNCTION("""COMPUTED_VALUE"""),6800.05)</f>
        <v>6800.05</v>
      </c>
      <c r="C69" s="5">
        <f>IFERROR(__xludf.DUMMYFUNCTION("""COMPUTED_VALUE"""),6826.95)</f>
        <v>6826.95</v>
      </c>
      <c r="D69" s="5">
        <f>IFERROR(__xludf.DUMMYFUNCTION("""COMPUTED_VALUE"""),6363.0)</f>
        <v>6363</v>
      </c>
      <c r="E69" s="5">
        <f>IFERROR(__xludf.DUMMYFUNCTION("""COMPUTED_VALUE"""),6415.65)</f>
        <v>6415.65</v>
      </c>
      <c r="F69" s="5">
        <f>IFERROR(__xludf.DUMMYFUNCTION("""COMPUTED_VALUE"""),1033254.0)</f>
        <v>1033254</v>
      </c>
    </row>
    <row r="70">
      <c r="A70" s="6">
        <f>IFERROR(__xludf.DUMMYFUNCTION("""COMPUTED_VALUE"""),45674.64583333333)</f>
        <v>45674.64583</v>
      </c>
      <c r="B70" s="5">
        <f>IFERROR(__xludf.DUMMYFUNCTION("""COMPUTED_VALUE"""),6352.0)</f>
        <v>6352</v>
      </c>
      <c r="C70" s="5">
        <f>IFERROR(__xludf.DUMMYFUNCTION("""COMPUTED_VALUE"""),6553.7)</f>
        <v>6553.7</v>
      </c>
      <c r="D70" s="5">
        <f>IFERROR(__xludf.DUMMYFUNCTION("""COMPUTED_VALUE"""),6061.05)</f>
        <v>6061.05</v>
      </c>
      <c r="E70" s="5">
        <f>IFERROR(__xludf.DUMMYFUNCTION("""COMPUTED_VALUE"""),6527.5)</f>
        <v>6527.5</v>
      </c>
      <c r="F70" s="5">
        <f>IFERROR(__xludf.DUMMYFUNCTION("""COMPUTED_VALUE"""),1452873.0)</f>
        <v>1452873</v>
      </c>
    </row>
    <row r="71">
      <c r="A71" s="6">
        <f>IFERROR(__xludf.DUMMYFUNCTION("""COMPUTED_VALUE"""),45681.64583333333)</f>
        <v>45681.64583</v>
      </c>
      <c r="B71" s="5">
        <f>IFERROR(__xludf.DUMMYFUNCTION("""COMPUTED_VALUE"""),6547.55)</f>
        <v>6547.55</v>
      </c>
      <c r="C71" s="5">
        <f>IFERROR(__xludf.DUMMYFUNCTION("""COMPUTED_VALUE"""),6579.65)</f>
        <v>6579.65</v>
      </c>
      <c r="D71" s="5">
        <f>IFERROR(__xludf.DUMMYFUNCTION("""COMPUTED_VALUE"""),6114.0)</f>
        <v>6114</v>
      </c>
      <c r="E71" s="5">
        <f>IFERROR(__xludf.DUMMYFUNCTION("""COMPUTED_VALUE"""),6178.9)</f>
        <v>6178.9</v>
      </c>
      <c r="F71" s="5">
        <f>IFERROR(__xludf.DUMMYFUNCTION("""COMPUTED_VALUE"""),1160817.0)</f>
        <v>1160817</v>
      </c>
    </row>
    <row r="72">
      <c r="A72" s="6">
        <f>IFERROR(__xludf.DUMMYFUNCTION("""COMPUTED_VALUE"""),45695.64583333333)</f>
        <v>45695.64583</v>
      </c>
      <c r="B72" s="5">
        <f>IFERROR(__xludf.DUMMYFUNCTION("""COMPUTED_VALUE"""),5480.1)</f>
        <v>5480.1</v>
      </c>
      <c r="C72" s="5">
        <f>IFERROR(__xludf.DUMMYFUNCTION("""COMPUTED_VALUE"""),5874.35)</f>
        <v>5874.35</v>
      </c>
      <c r="D72" s="5">
        <f>IFERROR(__xludf.DUMMYFUNCTION("""COMPUTED_VALUE"""),5105.5)</f>
        <v>5105.5</v>
      </c>
      <c r="E72" s="5">
        <f>IFERROR(__xludf.DUMMYFUNCTION("""COMPUTED_VALUE"""),5685.75)</f>
        <v>5685.75</v>
      </c>
      <c r="F72" s="5">
        <f>IFERROR(__xludf.DUMMYFUNCTION("""COMPUTED_VALUE"""),4149704.0)</f>
        <v>4149704</v>
      </c>
    </row>
    <row r="73">
      <c r="A73" s="6">
        <f>IFERROR(__xludf.DUMMYFUNCTION("""COMPUTED_VALUE"""),45702.64583333333)</f>
        <v>45702.64583</v>
      </c>
      <c r="B73" s="5">
        <f>IFERROR(__xludf.DUMMYFUNCTION("""COMPUTED_VALUE"""),5674.95)</f>
        <v>5674.95</v>
      </c>
      <c r="C73" s="5">
        <f>IFERROR(__xludf.DUMMYFUNCTION("""COMPUTED_VALUE"""),5724.3)</f>
        <v>5724.3</v>
      </c>
      <c r="D73" s="5">
        <f>IFERROR(__xludf.DUMMYFUNCTION("""COMPUTED_VALUE"""),5223.0)</f>
        <v>5223</v>
      </c>
      <c r="E73" s="5">
        <f>IFERROR(__xludf.DUMMYFUNCTION("""COMPUTED_VALUE"""),5263.75)</f>
        <v>5263.75</v>
      </c>
      <c r="F73" s="5">
        <f>IFERROR(__xludf.DUMMYFUNCTION("""COMPUTED_VALUE"""),1669414.0)</f>
        <v>1669414</v>
      </c>
    </row>
    <row r="74">
      <c r="A74" s="6">
        <f>IFERROR(__xludf.DUMMYFUNCTION("""COMPUTED_VALUE"""),45709.64583333333)</f>
        <v>45709.64583</v>
      </c>
      <c r="B74" s="5">
        <f>IFERROR(__xludf.DUMMYFUNCTION("""COMPUTED_VALUE"""),5263.0)</f>
        <v>5263</v>
      </c>
      <c r="C74" s="5">
        <f>IFERROR(__xludf.DUMMYFUNCTION("""COMPUTED_VALUE"""),5515.0)</f>
        <v>5515</v>
      </c>
      <c r="D74" s="5">
        <f>IFERROR(__xludf.DUMMYFUNCTION("""COMPUTED_VALUE"""),5019.75)</f>
        <v>5019.75</v>
      </c>
      <c r="E74" s="5">
        <f>IFERROR(__xludf.DUMMYFUNCTION("""COMPUTED_VALUE"""),5291.4)</f>
        <v>5291.4</v>
      </c>
      <c r="F74" s="5">
        <f>IFERROR(__xludf.DUMMYFUNCTION("""COMPUTED_VALUE"""),6469862.0)</f>
        <v>6469862</v>
      </c>
    </row>
    <row r="75">
      <c r="A75" s="6">
        <f>IFERROR(__xludf.DUMMYFUNCTION("""COMPUTED_VALUE"""),45716.64583333333)</f>
        <v>45716.64583</v>
      </c>
      <c r="B75" s="5">
        <f>IFERROR(__xludf.DUMMYFUNCTION("""COMPUTED_VALUE"""),5248.2)</f>
        <v>5248.2</v>
      </c>
      <c r="C75" s="5">
        <f>IFERROR(__xludf.DUMMYFUNCTION("""COMPUTED_VALUE"""),5409.0)</f>
        <v>5409</v>
      </c>
      <c r="D75" s="5">
        <f>IFERROR(__xludf.DUMMYFUNCTION("""COMPUTED_VALUE"""),4918.0)</f>
        <v>4918</v>
      </c>
      <c r="E75" s="5">
        <f>IFERROR(__xludf.DUMMYFUNCTION("""COMPUTED_VALUE"""),4935.4)</f>
        <v>4935.4</v>
      </c>
      <c r="F75" s="5">
        <f>IFERROR(__xludf.DUMMYFUNCTION("""COMPUTED_VALUE"""),2299111.0)</f>
        <v>2299111</v>
      </c>
    </row>
    <row r="76">
      <c r="A76" s="6">
        <f>IFERROR(__xludf.DUMMYFUNCTION("""COMPUTED_VALUE"""),45723.64583333333)</f>
        <v>45723.64583</v>
      </c>
      <c r="B76" s="5">
        <f>IFERROR(__xludf.DUMMYFUNCTION("""COMPUTED_VALUE"""),4954.8)</f>
        <v>4954.8</v>
      </c>
      <c r="C76" s="5">
        <f>IFERROR(__xludf.DUMMYFUNCTION("""COMPUTED_VALUE"""),5432.0)</f>
        <v>5432</v>
      </c>
      <c r="D76" s="5">
        <f>IFERROR(__xludf.DUMMYFUNCTION("""COMPUTED_VALUE"""),4890.0)</f>
        <v>4890</v>
      </c>
      <c r="E76" s="5">
        <f>IFERROR(__xludf.DUMMYFUNCTION("""COMPUTED_VALUE"""),5326.55)</f>
        <v>5326.55</v>
      </c>
      <c r="F76" s="5">
        <f>IFERROR(__xludf.DUMMYFUNCTION("""COMPUTED_VALUE"""),2525419.0)</f>
        <v>2525419</v>
      </c>
    </row>
    <row r="77">
      <c r="A77" s="6">
        <f>IFERROR(__xludf.DUMMYFUNCTION("""COMPUTED_VALUE"""),45729.64583333333)</f>
        <v>45729.64583</v>
      </c>
      <c r="B77" s="5">
        <f>IFERROR(__xludf.DUMMYFUNCTION("""COMPUTED_VALUE"""),5328.0)</f>
        <v>5328</v>
      </c>
      <c r="C77" s="5">
        <f>IFERROR(__xludf.DUMMYFUNCTION("""COMPUTED_VALUE"""),5410.75)</f>
        <v>5410.75</v>
      </c>
      <c r="D77" s="5">
        <f>IFERROR(__xludf.DUMMYFUNCTION("""COMPUTED_VALUE"""),5035.0)</f>
        <v>5035</v>
      </c>
      <c r="E77" s="5">
        <f>IFERROR(__xludf.DUMMYFUNCTION("""COMPUTED_VALUE"""),5118.55)</f>
        <v>5118.55</v>
      </c>
      <c r="F77" s="5">
        <f>IFERROR(__xludf.DUMMYFUNCTION("""COMPUTED_VALUE"""),1482633.0)</f>
        <v>1482633</v>
      </c>
    </row>
    <row r="78">
      <c r="A78" s="6">
        <f>IFERROR(__xludf.DUMMYFUNCTION("""COMPUTED_VALUE"""),45737.64583333333)</f>
        <v>45737.64583</v>
      </c>
      <c r="B78" s="5">
        <f>IFERROR(__xludf.DUMMYFUNCTION("""COMPUTED_VALUE"""),5216.95)</f>
        <v>5216.95</v>
      </c>
      <c r="C78" s="5">
        <f>IFERROR(__xludf.DUMMYFUNCTION("""COMPUTED_VALUE"""),5572.65)</f>
        <v>5572.65</v>
      </c>
      <c r="D78" s="5">
        <f>IFERROR(__xludf.DUMMYFUNCTION("""COMPUTED_VALUE"""),5216.95)</f>
        <v>5216.95</v>
      </c>
      <c r="E78" s="5">
        <f>IFERROR(__xludf.DUMMYFUNCTION("""COMPUTED_VALUE"""),5457.5)</f>
        <v>5457.5</v>
      </c>
      <c r="F78" s="5">
        <f>IFERROR(__xludf.DUMMYFUNCTION("""COMPUTED_VALUE"""),2217248.0)</f>
        <v>2217248</v>
      </c>
    </row>
    <row r="79">
      <c r="A79" s="6">
        <f>IFERROR(__xludf.DUMMYFUNCTION("""COMPUTED_VALUE"""),45744.64583333333)</f>
        <v>45744.64583</v>
      </c>
      <c r="B79" s="5">
        <f>IFERROR(__xludf.DUMMYFUNCTION("""COMPUTED_VALUE"""),5471.15)</f>
        <v>5471.15</v>
      </c>
      <c r="C79" s="5">
        <f>IFERROR(__xludf.DUMMYFUNCTION("""COMPUTED_VALUE"""),5625.0)</f>
        <v>5625</v>
      </c>
      <c r="D79" s="5">
        <f>IFERROR(__xludf.DUMMYFUNCTION("""COMPUTED_VALUE"""),5397.5)</f>
        <v>5397.5</v>
      </c>
      <c r="E79" s="5">
        <f>IFERROR(__xludf.DUMMYFUNCTION("""COMPUTED_VALUE"""),5546.25)</f>
        <v>5546.25</v>
      </c>
      <c r="F79" s="5">
        <f>IFERROR(__xludf.DUMMYFUNCTION("""COMPUTED_VALUE"""),2128053.0)</f>
        <v>2128053</v>
      </c>
    </row>
    <row r="80">
      <c r="A80" s="6">
        <f>IFERROR(__xludf.DUMMYFUNCTION("""COMPUTED_VALUE"""),45751.64583333333)</f>
        <v>45751.64583</v>
      </c>
      <c r="B80" s="5">
        <f>IFERROR(__xludf.DUMMYFUNCTION("""COMPUTED_VALUE"""),5539.5)</f>
        <v>5539.5</v>
      </c>
      <c r="C80" s="5">
        <f>IFERROR(__xludf.DUMMYFUNCTION("""COMPUTED_VALUE"""),5548.0)</f>
        <v>5548</v>
      </c>
      <c r="D80" s="5">
        <f>IFERROR(__xludf.DUMMYFUNCTION("""COMPUTED_VALUE"""),5075.7)</f>
        <v>5075.7</v>
      </c>
      <c r="E80" s="5">
        <f>IFERROR(__xludf.DUMMYFUNCTION("""COMPUTED_VALUE"""),5095.9)</f>
        <v>5095.9</v>
      </c>
      <c r="F80" s="5">
        <f>IFERROR(__xludf.DUMMYFUNCTION("""COMPUTED_VALUE"""),1744471.0)</f>
        <v>1744471</v>
      </c>
    </row>
    <row r="81">
      <c r="A81" s="6">
        <f>IFERROR(__xludf.DUMMYFUNCTION("""COMPUTED_VALUE"""),45758.64583333333)</f>
        <v>45758.64583</v>
      </c>
      <c r="B81" s="5">
        <f>IFERROR(__xludf.DUMMYFUNCTION("""COMPUTED_VALUE"""),4684.45)</f>
        <v>4684.45</v>
      </c>
      <c r="C81" s="5">
        <f>IFERROR(__xludf.DUMMYFUNCTION("""COMPUTED_VALUE"""),5173.95)</f>
        <v>5173.95</v>
      </c>
      <c r="D81" s="5">
        <f>IFERROR(__xludf.DUMMYFUNCTION("""COMPUTED_VALUE"""),4684.45)</f>
        <v>4684.45</v>
      </c>
      <c r="E81" s="5">
        <f>IFERROR(__xludf.DUMMYFUNCTION("""COMPUTED_VALUE"""),5143.3)</f>
        <v>5143.3</v>
      </c>
      <c r="F81" s="5">
        <f>IFERROR(__xludf.DUMMYFUNCTION("""COMPUTED_VALUE"""),1839123.0)</f>
        <v>1839123</v>
      </c>
    </row>
    <row r="82">
      <c r="A82" s="6">
        <f>IFERROR(__xludf.DUMMYFUNCTION("""COMPUTED_VALUE"""),45764.64583333333)</f>
        <v>45764.64583</v>
      </c>
      <c r="B82" s="5">
        <f>IFERROR(__xludf.DUMMYFUNCTION("""COMPUTED_VALUE"""),5220.0)</f>
        <v>5220</v>
      </c>
      <c r="C82" s="5">
        <f>IFERROR(__xludf.DUMMYFUNCTION("""COMPUTED_VALUE"""),5645.0)</f>
        <v>5645</v>
      </c>
      <c r="D82" s="5">
        <f>IFERROR(__xludf.DUMMYFUNCTION("""COMPUTED_VALUE"""),5158.5)</f>
        <v>5158.5</v>
      </c>
      <c r="E82" s="5">
        <f>IFERROR(__xludf.DUMMYFUNCTION("""COMPUTED_VALUE"""),5571.5)</f>
        <v>5571.5</v>
      </c>
      <c r="F82" s="5">
        <f>IFERROR(__xludf.DUMMYFUNCTION("""COMPUTED_VALUE"""),2044798.0)</f>
        <v>2044798</v>
      </c>
    </row>
    <row r="83">
      <c r="A83" s="6">
        <f>IFERROR(__xludf.DUMMYFUNCTION("""COMPUTED_VALUE"""),45772.64583333333)</f>
        <v>45772.64583</v>
      </c>
      <c r="B83" s="5">
        <f>IFERROR(__xludf.DUMMYFUNCTION("""COMPUTED_VALUE"""),5678.5)</f>
        <v>5678.5</v>
      </c>
      <c r="C83" s="5">
        <f>IFERROR(__xludf.DUMMYFUNCTION("""COMPUTED_VALUE"""),5792.0)</f>
        <v>5792</v>
      </c>
      <c r="D83" s="5">
        <f>IFERROR(__xludf.DUMMYFUNCTION("""COMPUTED_VALUE"""),5385.0)</f>
        <v>5385</v>
      </c>
      <c r="E83" s="5">
        <f>IFERROR(__xludf.DUMMYFUNCTION("""COMPUTED_VALUE"""),5499.0)</f>
        <v>5499</v>
      </c>
      <c r="F83" s="5">
        <f>IFERROR(__xludf.DUMMYFUNCTION("""COMPUTED_VALUE"""),2399110.0)</f>
        <v>2399110</v>
      </c>
    </row>
    <row r="84">
      <c r="A84" s="6">
        <f>IFERROR(__xludf.DUMMYFUNCTION("""COMPUTED_VALUE"""),45779.64583333333)</f>
        <v>45779.64583</v>
      </c>
      <c r="B84" s="5">
        <f>IFERROR(__xludf.DUMMYFUNCTION("""COMPUTED_VALUE"""),5499.0)</f>
        <v>5499</v>
      </c>
      <c r="C84" s="5">
        <f>IFERROR(__xludf.DUMMYFUNCTION("""COMPUTED_VALUE"""),5625.0)</f>
        <v>5625</v>
      </c>
      <c r="D84" s="5">
        <f>IFERROR(__xludf.DUMMYFUNCTION("""COMPUTED_VALUE"""),5420.0)</f>
        <v>5420</v>
      </c>
      <c r="E84" s="5">
        <f>IFERROR(__xludf.DUMMYFUNCTION("""COMPUTED_VALUE"""),5451.0)</f>
        <v>5451</v>
      </c>
      <c r="F84" s="5">
        <f>IFERROR(__xludf.DUMMYFUNCTION("""COMPUTED_VALUE"""),950310.0)</f>
        <v>950310</v>
      </c>
    </row>
    <row r="85">
      <c r="A85" s="6">
        <f>IFERROR(__xludf.DUMMYFUNCTION("""COMPUTED_VALUE"""),45786.64583333333)</f>
        <v>45786.64583</v>
      </c>
      <c r="B85" s="5">
        <f>IFERROR(__xludf.DUMMYFUNCTION("""COMPUTED_VALUE"""),5499.0)</f>
        <v>5499</v>
      </c>
      <c r="C85" s="5">
        <f>IFERROR(__xludf.DUMMYFUNCTION("""COMPUTED_VALUE"""),5504.5)</f>
        <v>5504.5</v>
      </c>
      <c r="D85" s="5">
        <f>IFERROR(__xludf.DUMMYFUNCTION("""COMPUTED_VALUE"""),5190.0)</f>
        <v>5190</v>
      </c>
      <c r="E85" s="5">
        <f>IFERROR(__xludf.DUMMYFUNCTION("""COMPUTED_VALUE"""),5440.5)</f>
        <v>5440.5</v>
      </c>
      <c r="F85" s="5">
        <f>IFERROR(__xludf.DUMMYFUNCTION("""COMPUTED_VALUE"""),1579682.0)</f>
        <v>1579682</v>
      </c>
    </row>
    <row r="86">
      <c r="A86" s="6">
        <f>IFERROR(__xludf.DUMMYFUNCTION("""COMPUTED_VALUE"""),45793.64583333333)</f>
        <v>45793.64583</v>
      </c>
      <c r="B86" s="5">
        <f>IFERROR(__xludf.DUMMYFUNCTION("""COMPUTED_VALUE"""),5515.0)</f>
        <v>5515</v>
      </c>
      <c r="C86" s="5">
        <f>IFERROR(__xludf.DUMMYFUNCTION("""COMPUTED_VALUE"""),5866.0)</f>
        <v>5866</v>
      </c>
      <c r="D86" s="5">
        <f>IFERROR(__xludf.DUMMYFUNCTION("""COMPUTED_VALUE"""),5472.5)</f>
        <v>5472.5</v>
      </c>
      <c r="E86" s="5">
        <f>IFERROR(__xludf.DUMMYFUNCTION("""COMPUTED_VALUE"""),5820.0)</f>
        <v>5820</v>
      </c>
      <c r="F86" s="5">
        <f>IFERROR(__xludf.DUMMYFUNCTION("""COMPUTED_VALUE"""),2482350.0)</f>
        <v>2482350</v>
      </c>
    </row>
    <row r="87">
      <c r="A87" s="6">
        <f>IFERROR(__xludf.DUMMYFUNCTION("""COMPUTED_VALUE"""),45800.64583333333)</f>
        <v>45800.64583</v>
      </c>
      <c r="B87" s="5">
        <f>IFERROR(__xludf.DUMMYFUNCTION("""COMPUTED_VALUE"""),5869.5)</f>
        <v>5869.5</v>
      </c>
      <c r="C87" s="5">
        <f>IFERROR(__xludf.DUMMYFUNCTION("""COMPUTED_VALUE"""),5989.5)</f>
        <v>5989.5</v>
      </c>
      <c r="D87" s="5">
        <f>IFERROR(__xludf.DUMMYFUNCTION("""COMPUTED_VALUE"""),5710.0)</f>
        <v>5710</v>
      </c>
      <c r="E87" s="5">
        <f>IFERROR(__xludf.DUMMYFUNCTION("""COMPUTED_VALUE"""),5961.0)</f>
        <v>5961</v>
      </c>
      <c r="F87" s="5">
        <f>IFERROR(__xludf.DUMMYFUNCTION("""COMPUTED_VALUE"""),1386840.0)</f>
        <v>1386840</v>
      </c>
    </row>
    <row r="88">
      <c r="A88" s="6">
        <f>IFERROR(__xludf.DUMMYFUNCTION("""COMPUTED_VALUE"""),45807.64583333333)</f>
        <v>45807.64583</v>
      </c>
      <c r="B88" s="5">
        <f>IFERROR(__xludf.DUMMYFUNCTION("""COMPUTED_VALUE"""),5965.0)</f>
        <v>5965</v>
      </c>
      <c r="C88" s="5">
        <f>IFERROR(__xludf.DUMMYFUNCTION("""COMPUTED_VALUE"""),6118.0)</f>
        <v>6118</v>
      </c>
      <c r="D88" s="5">
        <f>IFERROR(__xludf.DUMMYFUNCTION("""COMPUTED_VALUE"""),5945.5)</f>
        <v>5945.5</v>
      </c>
      <c r="E88" s="5">
        <f>IFERROR(__xludf.DUMMYFUNCTION("""COMPUTED_VALUE"""),5971.0)</f>
        <v>5971</v>
      </c>
      <c r="F88" s="5">
        <f>IFERROR(__xludf.DUMMYFUNCTION("""COMPUTED_VALUE"""),1082589.0)</f>
        <v>1082589</v>
      </c>
    </row>
    <row r="89">
      <c r="A89" s="6">
        <f>IFERROR(__xludf.DUMMYFUNCTION("""COMPUTED_VALUE"""),45814.64583333333)</f>
        <v>45814.64583</v>
      </c>
      <c r="B89" s="5">
        <f>IFERROR(__xludf.DUMMYFUNCTION("""COMPUTED_VALUE"""),5960.0)</f>
        <v>5960</v>
      </c>
      <c r="C89" s="5">
        <f>IFERROR(__xludf.DUMMYFUNCTION("""COMPUTED_VALUE"""),6175.5)</f>
        <v>6175.5</v>
      </c>
      <c r="D89" s="5">
        <f>IFERROR(__xludf.DUMMYFUNCTION("""COMPUTED_VALUE"""),5891.0)</f>
        <v>5891</v>
      </c>
      <c r="E89" s="5">
        <f>IFERROR(__xludf.DUMMYFUNCTION("""COMPUTED_VALUE"""),6051.5)</f>
        <v>6051.5</v>
      </c>
      <c r="F89" s="5">
        <f>IFERROR(__xludf.DUMMYFUNCTION("""COMPUTED_VALUE"""),999328.0)</f>
        <v>999328</v>
      </c>
    </row>
    <row r="90">
      <c r="A90" s="6">
        <f>IFERROR(__xludf.DUMMYFUNCTION("""COMPUTED_VALUE"""),45821.64583333333)</f>
        <v>45821.64583</v>
      </c>
      <c r="B90" s="5">
        <f>IFERROR(__xludf.DUMMYFUNCTION("""COMPUTED_VALUE"""),6093.5)</f>
        <v>6093.5</v>
      </c>
      <c r="C90" s="5">
        <f>IFERROR(__xludf.DUMMYFUNCTION("""COMPUTED_VALUE"""),6260.0)</f>
        <v>6260</v>
      </c>
      <c r="D90" s="5">
        <f>IFERROR(__xludf.DUMMYFUNCTION("""COMPUTED_VALUE"""),5885.0)</f>
        <v>5885</v>
      </c>
      <c r="E90" s="5">
        <f>IFERROR(__xludf.DUMMYFUNCTION("""COMPUTED_VALUE"""),5999.0)</f>
        <v>5999</v>
      </c>
      <c r="F90" s="5">
        <f>IFERROR(__xludf.DUMMYFUNCTION("""COMPUTED_VALUE"""),1363320.0)</f>
        <v>1363320</v>
      </c>
    </row>
    <row r="91">
      <c r="A91" s="6">
        <f>IFERROR(__xludf.DUMMYFUNCTION("""COMPUTED_VALUE"""),45828.64583333333)</f>
        <v>45828.64583</v>
      </c>
      <c r="B91" s="5">
        <f>IFERROR(__xludf.DUMMYFUNCTION("""COMPUTED_VALUE"""),6001.0)</f>
        <v>6001</v>
      </c>
      <c r="C91" s="5">
        <f>IFERROR(__xludf.DUMMYFUNCTION("""COMPUTED_VALUE"""),6089.5)</f>
        <v>6089.5</v>
      </c>
      <c r="D91" s="5">
        <f>IFERROR(__xludf.DUMMYFUNCTION("""COMPUTED_VALUE"""),5850.0)</f>
        <v>5850</v>
      </c>
      <c r="E91" s="5">
        <f>IFERROR(__xludf.DUMMYFUNCTION("""COMPUTED_VALUE"""),5968.5)</f>
        <v>5968.5</v>
      </c>
      <c r="F91" s="5">
        <f>IFERROR(__xludf.DUMMYFUNCTION("""COMPUTED_VALUE"""),773528.0)</f>
        <v>773528</v>
      </c>
    </row>
    <row r="92">
      <c r="A92" s="6">
        <f>IFERROR(__xludf.DUMMYFUNCTION("""COMPUTED_VALUE"""),45835.64583333333)</f>
        <v>45835.64583</v>
      </c>
      <c r="B92" s="5">
        <f>IFERROR(__xludf.DUMMYFUNCTION("""COMPUTED_VALUE"""),5900.0)</f>
        <v>5900</v>
      </c>
      <c r="C92" s="5">
        <f>IFERROR(__xludf.DUMMYFUNCTION("""COMPUTED_VALUE"""),6175.0)</f>
        <v>6175</v>
      </c>
      <c r="D92" s="5">
        <f>IFERROR(__xludf.DUMMYFUNCTION("""COMPUTED_VALUE"""),5880.0)</f>
        <v>5880</v>
      </c>
      <c r="E92" s="5">
        <f>IFERROR(__xludf.DUMMYFUNCTION("""COMPUTED_VALUE"""),6069.5)</f>
        <v>6069.5</v>
      </c>
      <c r="F92" s="5">
        <f>IFERROR(__xludf.DUMMYFUNCTION("""COMPUTED_VALUE"""),807316.0)</f>
        <v>807316</v>
      </c>
    </row>
    <row r="93">
      <c r="A93" s="6">
        <f>IFERROR(__xludf.DUMMYFUNCTION("""COMPUTED_VALUE"""),45842.64583333333)</f>
        <v>45842.64583</v>
      </c>
      <c r="B93" s="5">
        <f>IFERROR(__xludf.DUMMYFUNCTION("""COMPUTED_VALUE"""),6090.0)</f>
        <v>6090</v>
      </c>
      <c r="C93" s="5">
        <f>IFERROR(__xludf.DUMMYFUNCTION("""COMPUTED_VALUE"""),6144.5)</f>
        <v>6144.5</v>
      </c>
      <c r="D93" s="5">
        <f>IFERROR(__xludf.DUMMYFUNCTION("""COMPUTED_VALUE"""),5841.0)</f>
        <v>5841</v>
      </c>
      <c r="E93" s="5">
        <f>IFERROR(__xludf.DUMMYFUNCTION("""COMPUTED_VALUE"""),5862.0)</f>
        <v>5862</v>
      </c>
      <c r="F93" s="5">
        <f>IFERROR(__xludf.DUMMYFUNCTION("""COMPUTED_VALUE"""),1154560.0)</f>
        <v>1154560</v>
      </c>
    </row>
    <row r="94">
      <c r="A94" s="6">
        <f>IFERROR(__xludf.DUMMYFUNCTION("""COMPUTED_VALUE"""),45849.64583333333)</f>
        <v>45849.64583</v>
      </c>
      <c r="B94" s="5">
        <f>IFERROR(__xludf.DUMMYFUNCTION("""COMPUTED_VALUE"""),5862.0)</f>
        <v>5862</v>
      </c>
      <c r="C94" s="5">
        <f>IFERROR(__xludf.DUMMYFUNCTION("""COMPUTED_VALUE"""),5940.0)</f>
        <v>5940</v>
      </c>
      <c r="D94" s="5">
        <f>IFERROR(__xludf.DUMMYFUNCTION("""COMPUTED_VALUE"""),5718.0)</f>
        <v>5718</v>
      </c>
      <c r="E94" s="5">
        <f>IFERROR(__xludf.DUMMYFUNCTION("""COMPUTED_VALUE"""),5756.5)</f>
        <v>5756.5</v>
      </c>
      <c r="F94" s="5">
        <f>IFERROR(__xludf.DUMMYFUNCTION("""COMPUTED_VALUE"""),1008044.0)</f>
        <v>1008044</v>
      </c>
    </row>
    <row r="95">
      <c r="A95" s="6">
        <f>IFERROR(__xludf.DUMMYFUNCTION("""COMPUTED_VALUE"""),45856.64583333333)</f>
        <v>45856.64583</v>
      </c>
      <c r="B95" s="5">
        <f>IFERROR(__xludf.DUMMYFUNCTION("""COMPUTED_VALUE"""),5756.5)</f>
        <v>5756.5</v>
      </c>
      <c r="C95" s="5">
        <f>IFERROR(__xludf.DUMMYFUNCTION("""COMPUTED_VALUE"""),5782.5)</f>
        <v>5782.5</v>
      </c>
      <c r="D95" s="5">
        <f>IFERROR(__xludf.DUMMYFUNCTION("""COMPUTED_VALUE"""),5468.0)</f>
        <v>5468</v>
      </c>
      <c r="E95" s="5">
        <f>IFERROR(__xludf.DUMMYFUNCTION("""COMPUTED_VALUE"""),5646.5)</f>
        <v>5646.5</v>
      </c>
      <c r="F95" s="5">
        <f>IFERROR(__xludf.DUMMYFUNCTION("""COMPUTED_VALUE"""),2998296.0)</f>
        <v>2998296</v>
      </c>
    </row>
    <row r="96">
      <c r="A96" s="6">
        <f>IFERROR(__xludf.DUMMYFUNCTION("""COMPUTED_VALUE"""),45863.64583333333)</f>
        <v>45863.64583</v>
      </c>
      <c r="B96" s="5">
        <f>IFERROR(__xludf.DUMMYFUNCTION("""COMPUTED_VALUE"""),5666.0)</f>
        <v>5666</v>
      </c>
      <c r="C96" s="5">
        <f>IFERROR(__xludf.DUMMYFUNCTION("""COMPUTED_VALUE"""),5872.0)</f>
        <v>5872</v>
      </c>
      <c r="D96" s="5">
        <f>IFERROR(__xludf.DUMMYFUNCTION("""COMPUTED_VALUE"""),5610.5)</f>
        <v>5610.5</v>
      </c>
      <c r="E96" s="5">
        <f>IFERROR(__xludf.DUMMYFUNCTION("""COMPUTED_VALUE"""),5643.0)</f>
        <v>5643</v>
      </c>
      <c r="F96" s="5">
        <f>IFERROR(__xludf.DUMMYFUNCTION("""COMPUTED_VALUE"""),1419086.0)</f>
        <v>1419086</v>
      </c>
    </row>
    <row r="97">
      <c r="A97" s="6">
        <f>IFERROR(__xludf.DUMMYFUNCTION("""COMPUTED_VALUE"""),45870.64583333333)</f>
        <v>45870.64583</v>
      </c>
      <c r="B97" s="5">
        <f>IFERROR(__xludf.DUMMYFUNCTION("""COMPUTED_VALUE"""),5640.0)</f>
        <v>5640</v>
      </c>
      <c r="C97" s="5">
        <f>IFERROR(__xludf.DUMMYFUNCTION("""COMPUTED_VALUE"""),5644.0)</f>
        <v>5644</v>
      </c>
      <c r="D97" s="5">
        <f>IFERROR(__xludf.DUMMYFUNCTION("""COMPUTED_VALUE"""),5360.5)</f>
        <v>5360.5</v>
      </c>
      <c r="E97" s="5">
        <f>IFERROR(__xludf.DUMMYFUNCTION("""COMPUTED_VALUE"""),5387.5)</f>
        <v>5387.5</v>
      </c>
      <c r="F97" s="5">
        <f>IFERROR(__xludf.DUMMYFUNCTION("""COMPUTED_VALUE"""),1445010.0)</f>
        <v>1445010</v>
      </c>
    </row>
    <row r="98">
      <c r="A98" s="6">
        <f>IFERROR(__xludf.DUMMYFUNCTION("""COMPUTED_VALUE"""),45877.64583333333)</f>
        <v>45877.64583</v>
      </c>
      <c r="B98" s="5">
        <f>IFERROR(__xludf.DUMMYFUNCTION("""COMPUTED_VALUE"""),5310.0)</f>
        <v>5310</v>
      </c>
      <c r="C98" s="5">
        <f>IFERROR(__xludf.DUMMYFUNCTION("""COMPUTED_VALUE"""),5364.0)</f>
        <v>5364</v>
      </c>
      <c r="D98" s="5">
        <f>IFERROR(__xludf.DUMMYFUNCTION("""COMPUTED_VALUE"""),5005.5)</f>
        <v>5005.5</v>
      </c>
      <c r="E98" s="5">
        <f>IFERROR(__xludf.DUMMYFUNCTION("""COMPUTED_VALUE"""),5022.0)</f>
        <v>5022</v>
      </c>
      <c r="F98" s="5">
        <f>IFERROR(__xludf.DUMMYFUNCTION("""COMPUTED_VALUE"""),3661504.0)</f>
        <v>3661504</v>
      </c>
    </row>
    <row r="99">
      <c r="A99" s="6">
        <f>IFERROR(__xludf.DUMMYFUNCTION("""COMPUTED_VALUE"""),45883.64583333333)</f>
        <v>45883.64583</v>
      </c>
      <c r="B99" s="5">
        <f>IFERROR(__xludf.DUMMYFUNCTION("""COMPUTED_VALUE"""),5057.0)</f>
        <v>5057</v>
      </c>
      <c r="C99" s="5">
        <f>IFERROR(__xludf.DUMMYFUNCTION("""COMPUTED_VALUE"""),5122.5)</f>
        <v>5122.5</v>
      </c>
      <c r="D99" s="5">
        <f>IFERROR(__xludf.DUMMYFUNCTION("""COMPUTED_VALUE"""),5002.5)</f>
        <v>5002.5</v>
      </c>
      <c r="E99" s="5">
        <f>IFERROR(__xludf.DUMMYFUNCTION("""COMPUTED_VALUE"""),5030.0)</f>
        <v>5030</v>
      </c>
      <c r="F99" s="5">
        <f>IFERROR(__xludf.DUMMYFUNCTION("""COMPUTED_VALUE"""),1171765.0)</f>
        <v>1171765</v>
      </c>
    </row>
    <row r="100">
      <c r="A100" s="6">
        <f>IFERROR(__xludf.DUMMYFUNCTION("""COMPUTED_VALUE"""),45891.64583333333)</f>
        <v>45891.64583</v>
      </c>
      <c r="B100" s="5">
        <f>IFERROR(__xludf.DUMMYFUNCTION("""COMPUTED_VALUE"""),5090.0)</f>
        <v>5090</v>
      </c>
      <c r="C100" s="5">
        <f>IFERROR(__xludf.DUMMYFUNCTION("""COMPUTED_VALUE"""),5195.0)</f>
        <v>5195</v>
      </c>
      <c r="D100" s="5">
        <f>IFERROR(__xludf.DUMMYFUNCTION("""COMPUTED_VALUE"""),5003.5)</f>
        <v>5003.5</v>
      </c>
      <c r="E100" s="5">
        <f>IFERROR(__xludf.DUMMYFUNCTION("""COMPUTED_VALUE"""),5063.0)</f>
        <v>5063</v>
      </c>
      <c r="F100" s="5">
        <f>IFERROR(__xludf.DUMMYFUNCTION("""COMPUTED_VALUE"""),1421402.0)</f>
        <v>1421402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IFERROR(__xludf.DUMMYFUNCTION("GOOGLEFINANCE(""NSE:AUBANK"", ""all"",ConfigSheet!B2 -ConfigSheet!B1,ConfigSheet!B2,ConfigSheet!B3)"),"#N/A")</f>
        <v>#N/A</v>
      </c>
    </row>
  </sheetData>
  <drawing r:id="rId1"/>
</worksheet>
</file>

<file path=xl/worksheets/sheet2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IFERROR(__xludf.DUMMYFUNCTION("GOOGLEFINANCE(""NSE:YESBANK"", ""all"",ConfigSheet!B2 -ConfigSheet!B1,ConfigSheet!B2,ConfigSheet!B3)"),"#N/A")</f>
        <v>#N/A</v>
      </c>
    </row>
  </sheetData>
  <drawing r:id="rId1"/>
</worksheet>
</file>

<file path=xl/worksheets/sheet2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IFERROR(__xludf.DUMMYFUNCTION("GOOGLEFINANCE(""NSE:ZYDUSLIFE"", ""all"",ConfigSheet!B2 -ConfigSheet!B1,ConfigSheet!B2,ConfigSheet!B3)"),"#N/A")</f>
        <v>#N/A</v>
      </c>
    </row>
  </sheetData>
  <drawing r:id="rId1"/>
</worksheet>
</file>

<file path=xl/worksheets/sheet2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15.88"/>
  </cols>
  <sheetData>
    <row r="1">
      <c r="A1" s="9" t="s">
        <v>5</v>
      </c>
      <c r="B1" s="9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7</v>
      </c>
      <c r="B2" s="11" t="s">
        <v>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 t="s">
        <v>9</v>
      </c>
      <c r="B3" s="11" t="s">
        <v>10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11</v>
      </c>
      <c r="B4" s="11" t="s">
        <v>12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1" t="s">
        <v>13</v>
      </c>
      <c r="B5" s="11" t="s">
        <v>14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1" t="s">
        <v>15</v>
      </c>
      <c r="B6" s="11" t="s">
        <v>16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1" t="s">
        <v>17</v>
      </c>
      <c r="B7" s="11" t="s">
        <v>18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1" t="s">
        <v>19</v>
      </c>
      <c r="B8" s="11" t="s">
        <v>20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1" t="s">
        <v>21</v>
      </c>
      <c r="B9" s="11" t="s">
        <v>22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1" t="s">
        <v>23</v>
      </c>
      <c r="B10" s="11" t="s">
        <v>24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1" t="s">
        <v>25</v>
      </c>
      <c r="B11" s="11" t="s">
        <v>26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1" t="s">
        <v>27</v>
      </c>
      <c r="B12" s="11" t="s">
        <v>28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1" t="s">
        <v>29</v>
      </c>
      <c r="B13" s="11" t="s">
        <v>30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1" t="s">
        <v>31</v>
      </c>
      <c r="B14" s="11" t="s">
        <v>32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1" t="s">
        <v>33</v>
      </c>
      <c r="B15" s="11" t="s">
        <v>34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1" t="s">
        <v>35</v>
      </c>
      <c r="B16" s="11" t="s">
        <v>36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1" t="s">
        <v>37</v>
      </c>
      <c r="B17" s="11" t="s">
        <v>38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1" t="s">
        <v>39</v>
      </c>
      <c r="B18" s="11" t="s">
        <v>40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1" t="s">
        <v>41</v>
      </c>
      <c r="B19" s="11" t="s">
        <v>42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1" t="s">
        <v>43</v>
      </c>
      <c r="B20" s="11" t="s">
        <v>44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1" t="s">
        <v>45</v>
      </c>
      <c r="B21" s="11" t="s">
        <v>46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1" t="s">
        <v>47</v>
      </c>
      <c r="B22" s="11" t="s">
        <v>48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1" t="s">
        <v>49</v>
      </c>
      <c r="B23" s="11" t="s">
        <v>50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1" t="s">
        <v>51</v>
      </c>
      <c r="B24" s="11" t="s">
        <v>52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1" t="s">
        <v>53</v>
      </c>
      <c r="B25" s="11" t="s">
        <v>54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1" t="s">
        <v>55</v>
      </c>
      <c r="B26" s="11" t="s">
        <v>56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1" t="s">
        <v>57</v>
      </c>
      <c r="B27" s="11" t="s">
        <v>58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1" t="s">
        <v>59</v>
      </c>
      <c r="B28" s="11" t="s">
        <v>60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1" t="s">
        <v>61</v>
      </c>
      <c r="B29" s="11" t="s">
        <v>62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1" t="s">
        <v>63</v>
      </c>
      <c r="B30" s="11" t="s">
        <v>64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1" t="s">
        <v>65</v>
      </c>
      <c r="B31" s="11" t="s">
        <v>66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1" t="s">
        <v>67</v>
      </c>
      <c r="B32" s="11" t="s">
        <v>68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1" t="s">
        <v>69</v>
      </c>
      <c r="B33" s="11" t="s">
        <v>70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1" t="s">
        <v>71</v>
      </c>
      <c r="B34" s="11" t="s">
        <v>72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1" t="s">
        <v>73</v>
      </c>
      <c r="B35" s="11" t="s">
        <v>74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1" t="s">
        <v>75</v>
      </c>
      <c r="B36" s="11" t="s">
        <v>76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1" t="s">
        <v>77</v>
      </c>
      <c r="B37" s="11" t="s">
        <v>78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1" t="s">
        <v>79</v>
      </c>
      <c r="B38" s="11" t="s">
        <v>80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1" t="s">
        <v>81</v>
      </c>
      <c r="B39" s="11" t="s">
        <v>82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1" t="s">
        <v>83</v>
      </c>
      <c r="B40" s="11" t="s">
        <v>84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1" t="s">
        <v>85</v>
      </c>
      <c r="B41" s="11" t="s">
        <v>86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1" t="s">
        <v>87</v>
      </c>
      <c r="B42" s="11" t="s">
        <v>88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1" t="s">
        <v>89</v>
      </c>
      <c r="B43" s="11" t="s">
        <v>90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1" t="s">
        <v>91</v>
      </c>
      <c r="B44" s="11" t="s">
        <v>92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1" t="s">
        <v>93</v>
      </c>
      <c r="B45" s="11" t="s">
        <v>94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1" t="s">
        <v>95</v>
      </c>
      <c r="B46" s="11" t="s">
        <v>96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1" t="s">
        <v>97</v>
      </c>
      <c r="B47" s="11" t="s">
        <v>98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1" t="s">
        <v>99</v>
      </c>
      <c r="B48" s="11" t="s">
        <v>100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1" t="s">
        <v>101</v>
      </c>
      <c r="B49" s="11" t="s">
        <v>102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1" t="s">
        <v>103</v>
      </c>
      <c r="B50" s="11" t="s">
        <v>104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1" t="s">
        <v>105</v>
      </c>
      <c r="B51" s="11" t="s">
        <v>106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1" t="s">
        <v>107</v>
      </c>
      <c r="B52" s="11" t="s">
        <v>108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1" t="s">
        <v>109</v>
      </c>
      <c r="B53" s="11" t="s">
        <v>110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1" t="s">
        <v>111</v>
      </c>
      <c r="B54" s="11" t="s">
        <v>112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1" t="s">
        <v>113</v>
      </c>
      <c r="B55" s="11" t="s">
        <v>114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1" t="s">
        <v>115</v>
      </c>
      <c r="B56" s="11" t="s">
        <v>116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1" t="s">
        <v>117</v>
      </c>
      <c r="B57" s="11" t="s">
        <v>118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1" t="s">
        <v>119</v>
      </c>
      <c r="B58" s="11" t="s">
        <v>120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1" t="s">
        <v>121</v>
      </c>
      <c r="B59" s="11" t="s">
        <v>122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1" t="s">
        <v>123</v>
      </c>
      <c r="B60" s="11" t="s">
        <v>124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1" t="s">
        <v>125</v>
      </c>
      <c r="B61" s="11" t="s">
        <v>126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1" t="s">
        <v>127</v>
      </c>
      <c r="B62" s="11" t="s">
        <v>128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1" t="s">
        <v>129</v>
      </c>
      <c r="B63" s="11" t="s">
        <v>130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1" t="s">
        <v>131</v>
      </c>
      <c r="B64" s="11" t="s">
        <v>132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1" t="s">
        <v>133</v>
      </c>
      <c r="B65" s="11" t="s">
        <v>134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1" t="s">
        <v>135</v>
      </c>
      <c r="B66" s="11" t="s">
        <v>136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1" t="s">
        <v>137</v>
      </c>
      <c r="B67" s="11" t="s">
        <v>138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1" t="s">
        <v>139</v>
      </c>
      <c r="B68" s="11" t="s">
        <v>140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1" t="s">
        <v>141</v>
      </c>
      <c r="B69" s="11" t="s">
        <v>142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1" t="s">
        <v>143</v>
      </c>
      <c r="B70" s="11" t="s">
        <v>144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1" t="s">
        <v>145</v>
      </c>
      <c r="B71" s="11" t="s">
        <v>146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1" t="s">
        <v>147</v>
      </c>
      <c r="B72" s="11" t="s">
        <v>148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1" t="s">
        <v>149</v>
      </c>
      <c r="B73" s="11" t="s">
        <v>150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1" t="s">
        <v>151</v>
      </c>
      <c r="B74" s="11" t="s">
        <v>152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1" t="s">
        <v>153</v>
      </c>
      <c r="B75" s="11" t="s">
        <v>154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1" t="s">
        <v>155</v>
      </c>
      <c r="B76" s="11" t="s">
        <v>156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1" t="s">
        <v>157</v>
      </c>
      <c r="B77" s="11" t="s">
        <v>158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1" t="s">
        <v>159</v>
      </c>
      <c r="B78" s="11" t="s">
        <v>160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1" t="s">
        <v>161</v>
      </c>
      <c r="B79" s="11" t="s">
        <v>162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1" t="s">
        <v>163</v>
      </c>
      <c r="B80" s="11" t="s">
        <v>164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1" t="s">
        <v>165</v>
      </c>
      <c r="B81" s="11" t="s">
        <v>166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1" t="s">
        <v>167</v>
      </c>
      <c r="B82" s="11" t="s">
        <v>168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1" t="s">
        <v>169</v>
      </c>
      <c r="B83" s="11" t="s">
        <v>170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1" t="s">
        <v>171</v>
      </c>
      <c r="B84" s="11" t="s">
        <v>172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1" t="s">
        <v>173</v>
      </c>
      <c r="B85" s="11" t="s">
        <v>174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1" t="s">
        <v>175</v>
      </c>
      <c r="B86" s="11" t="s">
        <v>176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1" t="s">
        <v>177</v>
      </c>
      <c r="B87" s="11" t="s">
        <v>178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1" t="s">
        <v>179</v>
      </c>
      <c r="B88" s="11" t="s">
        <v>180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1" t="s">
        <v>181</v>
      </c>
      <c r="B89" s="11" t="s">
        <v>182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1" t="s">
        <v>183</v>
      </c>
      <c r="B90" s="11" t="s">
        <v>184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1" t="s">
        <v>185</v>
      </c>
      <c r="B91" s="11" t="s">
        <v>186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1" t="s">
        <v>187</v>
      </c>
      <c r="B92" s="11" t="s">
        <v>188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1" t="s">
        <v>189</v>
      </c>
      <c r="B93" s="11" t="s">
        <v>190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1" t="s">
        <v>191</v>
      </c>
      <c r="B94" s="11" t="s">
        <v>192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1" t="s">
        <v>193</v>
      </c>
      <c r="B95" s="11" t="s">
        <v>194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1" t="s">
        <v>195</v>
      </c>
      <c r="B96" s="11" t="s">
        <v>196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1" t="s">
        <v>197</v>
      </c>
      <c r="B97" s="11" t="s">
        <v>198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1" t="s">
        <v>199</v>
      </c>
      <c r="B98" s="11" t="s">
        <v>200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1" t="s">
        <v>201</v>
      </c>
      <c r="B99" s="11" t="s">
        <v>202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1" t="s">
        <v>203</v>
      </c>
      <c r="B100" s="11" t="s">
        <v>204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1" t="s">
        <v>205</v>
      </c>
      <c r="B101" s="11" t="s">
        <v>206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1" t="s">
        <v>207</v>
      </c>
      <c r="B102" s="11" t="s">
        <v>208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1" t="s">
        <v>209</v>
      </c>
      <c r="B103" s="11" t="s">
        <v>210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1" t="s">
        <v>211</v>
      </c>
      <c r="B104" s="11" t="s">
        <v>212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1" t="s">
        <v>213</v>
      </c>
      <c r="B105" s="11" t="s">
        <v>214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1" t="s">
        <v>215</v>
      </c>
      <c r="B106" s="11" t="s">
        <v>216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1" t="s">
        <v>217</v>
      </c>
      <c r="B107" s="11" t="s">
        <v>218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1" t="s">
        <v>219</v>
      </c>
      <c r="B108" s="11" t="s">
        <v>220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1" t="s">
        <v>221</v>
      </c>
      <c r="B109" s="11" t="s">
        <v>222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1" t="s">
        <v>223</v>
      </c>
      <c r="B110" s="11" t="s">
        <v>224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1" t="s">
        <v>225</v>
      </c>
      <c r="B111" s="11" t="s">
        <v>226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1" t="s">
        <v>227</v>
      </c>
      <c r="B112" s="11" t="s">
        <v>228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1" t="s">
        <v>229</v>
      </c>
      <c r="B113" s="11" t="s">
        <v>230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1" t="s">
        <v>231</v>
      </c>
      <c r="B114" s="11" t="s">
        <v>232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1" t="s">
        <v>233</v>
      </c>
      <c r="B115" s="11" t="s">
        <v>234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1" t="s">
        <v>235</v>
      </c>
      <c r="B116" s="11" t="s">
        <v>236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1" t="s">
        <v>237</v>
      </c>
      <c r="B117" s="11" t="s">
        <v>238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1" t="s">
        <v>239</v>
      </c>
      <c r="B118" s="11" t="s">
        <v>240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1" t="s">
        <v>241</v>
      </c>
      <c r="B119" s="11" t="s">
        <v>242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1" t="s">
        <v>243</v>
      </c>
      <c r="B120" s="11" t="s">
        <v>244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1" t="s">
        <v>245</v>
      </c>
      <c r="B121" s="11" t="s">
        <v>246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1" t="s">
        <v>247</v>
      </c>
      <c r="B122" s="11" t="s">
        <v>248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1" t="s">
        <v>249</v>
      </c>
      <c r="B123" s="11" t="s">
        <v>250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1" t="s">
        <v>251</v>
      </c>
      <c r="B124" s="11" t="s">
        <v>252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1" t="s">
        <v>253</v>
      </c>
      <c r="B125" s="11" t="s">
        <v>254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1" t="s">
        <v>255</v>
      </c>
      <c r="B126" s="11" t="s">
        <v>256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1" t="s">
        <v>257</v>
      </c>
      <c r="B127" s="11" t="s">
        <v>258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1" t="s">
        <v>259</v>
      </c>
      <c r="B128" s="11" t="s">
        <v>260</v>
      </c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1" t="s">
        <v>261</v>
      </c>
      <c r="B129" s="11" t="s">
        <v>262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1" t="s">
        <v>263</v>
      </c>
      <c r="B130" s="11" t="s">
        <v>264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1" t="s">
        <v>265</v>
      </c>
      <c r="B131" s="11" t="s">
        <v>266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1" t="s">
        <v>267</v>
      </c>
      <c r="B132" s="11" t="s">
        <v>268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1" t="s">
        <v>269</v>
      </c>
      <c r="B133" s="11" t="s">
        <v>270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1" t="s">
        <v>271</v>
      </c>
      <c r="B134" s="11" t="s">
        <v>272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1" t="s">
        <v>273</v>
      </c>
      <c r="B135" s="11" t="s">
        <v>274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1" t="s">
        <v>275</v>
      </c>
      <c r="B136" s="11" t="s">
        <v>276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1" t="s">
        <v>277</v>
      </c>
      <c r="B137" s="11" t="s">
        <v>278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1" t="s">
        <v>279</v>
      </c>
      <c r="B138" s="11" t="s">
        <v>280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1" t="s">
        <v>281</v>
      </c>
      <c r="B139" s="11" t="s">
        <v>282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1" t="s">
        <v>283</v>
      </c>
      <c r="B140" s="11" t="s">
        <v>284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1" t="s">
        <v>285</v>
      </c>
      <c r="B141" s="11" t="s">
        <v>286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1" t="s">
        <v>287</v>
      </c>
      <c r="B142" s="11" t="s">
        <v>288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1" t="s">
        <v>289</v>
      </c>
      <c r="B143" s="11" t="s">
        <v>290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1" t="s">
        <v>291</v>
      </c>
      <c r="B144" s="11" t="s">
        <v>292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1" t="s">
        <v>293</v>
      </c>
      <c r="B145" s="11" t="s">
        <v>294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1" t="s">
        <v>295</v>
      </c>
      <c r="B146" s="11" t="s">
        <v>296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1" t="s">
        <v>297</v>
      </c>
      <c r="B147" s="11" t="s">
        <v>298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1" t="s">
        <v>299</v>
      </c>
      <c r="B148" s="11" t="s">
        <v>300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1" t="s">
        <v>301</v>
      </c>
      <c r="B149" s="11" t="s">
        <v>302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1" t="s">
        <v>303</v>
      </c>
      <c r="B150" s="11" t="s">
        <v>304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1" t="s">
        <v>305</v>
      </c>
      <c r="B151" s="11" t="s">
        <v>306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1" t="s">
        <v>307</v>
      </c>
      <c r="B152" s="11" t="s">
        <v>308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1" t="s">
        <v>309</v>
      </c>
      <c r="B153" s="11" t="s">
        <v>310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1" t="s">
        <v>311</v>
      </c>
      <c r="B154" s="11" t="s">
        <v>312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1" t="s">
        <v>313</v>
      </c>
      <c r="B155" s="11" t="s">
        <v>314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1" t="s">
        <v>315</v>
      </c>
      <c r="B156" s="11" t="s">
        <v>316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1" t="s">
        <v>317</v>
      </c>
      <c r="B157" s="11" t="s">
        <v>318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1" t="s">
        <v>319</v>
      </c>
      <c r="B158" s="11" t="s">
        <v>320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1" t="s">
        <v>321</v>
      </c>
      <c r="B159" s="11" t="s">
        <v>322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1" t="s">
        <v>323</v>
      </c>
      <c r="B160" s="11" t="s">
        <v>324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1" t="s">
        <v>325</v>
      </c>
      <c r="B161" s="11" t="s">
        <v>326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1" t="s">
        <v>327</v>
      </c>
      <c r="B162" s="11" t="s">
        <v>328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1" t="s">
        <v>329</v>
      </c>
      <c r="B163" s="11" t="s">
        <v>330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1" t="s">
        <v>331</v>
      </c>
      <c r="B164" s="11" t="s">
        <v>332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1" t="s">
        <v>333</v>
      </c>
      <c r="B165" s="11" t="s">
        <v>334</v>
      </c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1" t="s">
        <v>335</v>
      </c>
      <c r="B166" s="11" t="s">
        <v>336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1" t="s">
        <v>337</v>
      </c>
      <c r="B167" s="11" t="s">
        <v>338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1" t="s">
        <v>339</v>
      </c>
      <c r="B168" s="11" t="s">
        <v>340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1" t="s">
        <v>341</v>
      </c>
      <c r="B169" s="11" t="s">
        <v>342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1" t="s">
        <v>343</v>
      </c>
      <c r="B170" s="11" t="s">
        <v>344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1" t="s">
        <v>345</v>
      </c>
      <c r="B171" s="11" t="s">
        <v>346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1" t="s">
        <v>347</v>
      </c>
      <c r="B172" s="11" t="s">
        <v>348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1" t="s">
        <v>349</v>
      </c>
      <c r="B173" s="11" t="s">
        <v>350</v>
      </c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1" t="s">
        <v>351</v>
      </c>
      <c r="B174" s="11" t="s">
        <v>352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1" t="s">
        <v>353</v>
      </c>
      <c r="B175" s="11" t="s">
        <v>354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1" t="s">
        <v>355</v>
      </c>
      <c r="B176" s="11" t="s">
        <v>356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1" t="s">
        <v>357</v>
      </c>
      <c r="B177" s="11" t="s">
        <v>358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1" t="s">
        <v>359</v>
      </c>
      <c r="B178" s="11" t="s">
        <v>360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1" t="s">
        <v>361</v>
      </c>
      <c r="B179" s="11" t="s">
        <v>362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1" t="s">
        <v>363</v>
      </c>
      <c r="B180" s="11" t="s">
        <v>364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1" t="s">
        <v>365</v>
      </c>
      <c r="B181" s="11" t="s">
        <v>366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1" t="s">
        <v>367</v>
      </c>
      <c r="B182" s="11" t="s">
        <v>368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1" t="s">
        <v>369</v>
      </c>
      <c r="B183" s="11" t="s">
        <v>370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1" t="s">
        <v>371</v>
      </c>
      <c r="B184" s="11" t="s">
        <v>372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1" t="s">
        <v>373</v>
      </c>
      <c r="B185" s="11" t="s">
        <v>374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1" t="s">
        <v>375</v>
      </c>
      <c r="B186" s="11" t="s">
        <v>376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1" t="s">
        <v>377</v>
      </c>
      <c r="B187" s="11" t="s">
        <v>378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1" t="s">
        <v>379</v>
      </c>
      <c r="B188" s="11" t="s">
        <v>380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1" t="s">
        <v>381</v>
      </c>
      <c r="B189" s="11" t="s">
        <v>382</v>
      </c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1" t="s">
        <v>383</v>
      </c>
      <c r="B190" s="11" t="s">
        <v>384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1" t="s">
        <v>385</v>
      </c>
      <c r="B191" s="11" t="s">
        <v>386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1" t="s">
        <v>387</v>
      </c>
      <c r="B192" s="11" t="s">
        <v>388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1" t="s">
        <v>389</v>
      </c>
      <c r="B193" s="11" t="s">
        <v>390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1" t="s">
        <v>391</v>
      </c>
      <c r="B194" s="11" t="s">
        <v>392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1" t="s">
        <v>393</v>
      </c>
      <c r="B195" s="11" t="s">
        <v>394</v>
      </c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1" t="s">
        <v>395</v>
      </c>
      <c r="B196" s="11" t="s">
        <v>396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1" t="s">
        <v>397</v>
      </c>
      <c r="B197" s="11" t="s">
        <v>398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1" t="s">
        <v>399</v>
      </c>
      <c r="B198" s="11" t="s">
        <v>400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1" t="s">
        <v>401</v>
      </c>
      <c r="B199" s="11" t="s">
        <v>402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1" t="s">
        <v>403</v>
      </c>
      <c r="B200" s="11" t="s">
        <v>404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1" t="s">
        <v>405</v>
      </c>
      <c r="B201" s="11" t="s">
        <v>406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1" t="s">
        <v>407</v>
      </c>
      <c r="B202" s="11" t="s">
        <v>408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autoFilter ref="$A$1:$Z$202">
    <sortState ref="A1:Z202">
      <sortCondition ref="A1:A202"/>
    </sortState>
  </autoFil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IFERROR(__xludf.DUMMYFUNCTION("GOOGLEFINANCE(""NSE:AUROPHARMA"", ""all"",ConfigSheet!B2 -ConfigSheet!B1,ConfigSheet!B2,ConfigSheet!B3)"),"#N/A")</f>
        <v>#N/A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IFERROR(__xludf.DUMMYFUNCTION("GOOGLEFINANCE(""NSE:AXISBANK"", ""all"",ConfigSheet!B2 -ConfigSheet!B1,ConfigSheet!B2,ConfigSheet!B3)"),"#N/A")</f>
        <v>#N/A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IFERROR(__xludf.DUMMYFUNCTION("GOOGLEFINANCE(""NSE:BAJAJ-AUTO"", ""all"",ConfigSheet!B2 -ConfigSheet!B1,ConfigSheet!B2,ConfigSheet!B3)"),"#N/A")</f>
        <v>#N/A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IFERROR(__xludf.DUMMYFUNCTION("GOOGLEFINANCE(""NSE:BAJAJFINSV"", ""all"",ConfigSheet!B2 -ConfigSheet!B1,ConfigSheet!B2,ConfigSheet!B3)"),"#N/A")</f>
        <v>#N/A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IFERROR(__xludf.DUMMYFUNCTION("GOOGLEFINANCE(""NSE:BAJAJHFL"", ""all"",ConfigSheet!B2 -ConfigSheet!B1,ConfigSheet!B2,ConfigSheet!B3)"),"#N/A")</f>
        <v>#N/A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IFERROR(__xludf.DUMMYFUNCTION("GOOGLEFINANCE(""NSE:BAJAJHLDNG"", ""all"",ConfigSheet!B2 -ConfigSheet!B1,ConfigSheet!B2,ConfigSheet!B3)"),"#N/A")</f>
        <v>#N/A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IFERROR(__xludf.DUMMYFUNCTION("GOOGLEFINANCE(""NSE:BAJFINANCE"", ""all"",ConfigSheet!B2 -ConfigSheet!B1,ConfigSheet!B2,ConfigSheet!B3)"),"#N/A")</f>
        <v>#N/A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IFERROR(__xludf.DUMMYFUNCTION("GOOGLEFINANCE(""NSE:BANDHANBNK"", ""all"",ConfigSheet!B2 -ConfigSheet!B1,ConfigSheet!B2,ConfigSheet!B3)"),"#N/A")</f>
        <v>#N/A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IFERROR(__xludf.DUMMYFUNCTION("GOOGLEFINANCE(""NSE:BANKBARODA"", ""all"",ConfigSheet!B2 -ConfigSheet!B1,ConfigSheet!B2,ConfigSheet!B3)"),"#N/A")</f>
        <v>#N/A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IFERROR(__xludf.DUMMYFUNCTION("GOOGLEFINANCE(""NSE:ABCAPITAL"", ""all"",ConfigSheet!B2 -ConfigSheet!B1,ConfigSheet!B2,ConfigSheet!B3)"),"Date")</f>
        <v>Date</v>
      </c>
      <c r="B1" s="5" t="str">
        <f>IFERROR(__xludf.DUMMYFUNCTION("""COMPUTED_VALUE"""),"Open")</f>
        <v>Open</v>
      </c>
      <c r="C1" s="5" t="str">
        <f>IFERROR(__xludf.DUMMYFUNCTION("""COMPUTED_VALUE"""),"High")</f>
        <v>High</v>
      </c>
      <c r="D1" s="5" t="str">
        <f>IFERROR(__xludf.DUMMYFUNCTION("""COMPUTED_VALUE"""),"Low")</f>
        <v>Low</v>
      </c>
      <c r="E1" s="5" t="str">
        <f>IFERROR(__xludf.DUMMYFUNCTION("""COMPUTED_VALUE"""),"Close")</f>
        <v>Close</v>
      </c>
      <c r="F1" s="5" t="str">
        <f>IFERROR(__xludf.DUMMYFUNCTION("""COMPUTED_VALUE"""),"Volume")</f>
        <v>Volume</v>
      </c>
    </row>
    <row r="2">
      <c r="A2" s="6">
        <f>IFERROR(__xludf.DUMMYFUNCTION("""COMPUTED_VALUE"""),45170.64583333333)</f>
        <v>45170.64583</v>
      </c>
      <c r="B2" s="5">
        <f>IFERROR(__xludf.DUMMYFUNCTION("""COMPUTED_VALUE"""),179.35)</f>
        <v>179.35</v>
      </c>
      <c r="C2" s="5">
        <f>IFERROR(__xludf.DUMMYFUNCTION("""COMPUTED_VALUE"""),185.0)</f>
        <v>185</v>
      </c>
      <c r="D2" s="5">
        <f>IFERROR(__xludf.DUMMYFUNCTION("""COMPUTED_VALUE"""),178.3)</f>
        <v>178.3</v>
      </c>
      <c r="E2" s="5">
        <f>IFERROR(__xludf.DUMMYFUNCTION("""COMPUTED_VALUE"""),184.1)</f>
        <v>184.1</v>
      </c>
      <c r="F2" s="5">
        <f>IFERROR(__xludf.DUMMYFUNCTION("""COMPUTED_VALUE"""),3.6825508E7)</f>
        <v>36825508</v>
      </c>
    </row>
    <row r="3">
      <c r="A3" s="6">
        <f>IFERROR(__xludf.DUMMYFUNCTION("""COMPUTED_VALUE"""),45177.64583333333)</f>
        <v>45177.64583</v>
      </c>
      <c r="B3" s="5">
        <f>IFERROR(__xludf.DUMMYFUNCTION("""COMPUTED_VALUE"""),184.85)</f>
        <v>184.85</v>
      </c>
      <c r="C3" s="5">
        <f>IFERROR(__xludf.DUMMYFUNCTION("""COMPUTED_VALUE"""),192.45)</f>
        <v>192.45</v>
      </c>
      <c r="D3" s="5">
        <f>IFERROR(__xludf.DUMMYFUNCTION("""COMPUTED_VALUE"""),184.05)</f>
        <v>184.05</v>
      </c>
      <c r="E3" s="5">
        <f>IFERROR(__xludf.DUMMYFUNCTION("""COMPUTED_VALUE"""),186.9)</f>
        <v>186.9</v>
      </c>
      <c r="F3" s="5">
        <f>IFERROR(__xludf.DUMMYFUNCTION("""COMPUTED_VALUE"""),2.0001604E7)</f>
        <v>20001604</v>
      </c>
    </row>
    <row r="4">
      <c r="A4" s="6">
        <f>IFERROR(__xludf.DUMMYFUNCTION("""COMPUTED_VALUE"""),45184.64583333333)</f>
        <v>45184.64583</v>
      </c>
      <c r="B4" s="5">
        <f>IFERROR(__xludf.DUMMYFUNCTION("""COMPUTED_VALUE"""),187.95)</f>
        <v>187.95</v>
      </c>
      <c r="C4" s="5">
        <f>IFERROR(__xludf.DUMMYFUNCTION("""COMPUTED_VALUE"""),192.0)</f>
        <v>192</v>
      </c>
      <c r="D4" s="5">
        <f>IFERROR(__xludf.DUMMYFUNCTION("""COMPUTED_VALUE"""),177.2)</f>
        <v>177.2</v>
      </c>
      <c r="E4" s="5">
        <f>IFERROR(__xludf.DUMMYFUNCTION("""COMPUTED_VALUE"""),184.55)</f>
        <v>184.55</v>
      </c>
      <c r="F4" s="5">
        <f>IFERROR(__xludf.DUMMYFUNCTION("""COMPUTED_VALUE"""),2.0267191E7)</f>
        <v>20267191</v>
      </c>
    </row>
    <row r="5">
      <c r="A5" s="6">
        <f>IFERROR(__xludf.DUMMYFUNCTION("""COMPUTED_VALUE"""),45191.64583333333)</f>
        <v>45191.64583</v>
      </c>
      <c r="B5" s="5">
        <f>IFERROR(__xludf.DUMMYFUNCTION("""COMPUTED_VALUE"""),185.4)</f>
        <v>185.4</v>
      </c>
      <c r="C5" s="5">
        <f>IFERROR(__xludf.DUMMYFUNCTION("""COMPUTED_VALUE"""),186.35)</f>
        <v>186.35</v>
      </c>
      <c r="D5" s="5">
        <f>IFERROR(__xludf.DUMMYFUNCTION("""COMPUTED_VALUE"""),174.65)</f>
        <v>174.65</v>
      </c>
      <c r="E5" s="5">
        <f>IFERROR(__xludf.DUMMYFUNCTION("""COMPUTED_VALUE"""),175.05)</f>
        <v>175.05</v>
      </c>
      <c r="F5" s="5">
        <f>IFERROR(__xludf.DUMMYFUNCTION("""COMPUTED_VALUE"""),1.4053551E7)</f>
        <v>14053551</v>
      </c>
    </row>
    <row r="6">
      <c r="A6" s="6">
        <f>IFERROR(__xludf.DUMMYFUNCTION("""COMPUTED_VALUE"""),45198.64583333333)</f>
        <v>45198.64583</v>
      </c>
      <c r="B6" s="5">
        <f>IFERROR(__xludf.DUMMYFUNCTION("""COMPUTED_VALUE"""),175.45)</f>
        <v>175.45</v>
      </c>
      <c r="C6" s="5">
        <f>IFERROR(__xludf.DUMMYFUNCTION("""COMPUTED_VALUE"""),181.4)</f>
        <v>181.4</v>
      </c>
      <c r="D6" s="5">
        <f>IFERROR(__xludf.DUMMYFUNCTION("""COMPUTED_VALUE"""),173.45)</f>
        <v>173.45</v>
      </c>
      <c r="E6" s="5">
        <f>IFERROR(__xludf.DUMMYFUNCTION("""COMPUTED_VALUE"""),179.95)</f>
        <v>179.95</v>
      </c>
      <c r="F6" s="5">
        <f>IFERROR(__xludf.DUMMYFUNCTION("""COMPUTED_VALUE"""),1.9616424E7)</f>
        <v>19616424</v>
      </c>
    </row>
    <row r="7">
      <c r="A7" s="6">
        <f>IFERROR(__xludf.DUMMYFUNCTION("""COMPUTED_VALUE"""),45205.64583333333)</f>
        <v>45205.64583</v>
      </c>
      <c r="B7" s="5">
        <f>IFERROR(__xludf.DUMMYFUNCTION("""COMPUTED_VALUE"""),179.25)</f>
        <v>179.25</v>
      </c>
      <c r="C7" s="5">
        <f>IFERROR(__xludf.DUMMYFUNCTION("""COMPUTED_VALUE"""),182.15)</f>
        <v>182.15</v>
      </c>
      <c r="D7" s="5">
        <f>IFERROR(__xludf.DUMMYFUNCTION("""COMPUTED_VALUE"""),174.15)</f>
        <v>174.15</v>
      </c>
      <c r="E7" s="5">
        <f>IFERROR(__xludf.DUMMYFUNCTION("""COMPUTED_VALUE"""),181.5)</f>
        <v>181.5</v>
      </c>
      <c r="F7" s="5">
        <f>IFERROR(__xludf.DUMMYFUNCTION("""COMPUTED_VALUE"""),1.0510526E7)</f>
        <v>10510526</v>
      </c>
    </row>
    <row r="8">
      <c r="A8" s="6">
        <f>IFERROR(__xludf.DUMMYFUNCTION("""COMPUTED_VALUE"""),45212.64583333333)</f>
        <v>45212.64583</v>
      </c>
      <c r="B8" s="5">
        <f>IFERROR(__xludf.DUMMYFUNCTION("""COMPUTED_VALUE"""),180.0)</f>
        <v>180</v>
      </c>
      <c r="C8" s="5">
        <f>IFERROR(__xludf.DUMMYFUNCTION("""COMPUTED_VALUE"""),183.2)</f>
        <v>183.2</v>
      </c>
      <c r="D8" s="5">
        <f>IFERROR(__xludf.DUMMYFUNCTION("""COMPUTED_VALUE"""),174.6)</f>
        <v>174.6</v>
      </c>
      <c r="E8" s="5">
        <f>IFERROR(__xludf.DUMMYFUNCTION("""COMPUTED_VALUE"""),180.6)</f>
        <v>180.6</v>
      </c>
      <c r="F8" s="5">
        <f>IFERROR(__xludf.DUMMYFUNCTION("""COMPUTED_VALUE"""),1.0196775E7)</f>
        <v>10196775</v>
      </c>
    </row>
    <row r="9">
      <c r="A9" s="6">
        <f>IFERROR(__xludf.DUMMYFUNCTION("""COMPUTED_VALUE"""),45219.64583333333)</f>
        <v>45219.64583</v>
      </c>
      <c r="B9" s="5">
        <f>IFERROR(__xludf.DUMMYFUNCTION("""COMPUTED_VALUE"""),180.6)</f>
        <v>180.6</v>
      </c>
      <c r="C9" s="5">
        <f>IFERROR(__xludf.DUMMYFUNCTION("""COMPUTED_VALUE"""),185.25)</f>
        <v>185.25</v>
      </c>
      <c r="D9" s="5">
        <f>IFERROR(__xludf.DUMMYFUNCTION("""COMPUTED_VALUE"""),177.65)</f>
        <v>177.65</v>
      </c>
      <c r="E9" s="5">
        <f>IFERROR(__xludf.DUMMYFUNCTION("""COMPUTED_VALUE"""),181.9)</f>
        <v>181.9</v>
      </c>
      <c r="F9" s="5">
        <f>IFERROR(__xludf.DUMMYFUNCTION("""COMPUTED_VALUE"""),1.2251605E7)</f>
        <v>12251605</v>
      </c>
    </row>
    <row r="10">
      <c r="A10" s="6">
        <f>IFERROR(__xludf.DUMMYFUNCTION("""COMPUTED_VALUE"""),45226.64583333333)</f>
        <v>45226.64583</v>
      </c>
      <c r="B10" s="5">
        <f>IFERROR(__xludf.DUMMYFUNCTION("""COMPUTED_VALUE"""),181.9)</f>
        <v>181.9</v>
      </c>
      <c r="C10" s="5">
        <f>IFERROR(__xludf.DUMMYFUNCTION("""COMPUTED_VALUE"""),183.0)</f>
        <v>183</v>
      </c>
      <c r="D10" s="5">
        <f>IFERROR(__xludf.DUMMYFUNCTION("""COMPUTED_VALUE"""),166.7)</f>
        <v>166.7</v>
      </c>
      <c r="E10" s="5">
        <f>IFERROR(__xludf.DUMMYFUNCTION("""COMPUTED_VALUE"""),172.25)</f>
        <v>172.25</v>
      </c>
      <c r="F10" s="5">
        <f>IFERROR(__xludf.DUMMYFUNCTION("""COMPUTED_VALUE"""),9622438.0)</f>
        <v>9622438</v>
      </c>
    </row>
    <row r="11">
      <c r="A11" s="6">
        <f>IFERROR(__xludf.DUMMYFUNCTION("""COMPUTED_VALUE"""),45233.64583333333)</f>
        <v>45233.64583</v>
      </c>
      <c r="B11" s="5">
        <f>IFERROR(__xludf.DUMMYFUNCTION("""COMPUTED_VALUE"""),172.9)</f>
        <v>172.9</v>
      </c>
      <c r="C11" s="5">
        <f>IFERROR(__xludf.DUMMYFUNCTION("""COMPUTED_VALUE"""),177.25)</f>
        <v>177.25</v>
      </c>
      <c r="D11" s="5">
        <f>IFERROR(__xludf.DUMMYFUNCTION("""COMPUTED_VALUE"""),169.75)</f>
        <v>169.75</v>
      </c>
      <c r="E11" s="5">
        <f>IFERROR(__xludf.DUMMYFUNCTION("""COMPUTED_VALUE"""),173.1)</f>
        <v>173.1</v>
      </c>
      <c r="F11" s="5">
        <f>IFERROR(__xludf.DUMMYFUNCTION("""COMPUTED_VALUE"""),1.4019197E7)</f>
        <v>14019197</v>
      </c>
    </row>
    <row r="12">
      <c r="A12" s="6">
        <f>IFERROR(__xludf.DUMMYFUNCTION("""COMPUTED_VALUE"""),45240.64583333333)</f>
        <v>45240.64583</v>
      </c>
      <c r="B12" s="5">
        <f>IFERROR(__xludf.DUMMYFUNCTION("""COMPUTED_VALUE"""),174.2)</f>
        <v>174.2</v>
      </c>
      <c r="C12" s="5">
        <f>IFERROR(__xludf.DUMMYFUNCTION("""COMPUTED_VALUE"""),177.4)</f>
        <v>177.4</v>
      </c>
      <c r="D12" s="5">
        <f>IFERROR(__xludf.DUMMYFUNCTION("""COMPUTED_VALUE"""),170.0)</f>
        <v>170</v>
      </c>
      <c r="E12" s="5">
        <f>IFERROR(__xludf.DUMMYFUNCTION("""COMPUTED_VALUE"""),175.05)</f>
        <v>175.05</v>
      </c>
      <c r="F12" s="5">
        <f>IFERROR(__xludf.DUMMYFUNCTION("""COMPUTED_VALUE"""),1.5055287E7)</f>
        <v>15055287</v>
      </c>
    </row>
    <row r="13">
      <c r="A13" s="6">
        <f>IFERROR(__xludf.DUMMYFUNCTION("""COMPUTED_VALUE"""),45247.64583333333)</f>
        <v>45247.64583</v>
      </c>
      <c r="B13" s="5">
        <f>IFERROR(__xludf.DUMMYFUNCTION("""COMPUTED_VALUE"""),176.35)</f>
        <v>176.35</v>
      </c>
      <c r="C13" s="5">
        <f>IFERROR(__xludf.DUMMYFUNCTION("""COMPUTED_VALUE"""),182.9)</f>
        <v>182.9</v>
      </c>
      <c r="D13" s="5">
        <f>IFERROR(__xludf.DUMMYFUNCTION("""COMPUTED_VALUE"""),168.6)</f>
        <v>168.6</v>
      </c>
      <c r="E13" s="5">
        <f>IFERROR(__xludf.DUMMYFUNCTION("""COMPUTED_VALUE"""),170.95)</f>
        <v>170.95</v>
      </c>
      <c r="F13" s="5">
        <f>IFERROR(__xludf.DUMMYFUNCTION("""COMPUTED_VALUE"""),1.9509974E7)</f>
        <v>19509974</v>
      </c>
    </row>
    <row r="14">
      <c r="A14" s="6">
        <f>IFERROR(__xludf.DUMMYFUNCTION("""COMPUTED_VALUE"""),45254.64583333333)</f>
        <v>45254.64583</v>
      </c>
      <c r="B14" s="5">
        <f>IFERROR(__xludf.DUMMYFUNCTION("""COMPUTED_VALUE"""),171.8)</f>
        <v>171.8</v>
      </c>
      <c r="C14" s="5">
        <f>IFERROR(__xludf.DUMMYFUNCTION("""COMPUTED_VALUE"""),174.15)</f>
        <v>174.15</v>
      </c>
      <c r="D14" s="5">
        <f>IFERROR(__xludf.DUMMYFUNCTION("""COMPUTED_VALUE"""),167.2)</f>
        <v>167.2</v>
      </c>
      <c r="E14" s="5">
        <f>IFERROR(__xludf.DUMMYFUNCTION("""COMPUTED_VALUE"""),168.7)</f>
        <v>168.7</v>
      </c>
      <c r="F14" s="5">
        <f>IFERROR(__xludf.DUMMYFUNCTION("""COMPUTED_VALUE"""),1.310415E7)</f>
        <v>13104150</v>
      </c>
    </row>
    <row r="15">
      <c r="A15" s="6">
        <f>IFERROR(__xludf.DUMMYFUNCTION("""COMPUTED_VALUE"""),45261.64583333333)</f>
        <v>45261.64583</v>
      </c>
      <c r="B15" s="5">
        <f>IFERROR(__xludf.DUMMYFUNCTION("""COMPUTED_VALUE"""),169.3)</f>
        <v>169.3</v>
      </c>
      <c r="C15" s="5">
        <f>IFERROR(__xludf.DUMMYFUNCTION("""COMPUTED_VALUE"""),172.25)</f>
        <v>172.25</v>
      </c>
      <c r="D15" s="5">
        <f>IFERROR(__xludf.DUMMYFUNCTION("""COMPUTED_VALUE"""),167.4)</f>
        <v>167.4</v>
      </c>
      <c r="E15" s="5">
        <f>IFERROR(__xludf.DUMMYFUNCTION("""COMPUTED_VALUE"""),169.9)</f>
        <v>169.9</v>
      </c>
      <c r="F15" s="5">
        <f>IFERROR(__xludf.DUMMYFUNCTION("""COMPUTED_VALUE"""),3.2848001E7)</f>
        <v>32848001</v>
      </c>
    </row>
    <row r="16">
      <c r="A16" s="6">
        <f>IFERROR(__xludf.DUMMYFUNCTION("""COMPUTED_VALUE"""),45268.64583333333)</f>
        <v>45268.64583</v>
      </c>
      <c r="B16" s="5">
        <f>IFERROR(__xludf.DUMMYFUNCTION("""COMPUTED_VALUE"""),172.0)</f>
        <v>172</v>
      </c>
      <c r="C16" s="5">
        <f>IFERROR(__xludf.DUMMYFUNCTION("""COMPUTED_VALUE"""),175.4)</f>
        <v>175.4</v>
      </c>
      <c r="D16" s="5">
        <f>IFERROR(__xludf.DUMMYFUNCTION("""COMPUTED_VALUE"""),160.8)</f>
        <v>160.8</v>
      </c>
      <c r="E16" s="5">
        <f>IFERROR(__xludf.DUMMYFUNCTION("""COMPUTED_VALUE"""),163.2)</f>
        <v>163.2</v>
      </c>
      <c r="F16" s="5">
        <f>IFERROR(__xludf.DUMMYFUNCTION("""COMPUTED_VALUE"""),3.9201288E7)</f>
        <v>39201288</v>
      </c>
    </row>
    <row r="17">
      <c r="A17" s="6">
        <f>IFERROR(__xludf.DUMMYFUNCTION("""COMPUTED_VALUE"""),45275.64583333333)</f>
        <v>45275.64583</v>
      </c>
      <c r="B17" s="5">
        <f>IFERROR(__xludf.DUMMYFUNCTION("""COMPUTED_VALUE"""),164.2)</f>
        <v>164.2</v>
      </c>
      <c r="C17" s="5">
        <f>IFERROR(__xludf.DUMMYFUNCTION("""COMPUTED_VALUE"""),167.7)</f>
        <v>167.7</v>
      </c>
      <c r="D17" s="5">
        <f>IFERROR(__xludf.DUMMYFUNCTION("""COMPUTED_VALUE"""),162.75)</f>
        <v>162.75</v>
      </c>
      <c r="E17" s="5">
        <f>IFERROR(__xludf.DUMMYFUNCTION("""COMPUTED_VALUE"""),165.6)</f>
        <v>165.6</v>
      </c>
      <c r="F17" s="5">
        <f>IFERROR(__xludf.DUMMYFUNCTION("""COMPUTED_VALUE"""),1.8174881E7)</f>
        <v>18174881</v>
      </c>
    </row>
    <row r="18">
      <c r="A18" s="6">
        <f>IFERROR(__xludf.DUMMYFUNCTION("""COMPUTED_VALUE"""),45282.64583333333)</f>
        <v>45282.64583</v>
      </c>
      <c r="B18" s="5">
        <f>IFERROR(__xludf.DUMMYFUNCTION("""COMPUTED_VALUE"""),166.0)</f>
        <v>166</v>
      </c>
      <c r="C18" s="5">
        <f>IFERROR(__xludf.DUMMYFUNCTION("""COMPUTED_VALUE"""),166.6)</f>
        <v>166.6</v>
      </c>
      <c r="D18" s="5">
        <f>IFERROR(__xludf.DUMMYFUNCTION("""COMPUTED_VALUE"""),155.0)</f>
        <v>155</v>
      </c>
      <c r="E18" s="5">
        <f>IFERROR(__xludf.DUMMYFUNCTION("""COMPUTED_VALUE"""),159.7)</f>
        <v>159.7</v>
      </c>
      <c r="F18" s="5">
        <f>IFERROR(__xludf.DUMMYFUNCTION("""COMPUTED_VALUE"""),2.1780352E7)</f>
        <v>21780352</v>
      </c>
    </row>
    <row r="19">
      <c r="A19" s="6">
        <f>IFERROR(__xludf.DUMMYFUNCTION("""COMPUTED_VALUE"""),45289.64583333333)</f>
        <v>45289.64583</v>
      </c>
      <c r="B19" s="5">
        <f>IFERROR(__xludf.DUMMYFUNCTION("""COMPUTED_VALUE"""),160.0)</f>
        <v>160</v>
      </c>
      <c r="C19" s="5">
        <f>IFERROR(__xludf.DUMMYFUNCTION("""COMPUTED_VALUE"""),167.05)</f>
        <v>167.05</v>
      </c>
      <c r="D19" s="5">
        <f>IFERROR(__xludf.DUMMYFUNCTION("""COMPUTED_VALUE"""),159.45)</f>
        <v>159.45</v>
      </c>
      <c r="E19" s="5">
        <f>IFERROR(__xludf.DUMMYFUNCTION("""COMPUTED_VALUE"""),166.4)</f>
        <v>166.4</v>
      </c>
      <c r="F19" s="5">
        <f>IFERROR(__xludf.DUMMYFUNCTION("""COMPUTED_VALUE"""),2.451467E7)</f>
        <v>24514670</v>
      </c>
    </row>
    <row r="20">
      <c r="A20" s="6">
        <f>IFERROR(__xludf.DUMMYFUNCTION("""COMPUTED_VALUE"""),45296.64583333333)</f>
        <v>45296.64583</v>
      </c>
      <c r="B20" s="5">
        <f>IFERROR(__xludf.DUMMYFUNCTION("""COMPUTED_VALUE"""),169.0)</f>
        <v>169</v>
      </c>
      <c r="C20" s="5">
        <f>IFERROR(__xludf.DUMMYFUNCTION("""COMPUTED_VALUE"""),179.2)</f>
        <v>179.2</v>
      </c>
      <c r="D20" s="5">
        <f>IFERROR(__xludf.DUMMYFUNCTION("""COMPUTED_VALUE"""),164.4)</f>
        <v>164.4</v>
      </c>
      <c r="E20" s="5">
        <f>IFERROR(__xludf.DUMMYFUNCTION("""COMPUTED_VALUE"""),175.1)</f>
        <v>175.1</v>
      </c>
      <c r="F20" s="5">
        <f>IFERROR(__xludf.DUMMYFUNCTION("""COMPUTED_VALUE"""),4.6500142E7)</f>
        <v>46500142</v>
      </c>
    </row>
    <row r="21">
      <c r="A21" s="6">
        <f>IFERROR(__xludf.DUMMYFUNCTION("""COMPUTED_VALUE"""),45303.64583333333)</f>
        <v>45303.64583</v>
      </c>
      <c r="B21" s="5">
        <f>IFERROR(__xludf.DUMMYFUNCTION("""COMPUTED_VALUE"""),176.0)</f>
        <v>176</v>
      </c>
      <c r="C21" s="5">
        <f>IFERROR(__xludf.DUMMYFUNCTION("""COMPUTED_VALUE"""),181.0)</f>
        <v>181</v>
      </c>
      <c r="D21" s="5">
        <f>IFERROR(__xludf.DUMMYFUNCTION("""COMPUTED_VALUE"""),172.2)</f>
        <v>172.2</v>
      </c>
      <c r="E21" s="5">
        <f>IFERROR(__xludf.DUMMYFUNCTION("""COMPUTED_VALUE"""),179.35)</f>
        <v>179.35</v>
      </c>
      <c r="F21" s="5">
        <f>IFERROR(__xludf.DUMMYFUNCTION("""COMPUTED_VALUE"""),3.2314865E7)</f>
        <v>32314865</v>
      </c>
    </row>
    <row r="22">
      <c r="A22" s="6">
        <f>IFERROR(__xludf.DUMMYFUNCTION("""COMPUTED_VALUE"""),45316.64583333333)</f>
        <v>45316.64583</v>
      </c>
      <c r="B22" s="5">
        <f>IFERROR(__xludf.DUMMYFUNCTION("""COMPUTED_VALUE"""),174.7)</f>
        <v>174.7</v>
      </c>
      <c r="C22" s="5">
        <f>IFERROR(__xludf.DUMMYFUNCTION("""COMPUTED_VALUE"""),175.3)</f>
        <v>175.3</v>
      </c>
      <c r="D22" s="5">
        <f>IFERROR(__xludf.DUMMYFUNCTION("""COMPUTED_VALUE"""),160.65)</f>
        <v>160.65</v>
      </c>
      <c r="E22" s="5">
        <f>IFERROR(__xludf.DUMMYFUNCTION("""COMPUTED_VALUE"""),165.75)</f>
        <v>165.75</v>
      </c>
      <c r="F22" s="5">
        <f>IFERROR(__xludf.DUMMYFUNCTION("""COMPUTED_VALUE"""),1.9800612E7)</f>
        <v>19800612</v>
      </c>
    </row>
    <row r="23">
      <c r="A23" s="6">
        <f>IFERROR(__xludf.DUMMYFUNCTION("""COMPUTED_VALUE"""),45324.64583333333)</f>
        <v>45324.64583</v>
      </c>
      <c r="B23" s="5">
        <f>IFERROR(__xludf.DUMMYFUNCTION("""COMPUTED_VALUE"""),166.7)</f>
        <v>166.7</v>
      </c>
      <c r="C23" s="5">
        <f>IFERROR(__xludf.DUMMYFUNCTION("""COMPUTED_VALUE"""),185.4)</f>
        <v>185.4</v>
      </c>
      <c r="D23" s="5">
        <f>IFERROR(__xludf.DUMMYFUNCTION("""COMPUTED_VALUE"""),163.35)</f>
        <v>163.35</v>
      </c>
      <c r="E23" s="5">
        <f>IFERROR(__xludf.DUMMYFUNCTION("""COMPUTED_VALUE"""),180.35)</f>
        <v>180.35</v>
      </c>
      <c r="F23" s="5">
        <f>IFERROR(__xludf.DUMMYFUNCTION("""COMPUTED_VALUE"""),5.7489851E7)</f>
        <v>57489851</v>
      </c>
    </row>
    <row r="24">
      <c r="A24" s="6">
        <f>IFERROR(__xludf.DUMMYFUNCTION("""COMPUTED_VALUE"""),45331.64583333333)</f>
        <v>45331.64583</v>
      </c>
      <c r="B24" s="5">
        <f>IFERROR(__xludf.DUMMYFUNCTION("""COMPUTED_VALUE"""),182.0)</f>
        <v>182</v>
      </c>
      <c r="C24" s="5">
        <f>IFERROR(__xludf.DUMMYFUNCTION("""COMPUTED_VALUE"""),191.8)</f>
        <v>191.8</v>
      </c>
      <c r="D24" s="5">
        <f>IFERROR(__xludf.DUMMYFUNCTION("""COMPUTED_VALUE"""),176.7)</f>
        <v>176.7</v>
      </c>
      <c r="E24" s="5">
        <f>IFERROR(__xludf.DUMMYFUNCTION("""COMPUTED_VALUE"""),187.9)</f>
        <v>187.9</v>
      </c>
      <c r="F24" s="5">
        <f>IFERROR(__xludf.DUMMYFUNCTION("""COMPUTED_VALUE"""),3.8435661E7)</f>
        <v>38435661</v>
      </c>
    </row>
    <row r="25">
      <c r="A25" s="6">
        <f>IFERROR(__xludf.DUMMYFUNCTION("""COMPUTED_VALUE"""),45338.64583333333)</f>
        <v>45338.64583</v>
      </c>
      <c r="B25" s="5">
        <f>IFERROR(__xludf.DUMMYFUNCTION("""COMPUTED_VALUE"""),189.35)</f>
        <v>189.35</v>
      </c>
      <c r="C25" s="5">
        <f>IFERROR(__xludf.DUMMYFUNCTION("""COMPUTED_VALUE"""),189.65)</f>
        <v>189.65</v>
      </c>
      <c r="D25" s="5">
        <f>IFERROR(__xludf.DUMMYFUNCTION("""COMPUTED_VALUE"""),176.15)</f>
        <v>176.15</v>
      </c>
      <c r="E25" s="5">
        <f>IFERROR(__xludf.DUMMYFUNCTION("""COMPUTED_VALUE"""),186.05)</f>
        <v>186.05</v>
      </c>
      <c r="F25" s="5">
        <f>IFERROR(__xludf.DUMMYFUNCTION("""COMPUTED_VALUE"""),2.2558339E7)</f>
        <v>22558339</v>
      </c>
    </row>
    <row r="26">
      <c r="A26" s="6">
        <f>IFERROR(__xludf.DUMMYFUNCTION("""COMPUTED_VALUE"""),45345.64583333333)</f>
        <v>45345.64583</v>
      </c>
      <c r="B26" s="5">
        <f>IFERROR(__xludf.DUMMYFUNCTION("""COMPUTED_VALUE"""),187.4)</f>
        <v>187.4</v>
      </c>
      <c r="C26" s="5">
        <f>IFERROR(__xludf.DUMMYFUNCTION("""COMPUTED_VALUE"""),188.35)</f>
        <v>188.35</v>
      </c>
      <c r="D26" s="5">
        <f>IFERROR(__xludf.DUMMYFUNCTION("""COMPUTED_VALUE"""),180.65)</f>
        <v>180.65</v>
      </c>
      <c r="E26" s="5">
        <f>IFERROR(__xludf.DUMMYFUNCTION("""COMPUTED_VALUE"""),187.35)</f>
        <v>187.35</v>
      </c>
      <c r="F26" s="5">
        <f>IFERROR(__xludf.DUMMYFUNCTION("""COMPUTED_VALUE"""),2.4598359E7)</f>
        <v>24598359</v>
      </c>
    </row>
    <row r="27">
      <c r="A27" s="6">
        <f>IFERROR(__xludf.DUMMYFUNCTION("""COMPUTED_VALUE"""),45358.64583333333)</f>
        <v>45358.64583</v>
      </c>
      <c r="B27" s="5">
        <f>IFERROR(__xludf.DUMMYFUNCTION("""COMPUTED_VALUE"""),186.85)</f>
        <v>186.85</v>
      </c>
      <c r="C27" s="5">
        <f>IFERROR(__xludf.DUMMYFUNCTION("""COMPUTED_VALUE"""),194.4)</f>
        <v>194.4</v>
      </c>
      <c r="D27" s="5">
        <f>IFERROR(__xludf.DUMMYFUNCTION("""COMPUTED_VALUE"""),172.8)</f>
        <v>172.8</v>
      </c>
      <c r="E27" s="5">
        <f>IFERROR(__xludf.DUMMYFUNCTION("""COMPUTED_VALUE"""),182.1)</f>
        <v>182.1</v>
      </c>
      <c r="F27" s="5">
        <f>IFERROR(__xludf.DUMMYFUNCTION("""COMPUTED_VALUE"""),4.2344609E7)</f>
        <v>42344609</v>
      </c>
    </row>
    <row r="28">
      <c r="A28" s="6">
        <f>IFERROR(__xludf.DUMMYFUNCTION("""COMPUTED_VALUE"""),45366.64583333333)</f>
        <v>45366.64583</v>
      </c>
      <c r="B28" s="5">
        <f>IFERROR(__xludf.DUMMYFUNCTION("""COMPUTED_VALUE"""),184.0)</f>
        <v>184</v>
      </c>
      <c r="C28" s="5">
        <f>IFERROR(__xludf.DUMMYFUNCTION("""COMPUTED_VALUE"""),190.3)</f>
        <v>190.3</v>
      </c>
      <c r="D28" s="5">
        <f>IFERROR(__xludf.DUMMYFUNCTION("""COMPUTED_VALUE"""),167.45)</f>
        <v>167.45</v>
      </c>
      <c r="E28" s="5">
        <f>IFERROR(__xludf.DUMMYFUNCTION("""COMPUTED_VALUE"""),173.8)</f>
        <v>173.8</v>
      </c>
      <c r="F28" s="5">
        <f>IFERROR(__xludf.DUMMYFUNCTION("""COMPUTED_VALUE"""),5.3058048E7)</f>
        <v>53058048</v>
      </c>
    </row>
    <row r="29">
      <c r="A29" s="6">
        <f>IFERROR(__xludf.DUMMYFUNCTION("""COMPUTED_VALUE"""),45373.64583333333)</f>
        <v>45373.64583</v>
      </c>
      <c r="B29" s="5">
        <f>IFERROR(__xludf.DUMMYFUNCTION("""COMPUTED_VALUE"""),173.05)</f>
        <v>173.05</v>
      </c>
      <c r="C29" s="5">
        <f>IFERROR(__xludf.DUMMYFUNCTION("""COMPUTED_VALUE"""),176.3)</f>
        <v>176.3</v>
      </c>
      <c r="D29" s="5">
        <f>IFERROR(__xludf.DUMMYFUNCTION("""COMPUTED_VALUE"""),165.9)</f>
        <v>165.9</v>
      </c>
      <c r="E29" s="5">
        <f>IFERROR(__xludf.DUMMYFUNCTION("""COMPUTED_VALUE"""),175.05)</f>
        <v>175.05</v>
      </c>
      <c r="F29" s="5">
        <f>IFERROR(__xludf.DUMMYFUNCTION("""COMPUTED_VALUE"""),1.4454366E7)</f>
        <v>14454366</v>
      </c>
    </row>
    <row r="30">
      <c r="A30" s="6">
        <f>IFERROR(__xludf.DUMMYFUNCTION("""COMPUTED_VALUE"""),45379.64583333333)</f>
        <v>45379.64583</v>
      </c>
      <c r="B30" s="5">
        <f>IFERROR(__xludf.DUMMYFUNCTION("""COMPUTED_VALUE"""),175.6)</f>
        <v>175.6</v>
      </c>
      <c r="C30" s="5">
        <f>IFERROR(__xludf.DUMMYFUNCTION("""COMPUTED_VALUE"""),178.9)</f>
        <v>178.9</v>
      </c>
      <c r="D30" s="5">
        <f>IFERROR(__xludf.DUMMYFUNCTION("""COMPUTED_VALUE"""),174.55)</f>
        <v>174.55</v>
      </c>
      <c r="E30" s="5">
        <f>IFERROR(__xludf.DUMMYFUNCTION("""COMPUTED_VALUE"""),175.4)</f>
        <v>175.4</v>
      </c>
      <c r="F30" s="5">
        <f>IFERROR(__xludf.DUMMYFUNCTION("""COMPUTED_VALUE"""),9316158.0)</f>
        <v>9316158</v>
      </c>
    </row>
    <row r="31">
      <c r="A31" s="6">
        <f>IFERROR(__xludf.DUMMYFUNCTION("""COMPUTED_VALUE"""),45387.64583333333)</f>
        <v>45387.64583</v>
      </c>
      <c r="B31" s="5">
        <f>IFERROR(__xludf.DUMMYFUNCTION("""COMPUTED_VALUE"""),176.3)</f>
        <v>176.3</v>
      </c>
      <c r="C31" s="5">
        <f>IFERROR(__xludf.DUMMYFUNCTION("""COMPUTED_VALUE"""),208.7)</f>
        <v>208.7</v>
      </c>
      <c r="D31" s="5">
        <f>IFERROR(__xludf.DUMMYFUNCTION("""COMPUTED_VALUE"""),176.3)</f>
        <v>176.3</v>
      </c>
      <c r="E31" s="5">
        <f>IFERROR(__xludf.DUMMYFUNCTION("""COMPUTED_VALUE"""),204.8)</f>
        <v>204.8</v>
      </c>
      <c r="F31" s="5">
        <f>IFERROR(__xludf.DUMMYFUNCTION("""COMPUTED_VALUE"""),8.9241015E7)</f>
        <v>89241015</v>
      </c>
    </row>
    <row r="32">
      <c r="A32" s="6">
        <f>IFERROR(__xludf.DUMMYFUNCTION("""COMPUTED_VALUE"""),45394.64583333333)</f>
        <v>45394.64583</v>
      </c>
      <c r="B32" s="5">
        <f>IFERROR(__xludf.DUMMYFUNCTION("""COMPUTED_VALUE"""),205.85)</f>
        <v>205.85</v>
      </c>
      <c r="C32" s="5">
        <f>IFERROR(__xludf.DUMMYFUNCTION("""COMPUTED_VALUE"""),208.2)</f>
        <v>208.2</v>
      </c>
      <c r="D32" s="5">
        <f>IFERROR(__xludf.DUMMYFUNCTION("""COMPUTED_VALUE"""),200.75)</f>
        <v>200.75</v>
      </c>
      <c r="E32" s="5">
        <f>IFERROR(__xludf.DUMMYFUNCTION("""COMPUTED_VALUE"""),202.55)</f>
        <v>202.55</v>
      </c>
      <c r="F32" s="5">
        <f>IFERROR(__xludf.DUMMYFUNCTION("""COMPUTED_VALUE"""),1.7588544E7)</f>
        <v>17588544</v>
      </c>
    </row>
    <row r="33">
      <c r="A33" s="6">
        <f>IFERROR(__xludf.DUMMYFUNCTION("""COMPUTED_VALUE"""),45401.64583333333)</f>
        <v>45401.64583</v>
      </c>
      <c r="B33" s="5">
        <f>IFERROR(__xludf.DUMMYFUNCTION("""COMPUTED_VALUE"""),200.3)</f>
        <v>200.3</v>
      </c>
      <c r="C33" s="5">
        <f>IFERROR(__xludf.DUMMYFUNCTION("""COMPUTED_VALUE"""),211.0)</f>
        <v>211</v>
      </c>
      <c r="D33" s="5">
        <f>IFERROR(__xludf.DUMMYFUNCTION("""COMPUTED_VALUE"""),194.25)</f>
        <v>194.25</v>
      </c>
      <c r="E33" s="5">
        <f>IFERROR(__xludf.DUMMYFUNCTION("""COMPUTED_VALUE"""),200.9)</f>
        <v>200.9</v>
      </c>
      <c r="F33" s="5">
        <f>IFERROR(__xludf.DUMMYFUNCTION("""COMPUTED_VALUE"""),4.2205347E7)</f>
        <v>42205347</v>
      </c>
    </row>
    <row r="34">
      <c r="A34" s="6">
        <f>IFERROR(__xludf.DUMMYFUNCTION("""COMPUTED_VALUE"""),45408.64583333333)</f>
        <v>45408.64583</v>
      </c>
      <c r="B34" s="5">
        <f>IFERROR(__xludf.DUMMYFUNCTION("""COMPUTED_VALUE"""),202.9)</f>
        <v>202.9</v>
      </c>
      <c r="C34" s="5">
        <f>IFERROR(__xludf.DUMMYFUNCTION("""COMPUTED_VALUE"""),236.95)</f>
        <v>236.95</v>
      </c>
      <c r="D34" s="5">
        <f>IFERROR(__xludf.DUMMYFUNCTION("""COMPUTED_VALUE"""),201.05)</f>
        <v>201.05</v>
      </c>
      <c r="E34" s="5">
        <f>IFERROR(__xludf.DUMMYFUNCTION("""COMPUTED_VALUE"""),231.3)</f>
        <v>231.3</v>
      </c>
      <c r="F34" s="5">
        <f>IFERROR(__xludf.DUMMYFUNCTION("""COMPUTED_VALUE"""),1.01140994E8)</f>
        <v>101140994</v>
      </c>
    </row>
    <row r="35">
      <c r="A35" s="6">
        <f>IFERROR(__xludf.DUMMYFUNCTION("""COMPUTED_VALUE"""),45415.64583333333)</f>
        <v>45415.64583</v>
      </c>
      <c r="B35" s="5">
        <f>IFERROR(__xludf.DUMMYFUNCTION("""COMPUTED_VALUE"""),233.0)</f>
        <v>233</v>
      </c>
      <c r="C35" s="5">
        <f>IFERROR(__xludf.DUMMYFUNCTION("""COMPUTED_VALUE"""),243.7)</f>
        <v>243.7</v>
      </c>
      <c r="D35" s="5">
        <f>IFERROR(__xludf.DUMMYFUNCTION("""COMPUTED_VALUE"""),228.1)</f>
        <v>228.1</v>
      </c>
      <c r="E35" s="5">
        <f>IFERROR(__xludf.DUMMYFUNCTION("""COMPUTED_VALUE"""),231.1)</f>
        <v>231.1</v>
      </c>
      <c r="F35" s="5">
        <f>IFERROR(__xludf.DUMMYFUNCTION("""COMPUTED_VALUE"""),4.8861258E7)</f>
        <v>48861258</v>
      </c>
    </row>
    <row r="36">
      <c r="A36" s="6">
        <f>IFERROR(__xludf.DUMMYFUNCTION("""COMPUTED_VALUE"""),45422.64583333333)</f>
        <v>45422.64583</v>
      </c>
      <c r="B36" s="5">
        <f>IFERROR(__xludf.DUMMYFUNCTION("""COMPUTED_VALUE"""),232.5)</f>
        <v>232.5</v>
      </c>
      <c r="C36" s="5">
        <f>IFERROR(__xludf.DUMMYFUNCTION("""COMPUTED_VALUE"""),232.9)</f>
        <v>232.9</v>
      </c>
      <c r="D36" s="5">
        <f>IFERROR(__xludf.DUMMYFUNCTION("""COMPUTED_VALUE"""),208.35)</f>
        <v>208.35</v>
      </c>
      <c r="E36" s="5">
        <f>IFERROR(__xludf.DUMMYFUNCTION("""COMPUTED_VALUE"""),216.2)</f>
        <v>216.2</v>
      </c>
      <c r="F36" s="5">
        <f>IFERROR(__xludf.DUMMYFUNCTION("""COMPUTED_VALUE"""),3.9569761E7)</f>
        <v>39569761</v>
      </c>
    </row>
    <row r="37">
      <c r="A37" s="6">
        <f>IFERROR(__xludf.DUMMYFUNCTION("""COMPUTED_VALUE"""),45436.64583333333)</f>
        <v>45436.64583</v>
      </c>
      <c r="B37" s="5">
        <f>IFERROR(__xludf.DUMMYFUNCTION("""COMPUTED_VALUE"""),224.5)</f>
        <v>224.5</v>
      </c>
      <c r="C37" s="5">
        <f>IFERROR(__xludf.DUMMYFUNCTION("""COMPUTED_VALUE"""),231.1)</f>
        <v>231.1</v>
      </c>
      <c r="D37" s="5">
        <f>IFERROR(__xludf.DUMMYFUNCTION("""COMPUTED_VALUE"""),220.6)</f>
        <v>220.6</v>
      </c>
      <c r="E37" s="5">
        <f>IFERROR(__xludf.DUMMYFUNCTION("""COMPUTED_VALUE"""),228.55)</f>
        <v>228.55</v>
      </c>
      <c r="F37" s="5">
        <f>IFERROR(__xludf.DUMMYFUNCTION("""COMPUTED_VALUE"""),3.2324086E7)</f>
        <v>32324086</v>
      </c>
    </row>
    <row r="38">
      <c r="A38" s="6">
        <f>IFERROR(__xludf.DUMMYFUNCTION("""COMPUTED_VALUE"""),45443.64583333333)</f>
        <v>45443.64583</v>
      </c>
      <c r="B38" s="5">
        <f>IFERROR(__xludf.DUMMYFUNCTION("""COMPUTED_VALUE"""),230.0)</f>
        <v>230</v>
      </c>
      <c r="C38" s="5">
        <f>IFERROR(__xludf.DUMMYFUNCTION("""COMPUTED_VALUE"""),234.2)</f>
        <v>234.2</v>
      </c>
      <c r="D38" s="5">
        <f>IFERROR(__xludf.DUMMYFUNCTION("""COMPUTED_VALUE"""),220.25)</f>
        <v>220.25</v>
      </c>
      <c r="E38" s="5">
        <f>IFERROR(__xludf.DUMMYFUNCTION("""COMPUTED_VALUE"""),223.85)</f>
        <v>223.85</v>
      </c>
      <c r="F38" s="5">
        <f>IFERROR(__xludf.DUMMYFUNCTION("""COMPUTED_VALUE"""),3.7327115E7)</f>
        <v>37327115</v>
      </c>
    </row>
    <row r="39">
      <c r="A39" s="6">
        <f>IFERROR(__xludf.DUMMYFUNCTION("""COMPUTED_VALUE"""),45450.64583333333)</f>
        <v>45450.64583</v>
      </c>
      <c r="B39" s="5">
        <f>IFERROR(__xludf.DUMMYFUNCTION("""COMPUTED_VALUE"""),234.0)</f>
        <v>234</v>
      </c>
      <c r="C39" s="5">
        <f>IFERROR(__xludf.DUMMYFUNCTION("""COMPUTED_VALUE"""),237.4)</f>
        <v>237.4</v>
      </c>
      <c r="D39" s="5">
        <f>IFERROR(__xludf.DUMMYFUNCTION("""COMPUTED_VALUE"""),195.5)</f>
        <v>195.5</v>
      </c>
      <c r="E39" s="5">
        <f>IFERROR(__xludf.DUMMYFUNCTION("""COMPUTED_VALUE"""),231.9)</f>
        <v>231.9</v>
      </c>
      <c r="F39" s="5">
        <f>IFERROR(__xludf.DUMMYFUNCTION("""COMPUTED_VALUE"""),6.6738185E7)</f>
        <v>66738185</v>
      </c>
    </row>
    <row r="40">
      <c r="A40" s="6">
        <f>IFERROR(__xludf.DUMMYFUNCTION("""COMPUTED_VALUE"""),45457.64583333333)</f>
        <v>45457.64583</v>
      </c>
      <c r="B40" s="5">
        <f>IFERROR(__xludf.DUMMYFUNCTION("""COMPUTED_VALUE"""),233.37)</f>
        <v>233.37</v>
      </c>
      <c r="C40" s="5">
        <f>IFERROR(__xludf.DUMMYFUNCTION("""COMPUTED_VALUE"""),243.3)</f>
        <v>243.3</v>
      </c>
      <c r="D40" s="5">
        <f>IFERROR(__xludf.DUMMYFUNCTION("""COMPUTED_VALUE"""),229.0)</f>
        <v>229</v>
      </c>
      <c r="E40" s="5">
        <f>IFERROR(__xludf.DUMMYFUNCTION("""COMPUTED_VALUE"""),239.96)</f>
        <v>239.96</v>
      </c>
      <c r="F40" s="5">
        <f>IFERROR(__xludf.DUMMYFUNCTION("""COMPUTED_VALUE"""),3.795539E7)</f>
        <v>37955390</v>
      </c>
    </row>
    <row r="41">
      <c r="A41" s="6">
        <f>IFERROR(__xludf.DUMMYFUNCTION("""COMPUTED_VALUE"""),45464.64583333333)</f>
        <v>45464.64583</v>
      </c>
      <c r="B41" s="5">
        <f>IFERROR(__xludf.DUMMYFUNCTION("""COMPUTED_VALUE"""),240.0)</f>
        <v>240</v>
      </c>
      <c r="C41" s="5">
        <f>IFERROR(__xludf.DUMMYFUNCTION("""COMPUTED_VALUE"""),246.9)</f>
        <v>246.9</v>
      </c>
      <c r="D41" s="5">
        <f>IFERROR(__xludf.DUMMYFUNCTION("""COMPUTED_VALUE"""),225.0)</f>
        <v>225</v>
      </c>
      <c r="E41" s="5">
        <f>IFERROR(__xludf.DUMMYFUNCTION("""COMPUTED_VALUE"""),241.3)</f>
        <v>241.3</v>
      </c>
      <c r="F41" s="5">
        <f>IFERROR(__xludf.DUMMYFUNCTION("""COMPUTED_VALUE"""),3.9398324E7)</f>
        <v>39398324</v>
      </c>
    </row>
    <row r="42">
      <c r="A42" s="6">
        <f>IFERROR(__xludf.DUMMYFUNCTION("""COMPUTED_VALUE"""),45471.64583333333)</f>
        <v>45471.64583</v>
      </c>
      <c r="B42" s="5">
        <f>IFERROR(__xludf.DUMMYFUNCTION("""COMPUTED_VALUE"""),239.71)</f>
        <v>239.71</v>
      </c>
      <c r="C42" s="5">
        <f>IFERROR(__xludf.DUMMYFUNCTION("""COMPUTED_VALUE"""),243.39)</f>
        <v>243.39</v>
      </c>
      <c r="D42" s="5">
        <f>IFERROR(__xludf.DUMMYFUNCTION("""COMPUTED_VALUE"""),232.76)</f>
        <v>232.76</v>
      </c>
      <c r="E42" s="5">
        <f>IFERROR(__xludf.DUMMYFUNCTION("""COMPUTED_VALUE"""),238.71)</f>
        <v>238.71</v>
      </c>
      <c r="F42" s="5">
        <f>IFERROR(__xludf.DUMMYFUNCTION("""COMPUTED_VALUE"""),2.336874E7)</f>
        <v>23368740</v>
      </c>
    </row>
    <row r="43">
      <c r="A43" s="6">
        <f>IFERROR(__xludf.DUMMYFUNCTION("""COMPUTED_VALUE"""),45478.64583333333)</f>
        <v>45478.64583</v>
      </c>
      <c r="B43" s="5">
        <f>IFERROR(__xludf.DUMMYFUNCTION("""COMPUTED_VALUE"""),239.4)</f>
        <v>239.4</v>
      </c>
      <c r="C43" s="5">
        <f>IFERROR(__xludf.DUMMYFUNCTION("""COMPUTED_VALUE"""),242.41)</f>
        <v>242.41</v>
      </c>
      <c r="D43" s="5">
        <f>IFERROR(__xludf.DUMMYFUNCTION("""COMPUTED_VALUE"""),234.4)</f>
        <v>234.4</v>
      </c>
      <c r="E43" s="5">
        <f>IFERROR(__xludf.DUMMYFUNCTION("""COMPUTED_VALUE"""),236.01)</f>
        <v>236.01</v>
      </c>
      <c r="F43" s="5">
        <f>IFERROR(__xludf.DUMMYFUNCTION("""COMPUTED_VALUE"""),1.6168145E7)</f>
        <v>16168145</v>
      </c>
    </row>
    <row r="44">
      <c r="A44" s="6">
        <f>IFERROR(__xludf.DUMMYFUNCTION("""COMPUTED_VALUE"""),45485.64583333333)</f>
        <v>45485.64583</v>
      </c>
      <c r="B44" s="5">
        <f>IFERROR(__xludf.DUMMYFUNCTION("""COMPUTED_VALUE"""),236.01)</f>
        <v>236.01</v>
      </c>
      <c r="C44" s="5">
        <f>IFERROR(__xludf.DUMMYFUNCTION("""COMPUTED_VALUE"""),237.04)</f>
        <v>237.04</v>
      </c>
      <c r="D44" s="5">
        <f>IFERROR(__xludf.DUMMYFUNCTION("""COMPUTED_VALUE"""),224.29)</f>
        <v>224.29</v>
      </c>
      <c r="E44" s="5">
        <f>IFERROR(__xludf.DUMMYFUNCTION("""COMPUTED_VALUE"""),224.75)</f>
        <v>224.75</v>
      </c>
      <c r="F44" s="5">
        <f>IFERROR(__xludf.DUMMYFUNCTION("""COMPUTED_VALUE"""),1.5669754E7)</f>
        <v>15669754</v>
      </c>
    </row>
    <row r="45">
      <c r="A45" s="6">
        <f>IFERROR(__xludf.DUMMYFUNCTION("""COMPUTED_VALUE"""),45492.64583333333)</f>
        <v>45492.64583</v>
      </c>
      <c r="B45" s="5">
        <f>IFERROR(__xludf.DUMMYFUNCTION("""COMPUTED_VALUE"""),225.34)</f>
        <v>225.34</v>
      </c>
      <c r="C45" s="5">
        <f>IFERROR(__xludf.DUMMYFUNCTION("""COMPUTED_VALUE"""),228.18)</f>
        <v>228.18</v>
      </c>
      <c r="D45" s="5">
        <f>IFERROR(__xludf.DUMMYFUNCTION("""COMPUTED_VALUE"""),215.05)</f>
        <v>215.05</v>
      </c>
      <c r="E45" s="5">
        <f>IFERROR(__xludf.DUMMYFUNCTION("""COMPUTED_VALUE"""),215.64)</f>
        <v>215.64</v>
      </c>
      <c r="F45" s="5">
        <f>IFERROR(__xludf.DUMMYFUNCTION("""COMPUTED_VALUE"""),1.5606722E7)</f>
        <v>15606722</v>
      </c>
    </row>
    <row r="46">
      <c r="A46" s="6">
        <f>IFERROR(__xludf.DUMMYFUNCTION("""COMPUTED_VALUE"""),45499.64583333333)</f>
        <v>45499.64583</v>
      </c>
      <c r="B46" s="5">
        <f>IFERROR(__xludf.DUMMYFUNCTION("""COMPUTED_VALUE"""),215.0)</f>
        <v>215</v>
      </c>
      <c r="C46" s="5">
        <f>IFERROR(__xludf.DUMMYFUNCTION("""COMPUTED_VALUE"""),224.45)</f>
        <v>224.45</v>
      </c>
      <c r="D46" s="5">
        <f>IFERROR(__xludf.DUMMYFUNCTION("""COMPUTED_VALUE"""),205.53)</f>
        <v>205.53</v>
      </c>
      <c r="E46" s="5">
        <f>IFERROR(__xludf.DUMMYFUNCTION("""COMPUTED_VALUE"""),223.43)</f>
        <v>223.43</v>
      </c>
      <c r="F46" s="5">
        <f>IFERROR(__xludf.DUMMYFUNCTION("""COMPUTED_VALUE"""),2.2179365E7)</f>
        <v>22179365</v>
      </c>
    </row>
    <row r="47">
      <c r="A47" s="6">
        <f>IFERROR(__xludf.DUMMYFUNCTION("""COMPUTED_VALUE"""),45506.64583333333)</f>
        <v>45506.64583</v>
      </c>
      <c r="B47" s="5">
        <f>IFERROR(__xludf.DUMMYFUNCTION("""COMPUTED_VALUE"""),225.0)</f>
        <v>225</v>
      </c>
      <c r="C47" s="5">
        <f>IFERROR(__xludf.DUMMYFUNCTION("""COMPUTED_VALUE"""),229.4)</f>
        <v>229.4</v>
      </c>
      <c r="D47" s="5">
        <f>IFERROR(__xludf.DUMMYFUNCTION("""COMPUTED_VALUE"""),208.0)</f>
        <v>208</v>
      </c>
      <c r="E47" s="5">
        <f>IFERROR(__xludf.DUMMYFUNCTION("""COMPUTED_VALUE"""),211.59)</f>
        <v>211.59</v>
      </c>
      <c r="F47" s="5">
        <f>IFERROR(__xludf.DUMMYFUNCTION("""COMPUTED_VALUE"""),3.4437693E7)</f>
        <v>34437693</v>
      </c>
    </row>
    <row r="48">
      <c r="A48" s="6">
        <f>IFERROR(__xludf.DUMMYFUNCTION("""COMPUTED_VALUE"""),45513.64583333333)</f>
        <v>45513.64583</v>
      </c>
      <c r="B48" s="5">
        <f>IFERROR(__xludf.DUMMYFUNCTION("""COMPUTED_VALUE"""),204.0)</f>
        <v>204</v>
      </c>
      <c r="C48" s="5">
        <f>IFERROR(__xludf.DUMMYFUNCTION("""COMPUTED_VALUE"""),214.15)</f>
        <v>214.15</v>
      </c>
      <c r="D48" s="5">
        <f>IFERROR(__xludf.DUMMYFUNCTION("""COMPUTED_VALUE"""),200.05)</f>
        <v>200.05</v>
      </c>
      <c r="E48" s="5">
        <f>IFERROR(__xludf.DUMMYFUNCTION("""COMPUTED_VALUE"""),211.8)</f>
        <v>211.8</v>
      </c>
      <c r="F48" s="5">
        <f>IFERROR(__xludf.DUMMYFUNCTION("""COMPUTED_VALUE"""),2.8833609E7)</f>
        <v>28833609</v>
      </c>
    </row>
    <row r="49">
      <c r="A49" s="6">
        <f>IFERROR(__xludf.DUMMYFUNCTION("""COMPUTED_VALUE"""),45520.64583333333)</f>
        <v>45520.64583</v>
      </c>
      <c r="B49" s="5">
        <f>IFERROR(__xludf.DUMMYFUNCTION("""COMPUTED_VALUE"""),211.6)</f>
        <v>211.6</v>
      </c>
      <c r="C49" s="5">
        <f>IFERROR(__xludf.DUMMYFUNCTION("""COMPUTED_VALUE"""),216.98)</f>
        <v>216.98</v>
      </c>
      <c r="D49" s="5">
        <f>IFERROR(__xludf.DUMMYFUNCTION("""COMPUTED_VALUE"""),201.6)</f>
        <v>201.6</v>
      </c>
      <c r="E49" s="5">
        <f>IFERROR(__xludf.DUMMYFUNCTION("""COMPUTED_VALUE"""),216.09)</f>
        <v>216.09</v>
      </c>
      <c r="F49" s="5">
        <f>IFERROR(__xludf.DUMMYFUNCTION("""COMPUTED_VALUE"""),2.4676351E7)</f>
        <v>24676351</v>
      </c>
    </row>
    <row r="50">
      <c r="A50" s="6">
        <f>IFERROR(__xludf.DUMMYFUNCTION("""COMPUTED_VALUE"""),45527.64583333333)</f>
        <v>45527.64583</v>
      </c>
      <c r="B50" s="5">
        <f>IFERROR(__xludf.DUMMYFUNCTION("""COMPUTED_VALUE"""),217.12)</f>
        <v>217.12</v>
      </c>
      <c r="C50" s="5">
        <f>IFERROR(__xludf.DUMMYFUNCTION("""COMPUTED_VALUE"""),226.0)</f>
        <v>226</v>
      </c>
      <c r="D50" s="5">
        <f>IFERROR(__xludf.DUMMYFUNCTION("""COMPUTED_VALUE"""),211.92)</f>
        <v>211.92</v>
      </c>
      <c r="E50" s="5">
        <f>IFERROR(__xludf.DUMMYFUNCTION("""COMPUTED_VALUE"""),219.08)</f>
        <v>219.08</v>
      </c>
      <c r="F50" s="5">
        <f>IFERROR(__xludf.DUMMYFUNCTION("""COMPUTED_VALUE"""),2.9512913E7)</f>
        <v>29512913</v>
      </c>
    </row>
    <row r="51">
      <c r="A51" s="6">
        <f>IFERROR(__xludf.DUMMYFUNCTION("""COMPUTED_VALUE"""),45534.64583333333)</f>
        <v>45534.64583</v>
      </c>
      <c r="B51" s="5">
        <f>IFERROR(__xludf.DUMMYFUNCTION("""COMPUTED_VALUE"""),220.5)</f>
        <v>220.5</v>
      </c>
      <c r="C51" s="5">
        <f>IFERROR(__xludf.DUMMYFUNCTION("""COMPUTED_VALUE"""),225.7)</f>
        <v>225.7</v>
      </c>
      <c r="D51" s="5">
        <f>IFERROR(__xludf.DUMMYFUNCTION("""COMPUTED_VALUE"""),218.09)</f>
        <v>218.09</v>
      </c>
      <c r="E51" s="5">
        <f>IFERROR(__xludf.DUMMYFUNCTION("""COMPUTED_VALUE"""),220.11)</f>
        <v>220.11</v>
      </c>
      <c r="F51" s="5">
        <f>IFERROR(__xludf.DUMMYFUNCTION("""COMPUTED_VALUE"""),2.5703323E7)</f>
        <v>25703323</v>
      </c>
    </row>
    <row r="52">
      <c r="A52" s="6">
        <f>IFERROR(__xludf.DUMMYFUNCTION("""COMPUTED_VALUE"""),45541.64583333333)</f>
        <v>45541.64583</v>
      </c>
      <c r="B52" s="5">
        <f>IFERROR(__xludf.DUMMYFUNCTION("""COMPUTED_VALUE"""),221.0)</f>
        <v>221</v>
      </c>
      <c r="C52" s="5">
        <f>IFERROR(__xludf.DUMMYFUNCTION("""COMPUTED_VALUE"""),229.45)</f>
        <v>229.45</v>
      </c>
      <c r="D52" s="5">
        <f>IFERROR(__xludf.DUMMYFUNCTION("""COMPUTED_VALUE"""),215.64)</f>
        <v>215.64</v>
      </c>
      <c r="E52" s="5">
        <f>IFERROR(__xludf.DUMMYFUNCTION("""COMPUTED_VALUE"""),216.78)</f>
        <v>216.78</v>
      </c>
      <c r="F52" s="5">
        <f>IFERROR(__xludf.DUMMYFUNCTION("""COMPUTED_VALUE"""),2.859038E7)</f>
        <v>28590380</v>
      </c>
    </row>
    <row r="53">
      <c r="A53" s="6">
        <f>IFERROR(__xludf.DUMMYFUNCTION("""COMPUTED_VALUE"""),45548.64583333333)</f>
        <v>45548.64583</v>
      </c>
      <c r="B53" s="5">
        <f>IFERROR(__xludf.DUMMYFUNCTION("""COMPUTED_VALUE"""),217.9)</f>
        <v>217.9</v>
      </c>
      <c r="C53" s="5">
        <f>IFERROR(__xludf.DUMMYFUNCTION("""COMPUTED_VALUE"""),227.18)</f>
        <v>227.18</v>
      </c>
      <c r="D53" s="5">
        <f>IFERROR(__xludf.DUMMYFUNCTION("""COMPUTED_VALUE"""),212.8)</f>
        <v>212.8</v>
      </c>
      <c r="E53" s="5">
        <f>IFERROR(__xludf.DUMMYFUNCTION("""COMPUTED_VALUE"""),226.1)</f>
        <v>226.1</v>
      </c>
      <c r="F53" s="5">
        <f>IFERROR(__xludf.DUMMYFUNCTION("""COMPUTED_VALUE"""),1.8237038E7)</f>
        <v>18237038</v>
      </c>
    </row>
    <row r="54">
      <c r="A54" s="6">
        <f>IFERROR(__xludf.DUMMYFUNCTION("""COMPUTED_VALUE"""),45555.64583333333)</f>
        <v>45555.64583</v>
      </c>
      <c r="B54" s="5">
        <f>IFERROR(__xludf.DUMMYFUNCTION("""COMPUTED_VALUE"""),227.25)</f>
        <v>227.25</v>
      </c>
      <c r="C54" s="5">
        <f>IFERROR(__xludf.DUMMYFUNCTION("""COMPUTED_VALUE"""),240.0)</f>
        <v>240</v>
      </c>
      <c r="D54" s="5">
        <f>IFERROR(__xludf.DUMMYFUNCTION("""COMPUTED_VALUE"""),222.85)</f>
        <v>222.85</v>
      </c>
      <c r="E54" s="5">
        <f>IFERROR(__xludf.DUMMYFUNCTION("""COMPUTED_VALUE"""),228.29)</f>
        <v>228.29</v>
      </c>
      <c r="F54" s="5">
        <f>IFERROR(__xludf.DUMMYFUNCTION("""COMPUTED_VALUE"""),6.0252229E7)</f>
        <v>60252229</v>
      </c>
    </row>
    <row r="55">
      <c r="A55" s="6">
        <f>IFERROR(__xludf.DUMMYFUNCTION("""COMPUTED_VALUE"""),45562.64583333333)</f>
        <v>45562.64583</v>
      </c>
      <c r="B55" s="5">
        <f>IFERROR(__xludf.DUMMYFUNCTION("""COMPUTED_VALUE"""),230.0)</f>
        <v>230</v>
      </c>
      <c r="C55" s="5">
        <f>IFERROR(__xludf.DUMMYFUNCTION("""COMPUTED_VALUE"""),240.19)</f>
        <v>240.19</v>
      </c>
      <c r="D55" s="5">
        <f>IFERROR(__xludf.DUMMYFUNCTION("""COMPUTED_VALUE"""),228.29)</f>
        <v>228.29</v>
      </c>
      <c r="E55" s="5">
        <f>IFERROR(__xludf.DUMMYFUNCTION("""COMPUTED_VALUE"""),236.3)</f>
        <v>236.3</v>
      </c>
      <c r="F55" s="5">
        <f>IFERROR(__xludf.DUMMYFUNCTION("""COMPUTED_VALUE"""),2.7001738E7)</f>
        <v>27001738</v>
      </c>
    </row>
    <row r="56">
      <c r="A56" s="6">
        <f>IFERROR(__xludf.DUMMYFUNCTION("""COMPUTED_VALUE"""),45569.64583333333)</f>
        <v>45569.64583</v>
      </c>
      <c r="B56" s="5">
        <f>IFERROR(__xludf.DUMMYFUNCTION("""COMPUTED_VALUE"""),236.2)</f>
        <v>236.2</v>
      </c>
      <c r="C56" s="5">
        <f>IFERROR(__xludf.DUMMYFUNCTION("""COMPUTED_VALUE"""),244.0)</f>
        <v>244</v>
      </c>
      <c r="D56" s="5">
        <f>IFERROR(__xludf.DUMMYFUNCTION("""COMPUTED_VALUE"""),227.05)</f>
        <v>227.05</v>
      </c>
      <c r="E56" s="5">
        <f>IFERROR(__xludf.DUMMYFUNCTION("""COMPUTED_VALUE"""),227.83)</f>
        <v>227.83</v>
      </c>
      <c r="F56" s="5">
        <f>IFERROR(__xludf.DUMMYFUNCTION("""COMPUTED_VALUE"""),2.6560434E7)</f>
        <v>26560434</v>
      </c>
    </row>
    <row r="57">
      <c r="A57" s="6">
        <f>IFERROR(__xludf.DUMMYFUNCTION("""COMPUTED_VALUE"""),45576.64583333333)</f>
        <v>45576.64583</v>
      </c>
      <c r="B57" s="5">
        <f>IFERROR(__xludf.DUMMYFUNCTION("""COMPUTED_VALUE"""),227.82)</f>
        <v>227.82</v>
      </c>
      <c r="C57" s="5">
        <f>IFERROR(__xludf.DUMMYFUNCTION("""COMPUTED_VALUE"""),233.57)</f>
        <v>233.57</v>
      </c>
      <c r="D57" s="5">
        <f>IFERROR(__xludf.DUMMYFUNCTION("""COMPUTED_VALUE"""),219.24)</f>
        <v>219.24</v>
      </c>
      <c r="E57" s="5">
        <f>IFERROR(__xludf.DUMMYFUNCTION("""COMPUTED_VALUE"""),220.84)</f>
        <v>220.84</v>
      </c>
      <c r="F57" s="5">
        <f>IFERROR(__xludf.DUMMYFUNCTION("""COMPUTED_VALUE"""),1.915328E7)</f>
        <v>19153280</v>
      </c>
    </row>
    <row r="58">
      <c r="A58" s="6">
        <f>IFERROR(__xludf.DUMMYFUNCTION("""COMPUTED_VALUE"""),45583.64583333333)</f>
        <v>45583.64583</v>
      </c>
      <c r="B58" s="5">
        <f>IFERROR(__xludf.DUMMYFUNCTION("""COMPUTED_VALUE"""),220.84)</f>
        <v>220.84</v>
      </c>
      <c r="C58" s="5">
        <f>IFERROR(__xludf.DUMMYFUNCTION("""COMPUTED_VALUE"""),228.1)</f>
        <v>228.1</v>
      </c>
      <c r="D58" s="5">
        <f>IFERROR(__xludf.DUMMYFUNCTION("""COMPUTED_VALUE"""),213.35)</f>
        <v>213.35</v>
      </c>
      <c r="E58" s="5">
        <f>IFERROR(__xludf.DUMMYFUNCTION("""COMPUTED_VALUE"""),222.08)</f>
        <v>222.08</v>
      </c>
      <c r="F58" s="5">
        <f>IFERROR(__xludf.DUMMYFUNCTION("""COMPUTED_VALUE"""),1.5287766E7)</f>
        <v>15287766</v>
      </c>
    </row>
    <row r="59">
      <c r="A59" s="6">
        <f>IFERROR(__xludf.DUMMYFUNCTION("""COMPUTED_VALUE"""),45590.64583333333)</f>
        <v>45590.64583</v>
      </c>
      <c r="B59" s="5">
        <f>IFERROR(__xludf.DUMMYFUNCTION("""COMPUTED_VALUE"""),222.9)</f>
        <v>222.9</v>
      </c>
      <c r="C59" s="5">
        <f>IFERROR(__xludf.DUMMYFUNCTION("""COMPUTED_VALUE"""),223.05)</f>
        <v>223.05</v>
      </c>
      <c r="D59" s="5">
        <f>IFERROR(__xludf.DUMMYFUNCTION("""COMPUTED_VALUE"""),200.61)</f>
        <v>200.61</v>
      </c>
      <c r="E59" s="5">
        <f>IFERROR(__xludf.DUMMYFUNCTION("""COMPUTED_VALUE"""),202.91)</f>
        <v>202.91</v>
      </c>
      <c r="F59" s="5">
        <f>IFERROR(__xludf.DUMMYFUNCTION("""COMPUTED_VALUE"""),1.7639636E7)</f>
        <v>17639636</v>
      </c>
    </row>
    <row r="60">
      <c r="A60" s="6">
        <f>IFERROR(__xludf.DUMMYFUNCTION("""COMPUTED_VALUE"""),45604.64583333333)</f>
        <v>45604.64583</v>
      </c>
      <c r="B60" s="5">
        <f>IFERROR(__xludf.DUMMYFUNCTION("""COMPUTED_VALUE"""),206.2)</f>
        <v>206.2</v>
      </c>
      <c r="C60" s="5">
        <f>IFERROR(__xludf.DUMMYFUNCTION("""COMPUTED_VALUE"""),207.19)</f>
        <v>207.19</v>
      </c>
      <c r="D60" s="5">
        <f>IFERROR(__xludf.DUMMYFUNCTION("""COMPUTED_VALUE"""),197.0)</f>
        <v>197</v>
      </c>
      <c r="E60" s="5">
        <f>IFERROR(__xludf.DUMMYFUNCTION("""COMPUTED_VALUE"""),201.11)</f>
        <v>201.11</v>
      </c>
      <c r="F60" s="5">
        <f>IFERROR(__xludf.DUMMYFUNCTION("""COMPUTED_VALUE"""),2.6250859E7)</f>
        <v>26250859</v>
      </c>
    </row>
    <row r="61">
      <c r="A61" s="6">
        <f>IFERROR(__xludf.DUMMYFUNCTION("""COMPUTED_VALUE"""),45610.64583333333)</f>
        <v>45610.64583</v>
      </c>
      <c r="B61" s="5">
        <f>IFERROR(__xludf.DUMMYFUNCTION("""COMPUTED_VALUE"""),201.95)</f>
        <v>201.95</v>
      </c>
      <c r="C61" s="5">
        <f>IFERROR(__xludf.DUMMYFUNCTION("""COMPUTED_VALUE"""),202.98)</f>
        <v>202.98</v>
      </c>
      <c r="D61" s="5">
        <f>IFERROR(__xludf.DUMMYFUNCTION("""COMPUTED_VALUE"""),186.72)</f>
        <v>186.72</v>
      </c>
      <c r="E61" s="5">
        <f>IFERROR(__xludf.DUMMYFUNCTION("""COMPUTED_VALUE"""),188.92)</f>
        <v>188.92</v>
      </c>
      <c r="F61" s="5">
        <f>IFERROR(__xludf.DUMMYFUNCTION("""COMPUTED_VALUE"""),1.5671478E7)</f>
        <v>15671478</v>
      </c>
    </row>
    <row r="62">
      <c r="A62" s="6">
        <f>IFERROR(__xludf.DUMMYFUNCTION("""COMPUTED_VALUE"""),45618.64583333333)</f>
        <v>45618.64583</v>
      </c>
      <c r="B62" s="5">
        <f>IFERROR(__xludf.DUMMYFUNCTION("""COMPUTED_VALUE"""),189.03)</f>
        <v>189.03</v>
      </c>
      <c r="C62" s="5">
        <f>IFERROR(__xludf.DUMMYFUNCTION("""COMPUTED_VALUE"""),190.4)</f>
        <v>190.4</v>
      </c>
      <c r="D62" s="5">
        <f>IFERROR(__xludf.DUMMYFUNCTION("""COMPUTED_VALUE"""),179.18)</f>
        <v>179.18</v>
      </c>
      <c r="E62" s="5">
        <f>IFERROR(__xludf.DUMMYFUNCTION("""COMPUTED_VALUE"""),186.48)</f>
        <v>186.48</v>
      </c>
      <c r="F62" s="5">
        <f>IFERROR(__xludf.DUMMYFUNCTION("""COMPUTED_VALUE"""),2.587101E7)</f>
        <v>25871010</v>
      </c>
    </row>
    <row r="63">
      <c r="A63" s="6">
        <f>IFERROR(__xludf.DUMMYFUNCTION("""COMPUTED_VALUE"""),45625.64583333333)</f>
        <v>45625.64583</v>
      </c>
      <c r="B63" s="5">
        <f>IFERROR(__xludf.DUMMYFUNCTION("""COMPUTED_VALUE"""),190.0)</f>
        <v>190</v>
      </c>
      <c r="C63" s="5">
        <f>IFERROR(__xludf.DUMMYFUNCTION("""COMPUTED_VALUE"""),196.3)</f>
        <v>196.3</v>
      </c>
      <c r="D63" s="5">
        <f>IFERROR(__xludf.DUMMYFUNCTION("""COMPUTED_VALUE"""),189.6)</f>
        <v>189.6</v>
      </c>
      <c r="E63" s="5">
        <f>IFERROR(__xludf.DUMMYFUNCTION("""COMPUTED_VALUE"""),194.33)</f>
        <v>194.33</v>
      </c>
      <c r="F63" s="5">
        <f>IFERROR(__xludf.DUMMYFUNCTION("""COMPUTED_VALUE"""),1.2742044E7)</f>
        <v>12742044</v>
      </c>
    </row>
    <row r="64">
      <c r="A64" s="6">
        <f>IFERROR(__xludf.DUMMYFUNCTION("""COMPUTED_VALUE"""),45632.64583333333)</f>
        <v>45632.64583</v>
      </c>
      <c r="B64" s="5">
        <f>IFERROR(__xludf.DUMMYFUNCTION("""COMPUTED_VALUE"""),195.2)</f>
        <v>195.2</v>
      </c>
      <c r="C64" s="5">
        <f>IFERROR(__xludf.DUMMYFUNCTION("""COMPUTED_VALUE"""),201.15)</f>
        <v>201.15</v>
      </c>
      <c r="D64" s="5">
        <f>IFERROR(__xludf.DUMMYFUNCTION("""COMPUTED_VALUE"""),191.91)</f>
        <v>191.91</v>
      </c>
      <c r="E64" s="5">
        <f>IFERROR(__xludf.DUMMYFUNCTION("""COMPUTED_VALUE"""),198.68)</f>
        <v>198.68</v>
      </c>
      <c r="F64" s="5">
        <f>IFERROR(__xludf.DUMMYFUNCTION("""COMPUTED_VALUE"""),1.2764604E7)</f>
        <v>12764604</v>
      </c>
    </row>
    <row r="65">
      <c r="A65" s="6">
        <f>IFERROR(__xludf.DUMMYFUNCTION("""COMPUTED_VALUE"""),45639.64583333333)</f>
        <v>45639.64583</v>
      </c>
      <c r="B65" s="5">
        <f>IFERROR(__xludf.DUMMYFUNCTION("""COMPUTED_VALUE"""),198.55)</f>
        <v>198.55</v>
      </c>
      <c r="C65" s="5">
        <f>IFERROR(__xludf.DUMMYFUNCTION("""COMPUTED_VALUE"""),202.79)</f>
        <v>202.79</v>
      </c>
      <c r="D65" s="5">
        <f>IFERROR(__xludf.DUMMYFUNCTION("""COMPUTED_VALUE"""),191.35)</f>
        <v>191.35</v>
      </c>
      <c r="E65" s="5">
        <f>IFERROR(__xludf.DUMMYFUNCTION("""COMPUTED_VALUE"""),196.71)</f>
        <v>196.71</v>
      </c>
      <c r="F65" s="5">
        <f>IFERROR(__xludf.DUMMYFUNCTION("""COMPUTED_VALUE"""),1.9663265E7)</f>
        <v>19663265</v>
      </c>
    </row>
    <row r="66">
      <c r="A66" s="6">
        <f>IFERROR(__xludf.DUMMYFUNCTION("""COMPUTED_VALUE"""),45646.64583333333)</f>
        <v>45646.64583</v>
      </c>
      <c r="B66" s="5">
        <f>IFERROR(__xludf.DUMMYFUNCTION("""COMPUTED_VALUE"""),197.8)</f>
        <v>197.8</v>
      </c>
      <c r="C66" s="5">
        <f>IFERROR(__xludf.DUMMYFUNCTION("""COMPUTED_VALUE"""),198.95)</f>
        <v>198.95</v>
      </c>
      <c r="D66" s="5">
        <f>IFERROR(__xludf.DUMMYFUNCTION("""COMPUTED_VALUE"""),185.15)</f>
        <v>185.15</v>
      </c>
      <c r="E66" s="5">
        <f>IFERROR(__xludf.DUMMYFUNCTION("""COMPUTED_VALUE"""),186.21)</f>
        <v>186.21</v>
      </c>
      <c r="F66" s="5">
        <f>IFERROR(__xludf.DUMMYFUNCTION("""COMPUTED_VALUE"""),1.1222304E7)</f>
        <v>11222304</v>
      </c>
    </row>
    <row r="67">
      <c r="A67" s="6">
        <f>IFERROR(__xludf.DUMMYFUNCTION("""COMPUTED_VALUE"""),45653.64583333333)</f>
        <v>45653.64583</v>
      </c>
      <c r="B67" s="5">
        <f>IFERROR(__xludf.DUMMYFUNCTION("""COMPUTED_VALUE"""),187.53)</f>
        <v>187.53</v>
      </c>
      <c r="C67" s="5">
        <f>IFERROR(__xludf.DUMMYFUNCTION("""COMPUTED_VALUE"""),188.75)</f>
        <v>188.75</v>
      </c>
      <c r="D67" s="5">
        <f>IFERROR(__xludf.DUMMYFUNCTION("""COMPUTED_VALUE"""),183.03)</f>
        <v>183.03</v>
      </c>
      <c r="E67" s="5">
        <f>IFERROR(__xludf.DUMMYFUNCTION("""COMPUTED_VALUE"""),183.24)</f>
        <v>183.24</v>
      </c>
      <c r="F67" s="5">
        <f>IFERROR(__xludf.DUMMYFUNCTION("""COMPUTED_VALUE"""),6610217.0)</f>
        <v>6610217</v>
      </c>
    </row>
    <row r="68">
      <c r="A68" s="6">
        <f>IFERROR(__xludf.DUMMYFUNCTION("""COMPUTED_VALUE"""),45660.64583333333)</f>
        <v>45660.64583</v>
      </c>
      <c r="B68" s="5">
        <f>IFERROR(__xludf.DUMMYFUNCTION("""COMPUTED_VALUE"""),183.98)</f>
        <v>183.98</v>
      </c>
      <c r="C68" s="5">
        <f>IFERROR(__xludf.DUMMYFUNCTION("""COMPUTED_VALUE"""),186.39)</f>
        <v>186.39</v>
      </c>
      <c r="D68" s="5">
        <f>IFERROR(__xludf.DUMMYFUNCTION("""COMPUTED_VALUE"""),176.82)</f>
        <v>176.82</v>
      </c>
      <c r="E68" s="5">
        <f>IFERROR(__xludf.DUMMYFUNCTION("""COMPUTED_VALUE"""),184.45)</f>
        <v>184.45</v>
      </c>
      <c r="F68" s="5">
        <f>IFERROR(__xludf.DUMMYFUNCTION("""COMPUTED_VALUE"""),1.1984922E7)</f>
        <v>11984922</v>
      </c>
    </row>
    <row r="69">
      <c r="A69" s="6">
        <f>IFERROR(__xludf.DUMMYFUNCTION("""COMPUTED_VALUE"""),45667.64583333333)</f>
        <v>45667.64583</v>
      </c>
      <c r="B69" s="5">
        <f>IFERROR(__xludf.DUMMYFUNCTION("""COMPUTED_VALUE"""),184.74)</f>
        <v>184.74</v>
      </c>
      <c r="C69" s="5">
        <f>IFERROR(__xludf.DUMMYFUNCTION("""COMPUTED_VALUE"""),185.5)</f>
        <v>185.5</v>
      </c>
      <c r="D69" s="5">
        <f>IFERROR(__xludf.DUMMYFUNCTION("""COMPUTED_VALUE"""),167.25)</f>
        <v>167.25</v>
      </c>
      <c r="E69" s="5">
        <f>IFERROR(__xludf.DUMMYFUNCTION("""COMPUTED_VALUE"""),167.63)</f>
        <v>167.63</v>
      </c>
      <c r="F69" s="5">
        <f>IFERROR(__xludf.DUMMYFUNCTION("""COMPUTED_VALUE"""),1.4587214E7)</f>
        <v>14587214</v>
      </c>
    </row>
    <row r="70">
      <c r="A70" s="6">
        <f>IFERROR(__xludf.DUMMYFUNCTION("""COMPUTED_VALUE"""),45674.64583333333)</f>
        <v>45674.64583</v>
      </c>
      <c r="B70" s="5">
        <f>IFERROR(__xludf.DUMMYFUNCTION("""COMPUTED_VALUE"""),171.0)</f>
        <v>171</v>
      </c>
      <c r="C70" s="5">
        <f>IFERROR(__xludf.DUMMYFUNCTION("""COMPUTED_VALUE"""),179.95)</f>
        <v>179.95</v>
      </c>
      <c r="D70" s="5">
        <f>IFERROR(__xludf.DUMMYFUNCTION("""COMPUTED_VALUE"""),168.46)</f>
        <v>168.46</v>
      </c>
      <c r="E70" s="5">
        <f>IFERROR(__xludf.DUMMYFUNCTION("""COMPUTED_VALUE"""),177.18)</f>
        <v>177.18</v>
      </c>
      <c r="F70" s="5">
        <f>IFERROR(__xludf.DUMMYFUNCTION("""COMPUTED_VALUE"""),2.6433041E7)</f>
        <v>26433041</v>
      </c>
    </row>
    <row r="71">
      <c r="A71" s="6">
        <f>IFERROR(__xludf.DUMMYFUNCTION("""COMPUTED_VALUE"""),45681.64583333333)</f>
        <v>45681.64583</v>
      </c>
      <c r="B71" s="5">
        <f>IFERROR(__xludf.DUMMYFUNCTION("""COMPUTED_VALUE"""),178.45)</f>
        <v>178.45</v>
      </c>
      <c r="C71" s="5">
        <f>IFERROR(__xludf.DUMMYFUNCTION("""COMPUTED_VALUE"""),179.24)</f>
        <v>179.24</v>
      </c>
      <c r="D71" s="5">
        <f>IFERROR(__xludf.DUMMYFUNCTION("""COMPUTED_VALUE"""),168.56)</f>
        <v>168.56</v>
      </c>
      <c r="E71" s="5">
        <f>IFERROR(__xludf.DUMMYFUNCTION("""COMPUTED_VALUE"""),170.43)</f>
        <v>170.43</v>
      </c>
      <c r="F71" s="5">
        <f>IFERROR(__xludf.DUMMYFUNCTION("""COMPUTED_VALUE"""),1.0096325E7)</f>
        <v>10096325</v>
      </c>
    </row>
    <row r="72">
      <c r="A72" s="6">
        <f>IFERROR(__xludf.DUMMYFUNCTION("""COMPUTED_VALUE"""),45695.64583333333)</f>
        <v>45695.64583</v>
      </c>
      <c r="B72" s="5">
        <f>IFERROR(__xludf.DUMMYFUNCTION("""COMPUTED_VALUE"""),175.8)</f>
        <v>175.8</v>
      </c>
      <c r="C72" s="5">
        <f>IFERROR(__xludf.DUMMYFUNCTION("""COMPUTED_VALUE"""),178.79)</f>
        <v>178.79</v>
      </c>
      <c r="D72" s="5">
        <f>IFERROR(__xludf.DUMMYFUNCTION("""COMPUTED_VALUE"""),165.74)</f>
        <v>165.74</v>
      </c>
      <c r="E72" s="5">
        <f>IFERROR(__xludf.DUMMYFUNCTION("""COMPUTED_VALUE"""),169.41)</f>
        <v>169.41</v>
      </c>
      <c r="F72" s="5">
        <f>IFERROR(__xludf.DUMMYFUNCTION("""COMPUTED_VALUE"""),2.4469346E7)</f>
        <v>24469346</v>
      </c>
    </row>
    <row r="73">
      <c r="A73" s="6">
        <f>IFERROR(__xludf.DUMMYFUNCTION("""COMPUTED_VALUE"""),45702.64583333333)</f>
        <v>45702.64583</v>
      </c>
      <c r="B73" s="5">
        <f>IFERROR(__xludf.DUMMYFUNCTION("""COMPUTED_VALUE"""),171.0)</f>
        <v>171</v>
      </c>
      <c r="C73" s="5">
        <f>IFERROR(__xludf.DUMMYFUNCTION("""COMPUTED_VALUE"""),171.5)</f>
        <v>171.5</v>
      </c>
      <c r="D73" s="5">
        <f>IFERROR(__xludf.DUMMYFUNCTION("""COMPUTED_VALUE"""),151.37)</f>
        <v>151.37</v>
      </c>
      <c r="E73" s="5">
        <f>IFERROR(__xludf.DUMMYFUNCTION("""COMPUTED_VALUE"""),152.74)</f>
        <v>152.74</v>
      </c>
      <c r="F73" s="5">
        <f>IFERROR(__xludf.DUMMYFUNCTION("""COMPUTED_VALUE"""),1.6960972E7)</f>
        <v>16960972</v>
      </c>
    </row>
    <row r="74">
      <c r="A74" s="6">
        <f>IFERROR(__xludf.DUMMYFUNCTION("""COMPUTED_VALUE"""),45709.64583333333)</f>
        <v>45709.64583</v>
      </c>
      <c r="B74" s="5">
        <f>IFERROR(__xludf.DUMMYFUNCTION("""COMPUTED_VALUE"""),152.65)</f>
        <v>152.65</v>
      </c>
      <c r="C74" s="5">
        <f>IFERROR(__xludf.DUMMYFUNCTION("""COMPUTED_VALUE"""),161.16)</f>
        <v>161.16</v>
      </c>
      <c r="D74" s="5">
        <f>IFERROR(__xludf.DUMMYFUNCTION("""COMPUTED_VALUE"""),149.01)</f>
        <v>149.01</v>
      </c>
      <c r="E74" s="5">
        <f>IFERROR(__xludf.DUMMYFUNCTION("""COMPUTED_VALUE"""),157.28)</f>
        <v>157.28</v>
      </c>
      <c r="F74" s="5">
        <f>IFERROR(__xludf.DUMMYFUNCTION("""COMPUTED_VALUE"""),1.4682562E7)</f>
        <v>14682562</v>
      </c>
    </row>
    <row r="75">
      <c r="A75" s="6">
        <f>IFERROR(__xludf.DUMMYFUNCTION("""COMPUTED_VALUE"""),45716.64583333333)</f>
        <v>45716.64583</v>
      </c>
      <c r="B75" s="5">
        <f>IFERROR(__xludf.DUMMYFUNCTION("""COMPUTED_VALUE"""),156.28)</f>
        <v>156.28</v>
      </c>
      <c r="C75" s="5">
        <f>IFERROR(__xludf.DUMMYFUNCTION("""COMPUTED_VALUE"""),160.17)</f>
        <v>160.17</v>
      </c>
      <c r="D75" s="5">
        <f>IFERROR(__xludf.DUMMYFUNCTION("""COMPUTED_VALUE"""),151.16)</f>
        <v>151.16</v>
      </c>
      <c r="E75" s="5">
        <f>IFERROR(__xludf.DUMMYFUNCTION("""COMPUTED_VALUE"""),156.33)</f>
        <v>156.33</v>
      </c>
      <c r="F75" s="5">
        <f>IFERROR(__xludf.DUMMYFUNCTION("""COMPUTED_VALUE"""),2.0865704E7)</f>
        <v>20865704</v>
      </c>
    </row>
    <row r="76">
      <c r="A76" s="6">
        <f>IFERROR(__xludf.DUMMYFUNCTION("""COMPUTED_VALUE"""),45723.64583333333)</f>
        <v>45723.64583</v>
      </c>
      <c r="B76" s="5">
        <f>IFERROR(__xludf.DUMMYFUNCTION("""COMPUTED_VALUE"""),156.71)</f>
        <v>156.71</v>
      </c>
      <c r="C76" s="5">
        <f>IFERROR(__xludf.DUMMYFUNCTION("""COMPUTED_VALUE"""),163.54)</f>
        <v>163.54</v>
      </c>
      <c r="D76" s="5">
        <f>IFERROR(__xludf.DUMMYFUNCTION("""COMPUTED_VALUE"""),149.85)</f>
        <v>149.85</v>
      </c>
      <c r="E76" s="5">
        <f>IFERROR(__xludf.DUMMYFUNCTION("""COMPUTED_VALUE"""),160.85)</f>
        <v>160.85</v>
      </c>
      <c r="F76" s="5">
        <f>IFERROR(__xludf.DUMMYFUNCTION("""COMPUTED_VALUE"""),3.70778E7)</f>
        <v>37077800</v>
      </c>
    </row>
    <row r="77">
      <c r="A77" s="6">
        <f>IFERROR(__xludf.DUMMYFUNCTION("""COMPUTED_VALUE"""),45729.64583333333)</f>
        <v>45729.64583</v>
      </c>
      <c r="B77" s="5">
        <f>IFERROR(__xludf.DUMMYFUNCTION("""COMPUTED_VALUE"""),161.05)</f>
        <v>161.05</v>
      </c>
      <c r="C77" s="5">
        <f>IFERROR(__xludf.DUMMYFUNCTION("""COMPUTED_VALUE"""),164.71)</f>
        <v>164.71</v>
      </c>
      <c r="D77" s="5">
        <f>IFERROR(__xludf.DUMMYFUNCTION("""COMPUTED_VALUE"""),154.92)</f>
        <v>154.92</v>
      </c>
      <c r="E77" s="5">
        <f>IFERROR(__xludf.DUMMYFUNCTION("""COMPUTED_VALUE"""),162.19)</f>
        <v>162.19</v>
      </c>
      <c r="F77" s="5">
        <f>IFERROR(__xludf.DUMMYFUNCTION("""COMPUTED_VALUE"""),1.6948624E7)</f>
        <v>16948624</v>
      </c>
    </row>
    <row r="78">
      <c r="A78" s="6">
        <f>IFERROR(__xludf.DUMMYFUNCTION("""COMPUTED_VALUE"""),45737.64583333333)</f>
        <v>45737.64583</v>
      </c>
      <c r="B78" s="5">
        <f>IFERROR(__xludf.DUMMYFUNCTION("""COMPUTED_VALUE"""),162.0)</f>
        <v>162</v>
      </c>
      <c r="C78" s="5">
        <f>IFERROR(__xludf.DUMMYFUNCTION("""COMPUTED_VALUE"""),186.41)</f>
        <v>186.41</v>
      </c>
      <c r="D78" s="5">
        <f>IFERROR(__xludf.DUMMYFUNCTION("""COMPUTED_VALUE"""),161.83)</f>
        <v>161.83</v>
      </c>
      <c r="E78" s="5">
        <f>IFERROR(__xludf.DUMMYFUNCTION("""COMPUTED_VALUE"""),185.52)</f>
        <v>185.52</v>
      </c>
      <c r="F78" s="5">
        <f>IFERROR(__xludf.DUMMYFUNCTION("""COMPUTED_VALUE"""),2.7919548E7)</f>
        <v>27919548</v>
      </c>
    </row>
    <row r="79">
      <c r="A79" s="6">
        <f>IFERROR(__xludf.DUMMYFUNCTION("""COMPUTED_VALUE"""),45744.64583333333)</f>
        <v>45744.64583</v>
      </c>
      <c r="B79" s="5">
        <f>IFERROR(__xludf.DUMMYFUNCTION("""COMPUTED_VALUE"""),186.38)</f>
        <v>186.38</v>
      </c>
      <c r="C79" s="5">
        <f>IFERROR(__xludf.DUMMYFUNCTION("""COMPUTED_VALUE"""),187.64)</f>
        <v>187.64</v>
      </c>
      <c r="D79" s="5">
        <f>IFERROR(__xludf.DUMMYFUNCTION("""COMPUTED_VALUE"""),177.51)</f>
        <v>177.51</v>
      </c>
      <c r="E79" s="5">
        <f>IFERROR(__xludf.DUMMYFUNCTION("""COMPUTED_VALUE"""),185.07)</f>
        <v>185.07</v>
      </c>
      <c r="F79" s="5">
        <f>IFERROR(__xludf.DUMMYFUNCTION("""COMPUTED_VALUE"""),1.7687374E7)</f>
        <v>17687374</v>
      </c>
    </row>
    <row r="80">
      <c r="A80" s="6">
        <f>IFERROR(__xludf.DUMMYFUNCTION("""COMPUTED_VALUE"""),45751.64583333333)</f>
        <v>45751.64583</v>
      </c>
      <c r="B80" s="5">
        <f>IFERROR(__xludf.DUMMYFUNCTION("""COMPUTED_VALUE"""),183.07)</f>
        <v>183.07</v>
      </c>
      <c r="C80" s="5">
        <f>IFERROR(__xludf.DUMMYFUNCTION("""COMPUTED_VALUE"""),193.7)</f>
        <v>193.7</v>
      </c>
      <c r="D80" s="5">
        <f>IFERROR(__xludf.DUMMYFUNCTION("""COMPUTED_VALUE"""),180.51)</f>
        <v>180.51</v>
      </c>
      <c r="E80" s="5">
        <f>IFERROR(__xludf.DUMMYFUNCTION("""COMPUTED_VALUE"""),188.26)</f>
        <v>188.26</v>
      </c>
      <c r="F80" s="5">
        <f>IFERROR(__xludf.DUMMYFUNCTION("""COMPUTED_VALUE"""),1.7984059E7)</f>
        <v>17984059</v>
      </c>
    </row>
    <row r="81">
      <c r="A81" s="6">
        <f>IFERROR(__xludf.DUMMYFUNCTION("""COMPUTED_VALUE"""),45758.64583333333)</f>
        <v>45758.64583</v>
      </c>
      <c r="B81" s="5">
        <f>IFERROR(__xludf.DUMMYFUNCTION("""COMPUTED_VALUE"""),169.43)</f>
        <v>169.43</v>
      </c>
      <c r="C81" s="5">
        <f>IFERROR(__xludf.DUMMYFUNCTION("""COMPUTED_VALUE"""),188.0)</f>
        <v>188</v>
      </c>
      <c r="D81" s="5">
        <f>IFERROR(__xludf.DUMMYFUNCTION("""COMPUTED_VALUE"""),169.43)</f>
        <v>169.43</v>
      </c>
      <c r="E81" s="5">
        <f>IFERROR(__xludf.DUMMYFUNCTION("""COMPUTED_VALUE"""),185.33)</f>
        <v>185.33</v>
      </c>
      <c r="F81" s="5">
        <f>IFERROR(__xludf.DUMMYFUNCTION("""COMPUTED_VALUE"""),2.5163492E7)</f>
        <v>25163492</v>
      </c>
    </row>
    <row r="82">
      <c r="A82" s="6">
        <f>IFERROR(__xludf.DUMMYFUNCTION("""COMPUTED_VALUE"""),45764.64583333333)</f>
        <v>45764.64583</v>
      </c>
      <c r="B82" s="5">
        <f>IFERROR(__xludf.DUMMYFUNCTION("""COMPUTED_VALUE"""),188.0)</f>
        <v>188</v>
      </c>
      <c r="C82" s="5">
        <f>IFERROR(__xludf.DUMMYFUNCTION("""COMPUTED_VALUE"""),199.0)</f>
        <v>199</v>
      </c>
      <c r="D82" s="5">
        <f>IFERROR(__xludf.DUMMYFUNCTION("""COMPUTED_VALUE"""),186.69)</f>
        <v>186.69</v>
      </c>
      <c r="E82" s="5">
        <f>IFERROR(__xludf.DUMMYFUNCTION("""COMPUTED_VALUE"""),198.18)</f>
        <v>198.18</v>
      </c>
      <c r="F82" s="5">
        <f>IFERROR(__xludf.DUMMYFUNCTION("""COMPUTED_VALUE"""),1.5154337E7)</f>
        <v>15154337</v>
      </c>
    </row>
    <row r="83">
      <c r="A83" s="6">
        <f>IFERROR(__xludf.DUMMYFUNCTION("""COMPUTED_VALUE"""),45772.64583333333)</f>
        <v>45772.64583</v>
      </c>
      <c r="B83" s="5">
        <f>IFERROR(__xludf.DUMMYFUNCTION("""COMPUTED_VALUE"""),199.9)</f>
        <v>199.9</v>
      </c>
      <c r="C83" s="5">
        <f>IFERROR(__xludf.DUMMYFUNCTION("""COMPUTED_VALUE"""),208.8)</f>
        <v>208.8</v>
      </c>
      <c r="D83" s="5">
        <f>IFERROR(__xludf.DUMMYFUNCTION("""COMPUTED_VALUE"""),194.0)</f>
        <v>194</v>
      </c>
      <c r="E83" s="5">
        <f>IFERROR(__xludf.DUMMYFUNCTION("""COMPUTED_VALUE"""),195.94)</f>
        <v>195.94</v>
      </c>
      <c r="F83" s="5">
        <f>IFERROR(__xludf.DUMMYFUNCTION("""COMPUTED_VALUE"""),2.5366092E7)</f>
        <v>25366092</v>
      </c>
    </row>
    <row r="84">
      <c r="A84" s="6">
        <f>IFERROR(__xludf.DUMMYFUNCTION("""COMPUTED_VALUE"""),45779.64583333333)</f>
        <v>45779.64583</v>
      </c>
      <c r="B84" s="5">
        <f>IFERROR(__xludf.DUMMYFUNCTION("""COMPUTED_VALUE"""),195.0)</f>
        <v>195</v>
      </c>
      <c r="C84" s="5">
        <f>IFERROR(__xludf.DUMMYFUNCTION("""COMPUTED_VALUE"""),203.0)</f>
        <v>203</v>
      </c>
      <c r="D84" s="5">
        <f>IFERROR(__xludf.DUMMYFUNCTION("""COMPUTED_VALUE"""),195.0)</f>
        <v>195</v>
      </c>
      <c r="E84" s="5">
        <f>IFERROR(__xludf.DUMMYFUNCTION("""COMPUTED_VALUE"""),198.08)</f>
        <v>198.08</v>
      </c>
      <c r="F84" s="5">
        <f>IFERROR(__xludf.DUMMYFUNCTION("""COMPUTED_VALUE"""),1.142938E7)</f>
        <v>11429380</v>
      </c>
    </row>
    <row r="85">
      <c r="A85" s="6">
        <f>IFERROR(__xludf.DUMMYFUNCTION("""COMPUTED_VALUE"""),45786.64583333333)</f>
        <v>45786.64583</v>
      </c>
      <c r="B85" s="5">
        <f>IFERROR(__xludf.DUMMYFUNCTION("""COMPUTED_VALUE"""),198.0)</f>
        <v>198</v>
      </c>
      <c r="C85" s="5">
        <f>IFERROR(__xludf.DUMMYFUNCTION("""COMPUTED_VALUE"""),204.5)</f>
        <v>204.5</v>
      </c>
      <c r="D85" s="5">
        <f>IFERROR(__xludf.DUMMYFUNCTION("""COMPUTED_VALUE"""),188.41)</f>
        <v>188.41</v>
      </c>
      <c r="E85" s="5">
        <f>IFERROR(__xludf.DUMMYFUNCTION("""COMPUTED_VALUE"""),193.17)</f>
        <v>193.17</v>
      </c>
      <c r="F85" s="5">
        <f>IFERROR(__xludf.DUMMYFUNCTION("""COMPUTED_VALUE"""),2.2954913E7)</f>
        <v>22954913</v>
      </c>
    </row>
    <row r="86">
      <c r="A86" s="6">
        <f>IFERROR(__xludf.DUMMYFUNCTION("""COMPUTED_VALUE"""),45793.64583333333)</f>
        <v>45793.64583</v>
      </c>
      <c r="B86" s="5">
        <f>IFERROR(__xludf.DUMMYFUNCTION("""COMPUTED_VALUE"""),199.4)</f>
        <v>199.4</v>
      </c>
      <c r="C86" s="5">
        <f>IFERROR(__xludf.DUMMYFUNCTION("""COMPUTED_VALUE"""),219.99)</f>
        <v>219.99</v>
      </c>
      <c r="D86" s="5">
        <f>IFERROR(__xludf.DUMMYFUNCTION("""COMPUTED_VALUE"""),199.01)</f>
        <v>199.01</v>
      </c>
      <c r="E86" s="5">
        <f>IFERROR(__xludf.DUMMYFUNCTION("""COMPUTED_VALUE"""),218.24)</f>
        <v>218.24</v>
      </c>
      <c r="F86" s="5">
        <f>IFERROR(__xludf.DUMMYFUNCTION("""COMPUTED_VALUE"""),4.831715E7)</f>
        <v>48317150</v>
      </c>
    </row>
    <row r="87">
      <c r="A87" s="6">
        <f>IFERROR(__xludf.DUMMYFUNCTION("""COMPUTED_VALUE"""),45800.64583333333)</f>
        <v>45800.64583</v>
      </c>
      <c r="B87" s="5">
        <f>IFERROR(__xludf.DUMMYFUNCTION("""COMPUTED_VALUE"""),218.23)</f>
        <v>218.23</v>
      </c>
      <c r="C87" s="5">
        <f>IFERROR(__xludf.DUMMYFUNCTION("""COMPUTED_VALUE"""),224.1)</f>
        <v>224.1</v>
      </c>
      <c r="D87" s="5">
        <f>IFERROR(__xludf.DUMMYFUNCTION("""COMPUTED_VALUE"""),213.1)</f>
        <v>213.1</v>
      </c>
      <c r="E87" s="5">
        <f>IFERROR(__xludf.DUMMYFUNCTION("""COMPUTED_VALUE"""),222.29)</f>
        <v>222.29</v>
      </c>
      <c r="F87" s="5">
        <f>IFERROR(__xludf.DUMMYFUNCTION("""COMPUTED_VALUE"""),2.2265794E7)</f>
        <v>22265794</v>
      </c>
    </row>
    <row r="88">
      <c r="A88" s="6">
        <f>IFERROR(__xludf.DUMMYFUNCTION("""COMPUTED_VALUE"""),45807.64583333333)</f>
        <v>45807.64583</v>
      </c>
      <c r="B88" s="5">
        <f>IFERROR(__xludf.DUMMYFUNCTION("""COMPUTED_VALUE"""),221.2)</f>
        <v>221.2</v>
      </c>
      <c r="C88" s="5">
        <f>IFERROR(__xludf.DUMMYFUNCTION("""COMPUTED_VALUE"""),223.9)</f>
        <v>223.9</v>
      </c>
      <c r="D88" s="5">
        <f>IFERROR(__xludf.DUMMYFUNCTION("""COMPUTED_VALUE"""),217.14)</f>
        <v>217.14</v>
      </c>
      <c r="E88" s="5">
        <f>IFERROR(__xludf.DUMMYFUNCTION("""COMPUTED_VALUE"""),222.51)</f>
        <v>222.51</v>
      </c>
      <c r="F88" s="5">
        <f>IFERROR(__xludf.DUMMYFUNCTION("""COMPUTED_VALUE"""),1.6155497E7)</f>
        <v>16155497</v>
      </c>
    </row>
    <row r="89">
      <c r="A89" s="6">
        <f>IFERROR(__xludf.DUMMYFUNCTION("""COMPUTED_VALUE"""),45814.64583333333)</f>
        <v>45814.64583</v>
      </c>
      <c r="B89" s="5">
        <f>IFERROR(__xludf.DUMMYFUNCTION("""COMPUTED_VALUE"""),222.0)</f>
        <v>222</v>
      </c>
      <c r="C89" s="5">
        <f>IFERROR(__xludf.DUMMYFUNCTION("""COMPUTED_VALUE"""),233.96)</f>
        <v>233.96</v>
      </c>
      <c r="D89" s="5">
        <f>IFERROR(__xludf.DUMMYFUNCTION("""COMPUTED_VALUE"""),218.44)</f>
        <v>218.44</v>
      </c>
      <c r="E89" s="5">
        <f>IFERROR(__xludf.DUMMYFUNCTION("""COMPUTED_VALUE"""),233.41)</f>
        <v>233.41</v>
      </c>
      <c r="F89" s="5">
        <f>IFERROR(__xludf.DUMMYFUNCTION("""COMPUTED_VALUE"""),2.1125657E7)</f>
        <v>21125657</v>
      </c>
    </row>
    <row r="90">
      <c r="A90" s="6">
        <f>IFERROR(__xludf.DUMMYFUNCTION("""COMPUTED_VALUE"""),45821.64583333333)</f>
        <v>45821.64583</v>
      </c>
      <c r="B90" s="5">
        <f>IFERROR(__xludf.DUMMYFUNCTION("""COMPUTED_VALUE"""),235.0)</f>
        <v>235</v>
      </c>
      <c r="C90" s="5">
        <f>IFERROR(__xludf.DUMMYFUNCTION("""COMPUTED_VALUE"""),251.0)</f>
        <v>251</v>
      </c>
      <c r="D90" s="5">
        <f>IFERROR(__xludf.DUMMYFUNCTION("""COMPUTED_VALUE"""),235.0)</f>
        <v>235</v>
      </c>
      <c r="E90" s="5">
        <f>IFERROR(__xludf.DUMMYFUNCTION("""COMPUTED_VALUE"""),240.37)</f>
        <v>240.37</v>
      </c>
      <c r="F90" s="5">
        <f>IFERROR(__xludf.DUMMYFUNCTION("""COMPUTED_VALUE"""),5.5046789E7)</f>
        <v>55046789</v>
      </c>
    </row>
    <row r="91">
      <c r="A91" s="6">
        <f>IFERROR(__xludf.DUMMYFUNCTION("""COMPUTED_VALUE"""),45828.64583333333)</f>
        <v>45828.64583</v>
      </c>
      <c r="B91" s="5">
        <f>IFERROR(__xludf.DUMMYFUNCTION("""COMPUTED_VALUE"""),241.4)</f>
        <v>241.4</v>
      </c>
      <c r="C91" s="5">
        <f>IFERROR(__xludf.DUMMYFUNCTION("""COMPUTED_VALUE"""),263.0)</f>
        <v>263</v>
      </c>
      <c r="D91" s="5">
        <f>IFERROR(__xludf.DUMMYFUNCTION("""COMPUTED_VALUE"""),237.39)</f>
        <v>237.39</v>
      </c>
      <c r="E91" s="5">
        <f>IFERROR(__xludf.DUMMYFUNCTION("""COMPUTED_VALUE"""),260.28)</f>
        <v>260.28</v>
      </c>
      <c r="F91" s="5">
        <f>IFERROR(__xludf.DUMMYFUNCTION("""COMPUTED_VALUE"""),6.5631515E7)</f>
        <v>65631515</v>
      </c>
    </row>
    <row r="92">
      <c r="A92" s="6">
        <f>IFERROR(__xludf.DUMMYFUNCTION("""COMPUTED_VALUE"""),45835.64583333333)</f>
        <v>45835.64583</v>
      </c>
      <c r="B92" s="5">
        <f>IFERROR(__xludf.DUMMYFUNCTION("""COMPUTED_VALUE"""),258.8)</f>
        <v>258.8</v>
      </c>
      <c r="C92" s="5">
        <f>IFERROR(__xludf.DUMMYFUNCTION("""COMPUTED_VALUE"""),278.05)</f>
        <v>278.05</v>
      </c>
      <c r="D92" s="5">
        <f>IFERROR(__xludf.DUMMYFUNCTION("""COMPUTED_VALUE"""),258.12)</f>
        <v>258.12</v>
      </c>
      <c r="E92" s="5">
        <f>IFERROR(__xludf.DUMMYFUNCTION("""COMPUTED_VALUE"""),269.33)</f>
        <v>269.33</v>
      </c>
      <c r="F92" s="5">
        <f>IFERROR(__xludf.DUMMYFUNCTION("""COMPUTED_VALUE"""),4.3234829E7)</f>
        <v>43234829</v>
      </c>
    </row>
    <row r="93">
      <c r="A93" s="6">
        <f>IFERROR(__xludf.DUMMYFUNCTION("""COMPUTED_VALUE"""),45842.64583333333)</f>
        <v>45842.64583</v>
      </c>
      <c r="B93" s="5">
        <f>IFERROR(__xludf.DUMMYFUNCTION("""COMPUTED_VALUE"""),268.0)</f>
        <v>268</v>
      </c>
      <c r="C93" s="5">
        <f>IFERROR(__xludf.DUMMYFUNCTION("""COMPUTED_VALUE"""),282.65)</f>
        <v>282.65</v>
      </c>
      <c r="D93" s="5">
        <f>IFERROR(__xludf.DUMMYFUNCTION("""COMPUTED_VALUE"""),268.0)</f>
        <v>268</v>
      </c>
      <c r="E93" s="5">
        <f>IFERROR(__xludf.DUMMYFUNCTION("""COMPUTED_VALUE"""),275.05)</f>
        <v>275.05</v>
      </c>
      <c r="F93" s="5">
        <f>IFERROR(__xludf.DUMMYFUNCTION("""COMPUTED_VALUE"""),3.01391E7)</f>
        <v>30139100</v>
      </c>
    </row>
    <row r="94">
      <c r="A94" s="6">
        <f>IFERROR(__xludf.DUMMYFUNCTION("""COMPUTED_VALUE"""),45849.64583333333)</f>
        <v>45849.64583</v>
      </c>
      <c r="B94" s="5">
        <f>IFERROR(__xludf.DUMMYFUNCTION("""COMPUTED_VALUE"""),275.05)</f>
        <v>275.05</v>
      </c>
      <c r="C94" s="5">
        <f>IFERROR(__xludf.DUMMYFUNCTION("""COMPUTED_VALUE"""),278.45)</f>
        <v>278.45</v>
      </c>
      <c r="D94" s="5">
        <f>IFERROR(__xludf.DUMMYFUNCTION("""COMPUTED_VALUE"""),267.15)</f>
        <v>267.15</v>
      </c>
      <c r="E94" s="5">
        <f>IFERROR(__xludf.DUMMYFUNCTION("""COMPUTED_VALUE"""),269.45)</f>
        <v>269.45</v>
      </c>
      <c r="F94" s="5">
        <f>IFERROR(__xludf.DUMMYFUNCTION("""COMPUTED_VALUE"""),1.3239671E7)</f>
        <v>13239671</v>
      </c>
    </row>
    <row r="95">
      <c r="A95" s="6">
        <f>IFERROR(__xludf.DUMMYFUNCTION("""COMPUTED_VALUE"""),45856.64583333333)</f>
        <v>45856.64583</v>
      </c>
      <c r="B95" s="5">
        <f>IFERROR(__xludf.DUMMYFUNCTION("""COMPUTED_VALUE"""),268.0)</f>
        <v>268</v>
      </c>
      <c r="C95" s="5">
        <f>IFERROR(__xludf.DUMMYFUNCTION("""COMPUTED_VALUE"""),273.15)</f>
        <v>273.15</v>
      </c>
      <c r="D95" s="5">
        <f>IFERROR(__xludf.DUMMYFUNCTION("""COMPUTED_VALUE"""),264.0)</f>
        <v>264</v>
      </c>
      <c r="E95" s="5">
        <f>IFERROR(__xludf.DUMMYFUNCTION("""COMPUTED_VALUE"""),264.35)</f>
        <v>264.35</v>
      </c>
      <c r="F95" s="5">
        <f>IFERROR(__xludf.DUMMYFUNCTION("""COMPUTED_VALUE"""),1.026113E7)</f>
        <v>10261130</v>
      </c>
    </row>
    <row r="96">
      <c r="A96" s="6">
        <f>IFERROR(__xludf.DUMMYFUNCTION("""COMPUTED_VALUE"""),45863.64583333333)</f>
        <v>45863.64583</v>
      </c>
      <c r="B96" s="5">
        <f>IFERROR(__xludf.DUMMYFUNCTION("""COMPUTED_VALUE"""),263.9)</f>
        <v>263.9</v>
      </c>
      <c r="C96" s="5">
        <f>IFERROR(__xludf.DUMMYFUNCTION("""COMPUTED_VALUE"""),273.75)</f>
        <v>273.75</v>
      </c>
      <c r="D96" s="5">
        <f>IFERROR(__xludf.DUMMYFUNCTION("""COMPUTED_VALUE"""),256.5)</f>
        <v>256.5</v>
      </c>
      <c r="E96" s="5">
        <f>IFERROR(__xludf.DUMMYFUNCTION("""COMPUTED_VALUE"""),260.35)</f>
        <v>260.35</v>
      </c>
      <c r="F96" s="5">
        <f>IFERROR(__xludf.DUMMYFUNCTION("""COMPUTED_VALUE"""),1.9368397E7)</f>
        <v>19368397</v>
      </c>
    </row>
    <row r="97">
      <c r="A97" s="6">
        <f>IFERROR(__xludf.DUMMYFUNCTION("""COMPUTED_VALUE"""),45870.64583333333)</f>
        <v>45870.64583</v>
      </c>
      <c r="B97" s="5">
        <f>IFERROR(__xludf.DUMMYFUNCTION("""COMPUTED_VALUE"""),259.0)</f>
        <v>259</v>
      </c>
      <c r="C97" s="5">
        <f>IFERROR(__xludf.DUMMYFUNCTION("""COMPUTED_VALUE"""),260.45)</f>
        <v>260.45</v>
      </c>
      <c r="D97" s="5">
        <f>IFERROR(__xludf.DUMMYFUNCTION("""COMPUTED_VALUE"""),243.0)</f>
        <v>243</v>
      </c>
      <c r="E97" s="5">
        <f>IFERROR(__xludf.DUMMYFUNCTION("""COMPUTED_VALUE"""),251.45)</f>
        <v>251.45</v>
      </c>
      <c r="F97" s="5">
        <f>IFERROR(__xludf.DUMMYFUNCTION("""COMPUTED_VALUE"""),2.3542402E7)</f>
        <v>23542402</v>
      </c>
    </row>
    <row r="98">
      <c r="A98" s="6">
        <f>IFERROR(__xludf.DUMMYFUNCTION("""COMPUTED_VALUE"""),45877.64583333333)</f>
        <v>45877.64583</v>
      </c>
      <c r="B98" s="5">
        <f>IFERROR(__xludf.DUMMYFUNCTION("""COMPUTED_VALUE"""),251.5)</f>
        <v>251.5</v>
      </c>
      <c r="C98" s="5">
        <f>IFERROR(__xludf.DUMMYFUNCTION("""COMPUTED_VALUE"""),284.0)</f>
        <v>284</v>
      </c>
      <c r="D98" s="5">
        <f>IFERROR(__xludf.DUMMYFUNCTION("""COMPUTED_VALUE"""),251.5)</f>
        <v>251.5</v>
      </c>
      <c r="E98" s="5">
        <f>IFERROR(__xludf.DUMMYFUNCTION("""COMPUTED_VALUE"""),271.8)</f>
        <v>271.8</v>
      </c>
      <c r="F98" s="5">
        <f>IFERROR(__xludf.DUMMYFUNCTION("""COMPUTED_VALUE"""),6.1980442E7)</f>
        <v>61980442</v>
      </c>
    </row>
    <row r="99">
      <c r="A99" s="6">
        <f>IFERROR(__xludf.DUMMYFUNCTION("""COMPUTED_VALUE"""),45883.64583333333)</f>
        <v>45883.64583</v>
      </c>
      <c r="B99" s="5">
        <f>IFERROR(__xludf.DUMMYFUNCTION("""COMPUTED_VALUE"""),271.9)</f>
        <v>271.9</v>
      </c>
      <c r="C99" s="5">
        <f>IFERROR(__xludf.DUMMYFUNCTION("""COMPUTED_VALUE"""),274.1)</f>
        <v>274.1</v>
      </c>
      <c r="D99" s="5">
        <f>IFERROR(__xludf.DUMMYFUNCTION("""COMPUTED_VALUE"""),267.0)</f>
        <v>267</v>
      </c>
      <c r="E99" s="5">
        <f>IFERROR(__xludf.DUMMYFUNCTION("""COMPUTED_VALUE"""),273.0)</f>
        <v>273</v>
      </c>
      <c r="F99" s="5">
        <f>IFERROR(__xludf.DUMMYFUNCTION("""COMPUTED_VALUE"""),9826242.0)</f>
        <v>9826242</v>
      </c>
    </row>
    <row r="100">
      <c r="A100" s="6">
        <f>IFERROR(__xludf.DUMMYFUNCTION("""COMPUTED_VALUE"""),45891.64583333333)</f>
        <v>45891.64583</v>
      </c>
      <c r="B100" s="5">
        <f>IFERROR(__xludf.DUMMYFUNCTION("""COMPUTED_VALUE"""),276.0)</f>
        <v>276</v>
      </c>
      <c r="C100" s="5">
        <f>IFERROR(__xludf.DUMMYFUNCTION("""COMPUTED_VALUE"""),292.4)</f>
        <v>292.4</v>
      </c>
      <c r="D100" s="5">
        <f>IFERROR(__xludf.DUMMYFUNCTION("""COMPUTED_VALUE"""),275.0)</f>
        <v>275</v>
      </c>
      <c r="E100" s="5">
        <f>IFERROR(__xludf.DUMMYFUNCTION("""COMPUTED_VALUE"""),286.35)</f>
        <v>286.35</v>
      </c>
      <c r="F100" s="5">
        <f>IFERROR(__xludf.DUMMYFUNCTION("""COMPUTED_VALUE"""),2.6608861E7)</f>
        <v>26608861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IFERROR(__xludf.DUMMYFUNCTION("GOOGLEFINANCE(""NSE:BANKINDIA"", ""all"",ConfigSheet!B2 -ConfigSheet!B1,ConfigSheet!B2,ConfigSheet!B3)"),"#N/A")</f>
        <v>#N/A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IFERROR(__xludf.DUMMYFUNCTION("GOOGLEFINANCE(""NSE:BDL"", ""all"",ConfigSheet!B2 -ConfigSheet!B1,ConfigSheet!B2,ConfigSheet!B3)"),"#N/A")</f>
        <v>#N/A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IFERROR(__xludf.DUMMYFUNCTION("GOOGLEFINANCE(""NSE:BEL"", ""all"",ConfigSheet!B2 -ConfigSheet!B1,ConfigSheet!B2,ConfigSheet!B3)"),"#N/A")</f>
        <v>#N/A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IFERROR(__xludf.DUMMYFUNCTION("GOOGLEFINANCE(""NSE:BHARATFORG"", ""all"",ConfigSheet!B2 -ConfigSheet!B1,ConfigSheet!B2,ConfigSheet!B3)"),"#N/A")</f>
        <v>#N/A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IFERROR(__xludf.DUMMYFUNCTION("GOOGLEFINANCE(""NSE:BHARTIARTL"", ""all"",ConfigSheet!B2 -ConfigSheet!B1,ConfigSheet!B2,ConfigSheet!B3)"),"#N/A")</f>
        <v>#N/A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IFERROR(__xludf.DUMMYFUNCTION("GOOGLEFINANCE(""NSE:BHARTIHEXA"", ""all"",ConfigSheet!B2 -ConfigSheet!B1,ConfigSheet!B2,ConfigSheet!B3)"),"#N/A")</f>
        <v>#N/A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IFERROR(__xludf.DUMMYFUNCTION("GOOGLEFINANCE(""NSE:BHEL"", ""all"",ConfigSheet!B2 -ConfigSheet!B1,ConfigSheet!B2,ConfigSheet!B3)"),"#N/A")</f>
        <v>#N/A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IFERROR(__xludf.DUMMYFUNCTION("GOOGLEFINANCE(""NSE:BIOCON"", ""all"",ConfigSheet!B2 -ConfigSheet!B1,ConfigSheet!B2,ConfigSheet!B3)"),"#N/A")</f>
        <v>#N/A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IFERROR(__xludf.DUMMYFUNCTION("GOOGLEFINANCE(""NSE:BOSCHLTD"", ""all"",ConfigSheet!B2 -ConfigSheet!B1,ConfigSheet!B2,ConfigSheet!B3)"),"#N/A")</f>
        <v>#N/A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IFERROR(__xludf.DUMMYFUNCTION("GOOGLEFINANCE(""NSE:BPCL"", ""all"",ConfigSheet!B2 -ConfigSheet!B1,ConfigSheet!B2,ConfigSheet!B3)"),"#N/A")</f>
        <v>#N/A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IFERROR(__xludf.DUMMYFUNCTION("GOOGLEFINANCE(""NSE:ABFRL"", ""all"",ConfigSheet!B2 -ConfigSheet!B1,ConfigSheet!B2,ConfigSheet!B3)"),"Date")</f>
        <v>Date</v>
      </c>
      <c r="B1" s="5" t="str">
        <f>IFERROR(__xludf.DUMMYFUNCTION("""COMPUTED_VALUE"""),"Open")</f>
        <v>Open</v>
      </c>
      <c r="C1" s="5" t="str">
        <f>IFERROR(__xludf.DUMMYFUNCTION("""COMPUTED_VALUE"""),"High")</f>
        <v>High</v>
      </c>
      <c r="D1" s="5" t="str">
        <f>IFERROR(__xludf.DUMMYFUNCTION("""COMPUTED_VALUE"""),"Low")</f>
        <v>Low</v>
      </c>
      <c r="E1" s="5" t="str">
        <f>IFERROR(__xludf.DUMMYFUNCTION("""COMPUTED_VALUE"""),"Close")</f>
        <v>Close</v>
      </c>
      <c r="F1" s="5" t="str">
        <f>IFERROR(__xludf.DUMMYFUNCTION("""COMPUTED_VALUE"""),"Volume")</f>
        <v>Volume</v>
      </c>
    </row>
    <row r="2">
      <c r="A2" s="6">
        <f>IFERROR(__xludf.DUMMYFUNCTION("""COMPUTED_VALUE"""),45170.64583333333)</f>
        <v>45170.64583</v>
      </c>
      <c r="B2" s="5">
        <f>IFERROR(__xludf.DUMMYFUNCTION("""COMPUTED_VALUE"""),81.42)</f>
        <v>81.42</v>
      </c>
      <c r="C2" s="5">
        <f>IFERROR(__xludf.DUMMYFUNCTION("""COMPUTED_VALUE"""),84.42)</f>
        <v>84.42</v>
      </c>
      <c r="D2" s="5">
        <f>IFERROR(__xludf.DUMMYFUNCTION("""COMPUTED_VALUE"""),80.53)</f>
        <v>80.53</v>
      </c>
      <c r="E2" s="5">
        <f>IFERROR(__xludf.DUMMYFUNCTION("""COMPUTED_VALUE"""),82.77)</f>
        <v>82.77</v>
      </c>
      <c r="F2" s="5">
        <f>IFERROR(__xludf.DUMMYFUNCTION("""COMPUTED_VALUE"""),8599503.0)</f>
        <v>8599503</v>
      </c>
    </row>
    <row r="3">
      <c r="A3" s="6">
        <f>IFERROR(__xludf.DUMMYFUNCTION("""COMPUTED_VALUE"""),45177.64583333333)</f>
        <v>45177.64583</v>
      </c>
      <c r="B3" s="5">
        <f>IFERROR(__xludf.DUMMYFUNCTION("""COMPUTED_VALUE"""),83.39)</f>
        <v>83.39</v>
      </c>
      <c r="C3" s="5">
        <f>IFERROR(__xludf.DUMMYFUNCTION("""COMPUTED_VALUE"""),88.7)</f>
        <v>88.7</v>
      </c>
      <c r="D3" s="5">
        <f>IFERROR(__xludf.DUMMYFUNCTION("""COMPUTED_VALUE"""),82.22)</f>
        <v>82.22</v>
      </c>
      <c r="E3" s="5">
        <f>IFERROR(__xludf.DUMMYFUNCTION("""COMPUTED_VALUE"""),86.94)</f>
        <v>86.94</v>
      </c>
      <c r="F3" s="5">
        <f>IFERROR(__xludf.DUMMYFUNCTION("""COMPUTED_VALUE"""),2.9344843E7)</f>
        <v>29344843</v>
      </c>
    </row>
    <row r="4">
      <c r="A4" s="6">
        <f>IFERROR(__xludf.DUMMYFUNCTION("""COMPUTED_VALUE"""),45184.64583333333)</f>
        <v>45184.64583</v>
      </c>
      <c r="B4" s="5">
        <f>IFERROR(__xludf.DUMMYFUNCTION("""COMPUTED_VALUE"""),87.51)</f>
        <v>87.51</v>
      </c>
      <c r="C4" s="5">
        <f>IFERROR(__xludf.DUMMYFUNCTION("""COMPUTED_VALUE"""),89.04)</f>
        <v>89.04</v>
      </c>
      <c r="D4" s="5">
        <f>IFERROR(__xludf.DUMMYFUNCTION("""COMPUTED_VALUE"""),82.92)</f>
        <v>82.92</v>
      </c>
      <c r="E4" s="5">
        <f>IFERROR(__xludf.DUMMYFUNCTION("""COMPUTED_VALUE"""),85.4)</f>
        <v>85.4</v>
      </c>
      <c r="F4" s="5">
        <f>IFERROR(__xludf.DUMMYFUNCTION("""COMPUTED_VALUE"""),1.6384285E7)</f>
        <v>16384285</v>
      </c>
    </row>
    <row r="5">
      <c r="A5" s="6">
        <f>IFERROR(__xludf.DUMMYFUNCTION("""COMPUTED_VALUE"""),45191.64583333333)</f>
        <v>45191.64583</v>
      </c>
      <c r="B5" s="5">
        <f>IFERROR(__xludf.DUMMYFUNCTION("""COMPUTED_VALUE"""),86.03)</f>
        <v>86.03</v>
      </c>
      <c r="C5" s="5">
        <f>IFERROR(__xludf.DUMMYFUNCTION("""COMPUTED_VALUE"""),86.92)</f>
        <v>86.92</v>
      </c>
      <c r="D5" s="5">
        <f>IFERROR(__xludf.DUMMYFUNCTION("""COMPUTED_VALUE"""),81.14)</f>
        <v>81.14</v>
      </c>
      <c r="E5" s="5">
        <f>IFERROR(__xludf.DUMMYFUNCTION("""COMPUTED_VALUE"""),81.33)</f>
        <v>81.33</v>
      </c>
      <c r="F5" s="5">
        <f>IFERROR(__xludf.DUMMYFUNCTION("""COMPUTED_VALUE"""),7136811.0)</f>
        <v>7136811</v>
      </c>
    </row>
    <row r="6">
      <c r="A6" s="6">
        <f>IFERROR(__xludf.DUMMYFUNCTION("""COMPUTED_VALUE"""),45198.64583333333)</f>
        <v>45198.64583</v>
      </c>
      <c r="B6" s="5">
        <f>IFERROR(__xludf.DUMMYFUNCTION("""COMPUTED_VALUE"""),81.88)</f>
        <v>81.88</v>
      </c>
      <c r="C6" s="5">
        <f>IFERROR(__xludf.DUMMYFUNCTION("""COMPUTED_VALUE"""),83.11)</f>
        <v>83.11</v>
      </c>
      <c r="D6" s="5">
        <f>IFERROR(__xludf.DUMMYFUNCTION("""COMPUTED_VALUE"""),79.76)</f>
        <v>79.76</v>
      </c>
      <c r="E6" s="5">
        <f>IFERROR(__xludf.DUMMYFUNCTION("""COMPUTED_VALUE"""),81.22)</f>
        <v>81.22</v>
      </c>
      <c r="F6" s="5">
        <f>IFERROR(__xludf.DUMMYFUNCTION("""COMPUTED_VALUE"""),8715508.0)</f>
        <v>8715508</v>
      </c>
    </row>
    <row r="7">
      <c r="A7" s="6">
        <f>IFERROR(__xludf.DUMMYFUNCTION("""COMPUTED_VALUE"""),45205.64583333333)</f>
        <v>45205.64583</v>
      </c>
      <c r="B7" s="5">
        <f>IFERROR(__xludf.DUMMYFUNCTION("""COMPUTED_VALUE"""),81.27)</f>
        <v>81.27</v>
      </c>
      <c r="C7" s="5">
        <f>IFERROR(__xludf.DUMMYFUNCTION("""COMPUTED_VALUE"""),84.02)</f>
        <v>84.02</v>
      </c>
      <c r="D7" s="5">
        <f>IFERROR(__xludf.DUMMYFUNCTION("""COMPUTED_VALUE"""),80.06)</f>
        <v>80.06</v>
      </c>
      <c r="E7" s="5">
        <f>IFERROR(__xludf.DUMMYFUNCTION("""COMPUTED_VALUE"""),83.02)</f>
        <v>83.02</v>
      </c>
      <c r="F7" s="5">
        <f>IFERROR(__xludf.DUMMYFUNCTION("""COMPUTED_VALUE"""),8601031.0)</f>
        <v>8601031</v>
      </c>
    </row>
    <row r="8">
      <c r="A8" s="6">
        <f>IFERROR(__xludf.DUMMYFUNCTION("""COMPUTED_VALUE"""),45212.64583333333)</f>
        <v>45212.64583</v>
      </c>
      <c r="B8" s="5">
        <f>IFERROR(__xludf.DUMMYFUNCTION("""COMPUTED_VALUE"""),81.58)</f>
        <v>81.58</v>
      </c>
      <c r="C8" s="5">
        <f>IFERROR(__xludf.DUMMYFUNCTION("""COMPUTED_VALUE"""),85.29)</f>
        <v>85.29</v>
      </c>
      <c r="D8" s="5">
        <f>IFERROR(__xludf.DUMMYFUNCTION("""COMPUTED_VALUE"""),80.76)</f>
        <v>80.76</v>
      </c>
      <c r="E8" s="5">
        <f>IFERROR(__xludf.DUMMYFUNCTION("""COMPUTED_VALUE"""),84.34)</f>
        <v>84.34</v>
      </c>
      <c r="F8" s="5">
        <f>IFERROR(__xludf.DUMMYFUNCTION("""COMPUTED_VALUE"""),7655961.0)</f>
        <v>7655961</v>
      </c>
    </row>
    <row r="9">
      <c r="A9" s="6">
        <f>IFERROR(__xludf.DUMMYFUNCTION("""COMPUTED_VALUE"""),45219.64583333333)</f>
        <v>45219.64583</v>
      </c>
      <c r="B9" s="5">
        <f>IFERROR(__xludf.DUMMYFUNCTION("""COMPUTED_VALUE"""),84.34)</f>
        <v>84.34</v>
      </c>
      <c r="C9" s="5">
        <f>IFERROR(__xludf.DUMMYFUNCTION("""COMPUTED_VALUE"""),90.94)</f>
        <v>90.94</v>
      </c>
      <c r="D9" s="5">
        <f>IFERROR(__xludf.DUMMYFUNCTION("""COMPUTED_VALUE"""),84.15)</f>
        <v>84.15</v>
      </c>
      <c r="E9" s="5">
        <f>IFERROR(__xludf.DUMMYFUNCTION("""COMPUTED_VALUE"""),86.96)</f>
        <v>86.96</v>
      </c>
      <c r="F9" s="5">
        <f>IFERROR(__xludf.DUMMYFUNCTION("""COMPUTED_VALUE"""),2.5717689E7)</f>
        <v>25717689</v>
      </c>
    </row>
    <row r="10">
      <c r="A10" s="6">
        <f>IFERROR(__xludf.DUMMYFUNCTION("""COMPUTED_VALUE"""),45226.64583333333)</f>
        <v>45226.64583</v>
      </c>
      <c r="B10" s="5">
        <f>IFERROR(__xludf.DUMMYFUNCTION("""COMPUTED_VALUE"""),87.17)</f>
        <v>87.17</v>
      </c>
      <c r="C10" s="5">
        <f>IFERROR(__xludf.DUMMYFUNCTION("""COMPUTED_VALUE"""),87.62)</f>
        <v>87.62</v>
      </c>
      <c r="D10" s="5">
        <f>IFERROR(__xludf.DUMMYFUNCTION("""COMPUTED_VALUE"""),78.09)</f>
        <v>78.09</v>
      </c>
      <c r="E10" s="5">
        <f>IFERROR(__xludf.DUMMYFUNCTION("""COMPUTED_VALUE"""),81.88)</f>
        <v>81.88</v>
      </c>
      <c r="F10" s="5">
        <f>IFERROR(__xludf.DUMMYFUNCTION("""COMPUTED_VALUE"""),1.4725676E7)</f>
        <v>14725676</v>
      </c>
    </row>
    <row r="11">
      <c r="A11" s="6">
        <f>IFERROR(__xludf.DUMMYFUNCTION("""COMPUTED_VALUE"""),45233.64583333333)</f>
        <v>45233.64583</v>
      </c>
      <c r="B11" s="5">
        <f>IFERROR(__xludf.DUMMYFUNCTION("""COMPUTED_VALUE"""),82.26)</f>
        <v>82.26</v>
      </c>
      <c r="C11" s="5">
        <f>IFERROR(__xludf.DUMMYFUNCTION("""COMPUTED_VALUE"""),83.07)</f>
        <v>83.07</v>
      </c>
      <c r="D11" s="5">
        <f>IFERROR(__xludf.DUMMYFUNCTION("""COMPUTED_VALUE"""),80.44)</f>
        <v>80.44</v>
      </c>
      <c r="E11" s="5">
        <f>IFERROR(__xludf.DUMMYFUNCTION("""COMPUTED_VALUE"""),81.65)</f>
        <v>81.65</v>
      </c>
      <c r="F11" s="5">
        <f>IFERROR(__xludf.DUMMYFUNCTION("""COMPUTED_VALUE"""),7925372.0)</f>
        <v>7925372</v>
      </c>
    </row>
    <row r="12">
      <c r="A12" s="6">
        <f>IFERROR(__xludf.DUMMYFUNCTION("""COMPUTED_VALUE"""),45240.64583333333)</f>
        <v>45240.64583</v>
      </c>
      <c r="B12" s="5">
        <f>IFERROR(__xludf.DUMMYFUNCTION("""COMPUTED_VALUE"""),82.18)</f>
        <v>82.18</v>
      </c>
      <c r="C12" s="5">
        <f>IFERROR(__xludf.DUMMYFUNCTION("""COMPUTED_VALUE"""),84.59)</f>
        <v>84.59</v>
      </c>
      <c r="D12" s="5">
        <f>IFERROR(__xludf.DUMMYFUNCTION("""COMPUTED_VALUE"""),78.94)</f>
        <v>78.94</v>
      </c>
      <c r="E12" s="5">
        <f>IFERROR(__xludf.DUMMYFUNCTION("""COMPUTED_VALUE"""),82.11)</f>
        <v>82.11</v>
      </c>
      <c r="F12" s="5">
        <f>IFERROR(__xludf.DUMMYFUNCTION("""COMPUTED_VALUE"""),1.0976144E7)</f>
        <v>10976144</v>
      </c>
    </row>
    <row r="13">
      <c r="A13" s="6">
        <f>IFERROR(__xludf.DUMMYFUNCTION("""COMPUTED_VALUE"""),45247.64583333333)</f>
        <v>45247.64583</v>
      </c>
      <c r="B13" s="5">
        <f>IFERROR(__xludf.DUMMYFUNCTION("""COMPUTED_VALUE"""),82.35)</f>
        <v>82.35</v>
      </c>
      <c r="C13" s="5">
        <f>IFERROR(__xludf.DUMMYFUNCTION("""COMPUTED_VALUE"""),83.41)</f>
        <v>83.41</v>
      </c>
      <c r="D13" s="5">
        <f>IFERROR(__xludf.DUMMYFUNCTION("""COMPUTED_VALUE"""),80.65)</f>
        <v>80.65</v>
      </c>
      <c r="E13" s="5">
        <f>IFERROR(__xludf.DUMMYFUNCTION("""COMPUTED_VALUE"""),81.75)</f>
        <v>81.75</v>
      </c>
      <c r="F13" s="5">
        <f>IFERROR(__xludf.DUMMYFUNCTION("""COMPUTED_VALUE"""),7287958.0)</f>
        <v>7287958</v>
      </c>
    </row>
    <row r="14">
      <c r="A14" s="6">
        <f>IFERROR(__xludf.DUMMYFUNCTION("""COMPUTED_VALUE"""),45254.64583333333)</f>
        <v>45254.64583</v>
      </c>
      <c r="B14" s="5">
        <f>IFERROR(__xludf.DUMMYFUNCTION("""COMPUTED_VALUE"""),81.75)</f>
        <v>81.75</v>
      </c>
      <c r="C14" s="5">
        <f>IFERROR(__xludf.DUMMYFUNCTION("""COMPUTED_VALUE"""),88.25)</f>
        <v>88.25</v>
      </c>
      <c r="D14" s="5">
        <f>IFERROR(__xludf.DUMMYFUNCTION("""COMPUTED_VALUE"""),80.53)</f>
        <v>80.53</v>
      </c>
      <c r="E14" s="5">
        <f>IFERROR(__xludf.DUMMYFUNCTION("""COMPUTED_VALUE"""),86.54)</f>
        <v>86.54</v>
      </c>
      <c r="F14" s="5">
        <f>IFERROR(__xludf.DUMMYFUNCTION("""COMPUTED_VALUE"""),1.9704981E7)</f>
        <v>19704981</v>
      </c>
    </row>
    <row r="15">
      <c r="A15" s="6">
        <f>IFERROR(__xludf.DUMMYFUNCTION("""COMPUTED_VALUE"""),45261.64583333333)</f>
        <v>45261.64583</v>
      </c>
      <c r="B15" s="5">
        <f>IFERROR(__xludf.DUMMYFUNCTION("""COMPUTED_VALUE"""),86.37)</f>
        <v>86.37</v>
      </c>
      <c r="C15" s="5">
        <f>IFERROR(__xludf.DUMMYFUNCTION("""COMPUTED_VALUE"""),89.76)</f>
        <v>89.76</v>
      </c>
      <c r="D15" s="5">
        <f>IFERROR(__xludf.DUMMYFUNCTION("""COMPUTED_VALUE"""),85.2)</f>
        <v>85.2</v>
      </c>
      <c r="E15" s="5">
        <f>IFERROR(__xludf.DUMMYFUNCTION("""COMPUTED_VALUE"""),87.72)</f>
        <v>87.72</v>
      </c>
      <c r="F15" s="5">
        <f>IFERROR(__xludf.DUMMYFUNCTION("""COMPUTED_VALUE"""),1.2167652E7)</f>
        <v>12167652</v>
      </c>
    </row>
    <row r="16">
      <c r="A16" s="6">
        <f>IFERROR(__xludf.DUMMYFUNCTION("""COMPUTED_VALUE"""),45268.64583333333)</f>
        <v>45268.64583</v>
      </c>
      <c r="B16" s="5">
        <f>IFERROR(__xludf.DUMMYFUNCTION("""COMPUTED_VALUE"""),88.7)</f>
        <v>88.7</v>
      </c>
      <c r="C16" s="5">
        <f>IFERROR(__xludf.DUMMYFUNCTION("""COMPUTED_VALUE"""),92.87)</f>
        <v>92.87</v>
      </c>
      <c r="D16" s="5">
        <f>IFERROR(__xludf.DUMMYFUNCTION("""COMPUTED_VALUE"""),86.9)</f>
        <v>86.9</v>
      </c>
      <c r="E16" s="5">
        <f>IFERROR(__xludf.DUMMYFUNCTION("""COMPUTED_VALUE"""),88.68)</f>
        <v>88.68</v>
      </c>
      <c r="F16" s="5">
        <f>IFERROR(__xludf.DUMMYFUNCTION("""COMPUTED_VALUE"""),1.70514E7)</f>
        <v>17051400</v>
      </c>
    </row>
    <row r="17">
      <c r="A17" s="6">
        <f>IFERROR(__xludf.DUMMYFUNCTION("""COMPUTED_VALUE"""),45275.64583333333)</f>
        <v>45275.64583</v>
      </c>
      <c r="B17" s="5">
        <f>IFERROR(__xludf.DUMMYFUNCTION("""COMPUTED_VALUE"""),89.08)</f>
        <v>89.08</v>
      </c>
      <c r="C17" s="5">
        <f>IFERROR(__xludf.DUMMYFUNCTION("""COMPUTED_VALUE"""),90.07)</f>
        <v>90.07</v>
      </c>
      <c r="D17" s="5">
        <f>IFERROR(__xludf.DUMMYFUNCTION("""COMPUTED_VALUE"""),85.8)</f>
        <v>85.8</v>
      </c>
      <c r="E17" s="5">
        <f>IFERROR(__xludf.DUMMYFUNCTION("""COMPUTED_VALUE"""),88.17)</f>
        <v>88.17</v>
      </c>
      <c r="F17" s="5">
        <f>IFERROR(__xludf.DUMMYFUNCTION("""COMPUTED_VALUE"""),1.128571E7)</f>
        <v>11285710</v>
      </c>
    </row>
    <row r="18">
      <c r="A18" s="6">
        <f>IFERROR(__xludf.DUMMYFUNCTION("""COMPUTED_VALUE"""),45282.64583333333)</f>
        <v>45282.64583</v>
      </c>
      <c r="B18" s="5">
        <f>IFERROR(__xludf.DUMMYFUNCTION("""COMPUTED_VALUE"""),88.59)</f>
        <v>88.59</v>
      </c>
      <c r="C18" s="5">
        <f>IFERROR(__xludf.DUMMYFUNCTION("""COMPUTED_VALUE"""),89.55)</f>
        <v>89.55</v>
      </c>
      <c r="D18" s="5">
        <f>IFERROR(__xludf.DUMMYFUNCTION("""COMPUTED_VALUE"""),81.65)</f>
        <v>81.65</v>
      </c>
      <c r="E18" s="5">
        <f>IFERROR(__xludf.DUMMYFUNCTION("""COMPUTED_VALUE"""),83.32)</f>
        <v>83.32</v>
      </c>
      <c r="F18" s="5">
        <f>IFERROR(__xludf.DUMMYFUNCTION("""COMPUTED_VALUE"""),1.1757406E7)</f>
        <v>11757406</v>
      </c>
    </row>
    <row r="19">
      <c r="A19" s="6">
        <f>IFERROR(__xludf.DUMMYFUNCTION("""COMPUTED_VALUE"""),45289.64583333333)</f>
        <v>45289.64583</v>
      </c>
      <c r="B19" s="5">
        <f>IFERROR(__xludf.DUMMYFUNCTION("""COMPUTED_VALUE"""),83.66)</f>
        <v>83.66</v>
      </c>
      <c r="C19" s="5">
        <f>IFERROR(__xludf.DUMMYFUNCTION("""COMPUTED_VALUE"""),85.29)</f>
        <v>85.29</v>
      </c>
      <c r="D19" s="5">
        <f>IFERROR(__xludf.DUMMYFUNCTION("""COMPUTED_VALUE"""),82.83)</f>
        <v>82.83</v>
      </c>
      <c r="E19" s="5">
        <f>IFERROR(__xludf.DUMMYFUNCTION("""COMPUTED_VALUE"""),84.8)</f>
        <v>84.8</v>
      </c>
      <c r="F19" s="5">
        <f>IFERROR(__xludf.DUMMYFUNCTION("""COMPUTED_VALUE"""),7945717.0)</f>
        <v>7945717</v>
      </c>
    </row>
    <row r="20">
      <c r="A20" s="6">
        <f>IFERROR(__xludf.DUMMYFUNCTION("""COMPUTED_VALUE"""),45296.64583333333)</f>
        <v>45296.64583</v>
      </c>
      <c r="B20" s="5">
        <f>IFERROR(__xludf.DUMMYFUNCTION("""COMPUTED_VALUE"""),85.67)</f>
        <v>85.67</v>
      </c>
      <c r="C20" s="5">
        <f>IFERROR(__xludf.DUMMYFUNCTION("""COMPUTED_VALUE"""),94.48)</f>
        <v>94.48</v>
      </c>
      <c r="D20" s="5">
        <f>IFERROR(__xludf.DUMMYFUNCTION("""COMPUTED_VALUE"""),84.76)</f>
        <v>84.76</v>
      </c>
      <c r="E20" s="5">
        <f>IFERROR(__xludf.DUMMYFUNCTION("""COMPUTED_VALUE"""),90.26)</f>
        <v>90.26</v>
      </c>
      <c r="F20" s="5">
        <f>IFERROR(__xludf.DUMMYFUNCTION("""COMPUTED_VALUE"""),5.1067886E7)</f>
        <v>51067886</v>
      </c>
    </row>
    <row r="21">
      <c r="A21" s="6">
        <f>IFERROR(__xludf.DUMMYFUNCTION("""COMPUTED_VALUE"""),45303.64583333333)</f>
        <v>45303.64583</v>
      </c>
      <c r="B21" s="5">
        <f>IFERROR(__xludf.DUMMYFUNCTION("""COMPUTED_VALUE"""),90.88)</f>
        <v>90.88</v>
      </c>
      <c r="C21" s="5">
        <f>IFERROR(__xludf.DUMMYFUNCTION("""COMPUTED_VALUE"""),90.98)</f>
        <v>90.98</v>
      </c>
      <c r="D21" s="5">
        <f>IFERROR(__xludf.DUMMYFUNCTION("""COMPUTED_VALUE"""),85.12)</f>
        <v>85.12</v>
      </c>
      <c r="E21" s="5">
        <f>IFERROR(__xludf.DUMMYFUNCTION("""COMPUTED_VALUE"""),88.32)</f>
        <v>88.32</v>
      </c>
      <c r="F21" s="5">
        <f>IFERROR(__xludf.DUMMYFUNCTION("""COMPUTED_VALUE"""),1.9750843E7)</f>
        <v>19750843</v>
      </c>
    </row>
    <row r="22">
      <c r="A22" s="6">
        <f>IFERROR(__xludf.DUMMYFUNCTION("""COMPUTED_VALUE"""),45316.64583333333)</f>
        <v>45316.64583</v>
      </c>
      <c r="B22" s="5">
        <f>IFERROR(__xludf.DUMMYFUNCTION("""COMPUTED_VALUE"""),86.01)</f>
        <v>86.01</v>
      </c>
      <c r="C22" s="5">
        <f>IFERROR(__xludf.DUMMYFUNCTION("""COMPUTED_VALUE"""),92.19)</f>
        <v>92.19</v>
      </c>
      <c r="D22" s="5">
        <f>IFERROR(__xludf.DUMMYFUNCTION("""COMPUTED_VALUE"""),83.94)</f>
        <v>83.94</v>
      </c>
      <c r="E22" s="5">
        <f>IFERROR(__xludf.DUMMYFUNCTION("""COMPUTED_VALUE"""),91.58)</f>
        <v>91.58</v>
      </c>
      <c r="F22" s="5">
        <f>IFERROR(__xludf.DUMMYFUNCTION("""COMPUTED_VALUE"""),2.3735399E7)</f>
        <v>23735399</v>
      </c>
    </row>
    <row r="23">
      <c r="A23" s="6">
        <f>IFERROR(__xludf.DUMMYFUNCTION("""COMPUTED_VALUE"""),45324.64583333333)</f>
        <v>45324.64583</v>
      </c>
      <c r="B23" s="5">
        <f>IFERROR(__xludf.DUMMYFUNCTION("""COMPUTED_VALUE"""),91.73)</f>
        <v>91.73</v>
      </c>
      <c r="C23" s="5">
        <f>IFERROR(__xludf.DUMMYFUNCTION("""COMPUTED_VALUE"""),96.66)</f>
        <v>96.66</v>
      </c>
      <c r="D23" s="5">
        <f>IFERROR(__xludf.DUMMYFUNCTION("""COMPUTED_VALUE"""),90.62)</f>
        <v>90.62</v>
      </c>
      <c r="E23" s="5">
        <f>IFERROR(__xludf.DUMMYFUNCTION("""COMPUTED_VALUE"""),94.18)</f>
        <v>94.18</v>
      </c>
      <c r="F23" s="5">
        <f>IFERROR(__xludf.DUMMYFUNCTION("""COMPUTED_VALUE"""),3.009924E7)</f>
        <v>30099240</v>
      </c>
    </row>
    <row r="24">
      <c r="A24" s="6">
        <f>IFERROR(__xludf.DUMMYFUNCTION("""COMPUTED_VALUE"""),45331.64583333333)</f>
        <v>45331.64583</v>
      </c>
      <c r="B24" s="5">
        <f>IFERROR(__xludf.DUMMYFUNCTION("""COMPUTED_VALUE"""),94.67)</f>
        <v>94.67</v>
      </c>
      <c r="C24" s="5">
        <f>IFERROR(__xludf.DUMMYFUNCTION("""COMPUTED_VALUE"""),100.83)</f>
        <v>100.83</v>
      </c>
      <c r="D24" s="5">
        <f>IFERROR(__xludf.DUMMYFUNCTION("""COMPUTED_VALUE"""),93.06)</f>
        <v>93.06</v>
      </c>
      <c r="E24" s="5">
        <f>IFERROR(__xludf.DUMMYFUNCTION("""COMPUTED_VALUE"""),95.85)</f>
        <v>95.85</v>
      </c>
      <c r="F24" s="5">
        <f>IFERROR(__xludf.DUMMYFUNCTION("""COMPUTED_VALUE"""),3.2839039E7)</f>
        <v>32839039</v>
      </c>
    </row>
    <row r="25">
      <c r="A25" s="6">
        <f>IFERROR(__xludf.DUMMYFUNCTION("""COMPUTED_VALUE"""),45338.64583333333)</f>
        <v>45338.64583</v>
      </c>
      <c r="B25" s="5">
        <f>IFERROR(__xludf.DUMMYFUNCTION("""COMPUTED_VALUE"""),95.85)</f>
        <v>95.85</v>
      </c>
      <c r="C25" s="5">
        <f>IFERROR(__xludf.DUMMYFUNCTION("""COMPUTED_VALUE"""),96.53)</f>
        <v>96.53</v>
      </c>
      <c r="D25" s="5">
        <f>IFERROR(__xludf.DUMMYFUNCTION("""COMPUTED_VALUE"""),86.86)</f>
        <v>86.86</v>
      </c>
      <c r="E25" s="5">
        <f>IFERROR(__xludf.DUMMYFUNCTION("""COMPUTED_VALUE"""),87.51)</f>
        <v>87.51</v>
      </c>
      <c r="F25" s="5">
        <f>IFERROR(__xludf.DUMMYFUNCTION("""COMPUTED_VALUE"""),3.251463E7)</f>
        <v>32514630</v>
      </c>
    </row>
    <row r="26">
      <c r="A26" s="6">
        <f>IFERROR(__xludf.DUMMYFUNCTION("""COMPUTED_VALUE"""),45345.64583333333)</f>
        <v>45345.64583</v>
      </c>
      <c r="B26" s="5">
        <f>IFERROR(__xludf.DUMMYFUNCTION("""COMPUTED_VALUE"""),87.55)</f>
        <v>87.55</v>
      </c>
      <c r="C26" s="5">
        <f>IFERROR(__xludf.DUMMYFUNCTION("""COMPUTED_VALUE"""),91.11)</f>
        <v>91.11</v>
      </c>
      <c r="D26" s="5">
        <f>IFERROR(__xludf.DUMMYFUNCTION("""COMPUTED_VALUE"""),85.18)</f>
        <v>85.18</v>
      </c>
      <c r="E26" s="5">
        <f>IFERROR(__xludf.DUMMYFUNCTION("""COMPUTED_VALUE"""),85.74)</f>
        <v>85.74</v>
      </c>
      <c r="F26" s="5">
        <f>IFERROR(__xludf.DUMMYFUNCTION("""COMPUTED_VALUE"""),1.920654E7)</f>
        <v>19206540</v>
      </c>
    </row>
    <row r="27">
      <c r="A27" s="6">
        <f>IFERROR(__xludf.DUMMYFUNCTION("""COMPUTED_VALUE"""),45358.64583333333)</f>
        <v>45358.64583</v>
      </c>
      <c r="B27" s="5">
        <f>IFERROR(__xludf.DUMMYFUNCTION("""COMPUTED_VALUE"""),88.25)</f>
        <v>88.25</v>
      </c>
      <c r="C27" s="5">
        <f>IFERROR(__xludf.DUMMYFUNCTION("""COMPUTED_VALUE"""),89.38)</f>
        <v>89.38</v>
      </c>
      <c r="D27" s="5">
        <f>IFERROR(__xludf.DUMMYFUNCTION("""COMPUTED_VALUE"""),84.17)</f>
        <v>84.17</v>
      </c>
      <c r="E27" s="5">
        <f>IFERROR(__xludf.DUMMYFUNCTION("""COMPUTED_VALUE"""),85.44)</f>
        <v>85.44</v>
      </c>
      <c r="F27" s="5">
        <f>IFERROR(__xludf.DUMMYFUNCTION("""COMPUTED_VALUE"""),1.8291138E7)</f>
        <v>18291138</v>
      </c>
    </row>
    <row r="28">
      <c r="A28" s="6">
        <f>IFERROR(__xludf.DUMMYFUNCTION("""COMPUTED_VALUE"""),45366.64583333333)</f>
        <v>45366.64583</v>
      </c>
      <c r="B28" s="5">
        <f>IFERROR(__xludf.DUMMYFUNCTION("""COMPUTED_VALUE"""),85.67)</f>
        <v>85.67</v>
      </c>
      <c r="C28" s="5">
        <f>IFERROR(__xludf.DUMMYFUNCTION("""COMPUTED_VALUE"""),86.18)</f>
        <v>86.18</v>
      </c>
      <c r="D28" s="5">
        <f>IFERROR(__xludf.DUMMYFUNCTION("""COMPUTED_VALUE"""),75.34)</f>
        <v>75.34</v>
      </c>
      <c r="E28" s="5">
        <f>IFERROR(__xludf.DUMMYFUNCTION("""COMPUTED_VALUE"""),78.6)</f>
        <v>78.6</v>
      </c>
      <c r="F28" s="5">
        <f>IFERROR(__xludf.DUMMYFUNCTION("""COMPUTED_VALUE"""),2.8111269E7)</f>
        <v>28111269</v>
      </c>
    </row>
    <row r="29">
      <c r="A29" s="6">
        <f>IFERROR(__xludf.DUMMYFUNCTION("""COMPUTED_VALUE"""),45373.64583333333)</f>
        <v>45373.64583</v>
      </c>
      <c r="B29" s="5">
        <f>IFERROR(__xludf.DUMMYFUNCTION("""COMPUTED_VALUE"""),78.66)</f>
        <v>78.66</v>
      </c>
      <c r="C29" s="5">
        <f>IFERROR(__xludf.DUMMYFUNCTION("""COMPUTED_VALUE"""),79.76)</f>
        <v>79.76</v>
      </c>
      <c r="D29" s="5">
        <f>IFERROR(__xludf.DUMMYFUNCTION("""COMPUTED_VALUE"""),75.96)</f>
        <v>75.96</v>
      </c>
      <c r="E29" s="5">
        <f>IFERROR(__xludf.DUMMYFUNCTION("""COMPUTED_VALUE"""),77.84)</f>
        <v>77.84</v>
      </c>
      <c r="F29" s="5">
        <f>IFERROR(__xludf.DUMMYFUNCTION("""COMPUTED_VALUE"""),1.4783325E7)</f>
        <v>14783325</v>
      </c>
    </row>
    <row r="30">
      <c r="A30" s="6">
        <f>IFERROR(__xludf.DUMMYFUNCTION("""COMPUTED_VALUE"""),45379.64583333333)</f>
        <v>45379.64583</v>
      </c>
      <c r="B30" s="5">
        <f>IFERROR(__xludf.DUMMYFUNCTION("""COMPUTED_VALUE"""),78.28)</f>
        <v>78.28</v>
      </c>
      <c r="C30" s="5">
        <f>IFERROR(__xludf.DUMMYFUNCTION("""COMPUTED_VALUE"""),79.36)</f>
        <v>79.36</v>
      </c>
      <c r="D30" s="5">
        <f>IFERROR(__xludf.DUMMYFUNCTION("""COMPUTED_VALUE"""),76.93)</f>
        <v>76.93</v>
      </c>
      <c r="E30" s="5">
        <f>IFERROR(__xludf.DUMMYFUNCTION("""COMPUTED_VALUE"""),77.92)</f>
        <v>77.92</v>
      </c>
      <c r="F30" s="5">
        <f>IFERROR(__xludf.DUMMYFUNCTION("""COMPUTED_VALUE"""),9629789.0)</f>
        <v>9629789</v>
      </c>
    </row>
    <row r="31">
      <c r="A31" s="6">
        <f>IFERROR(__xludf.DUMMYFUNCTION("""COMPUTED_VALUE"""),45387.64583333333)</f>
        <v>45387.64583</v>
      </c>
      <c r="B31" s="5">
        <f>IFERROR(__xludf.DUMMYFUNCTION("""COMPUTED_VALUE"""),78.01)</f>
        <v>78.01</v>
      </c>
      <c r="C31" s="5">
        <f>IFERROR(__xludf.DUMMYFUNCTION("""COMPUTED_VALUE"""),93.82)</f>
        <v>93.82</v>
      </c>
      <c r="D31" s="5">
        <f>IFERROR(__xludf.DUMMYFUNCTION("""COMPUTED_VALUE"""),78.01)</f>
        <v>78.01</v>
      </c>
      <c r="E31" s="5">
        <f>IFERROR(__xludf.DUMMYFUNCTION("""COMPUTED_VALUE"""),89.97)</f>
        <v>89.97</v>
      </c>
      <c r="F31" s="5">
        <f>IFERROR(__xludf.DUMMYFUNCTION("""COMPUTED_VALUE"""),1.16703886E8)</f>
        <v>116703886</v>
      </c>
    </row>
    <row r="32">
      <c r="A32" s="6">
        <f>IFERROR(__xludf.DUMMYFUNCTION("""COMPUTED_VALUE"""),45394.64583333333)</f>
        <v>45394.64583</v>
      </c>
      <c r="B32" s="5">
        <f>IFERROR(__xludf.DUMMYFUNCTION("""COMPUTED_VALUE"""),90.01)</f>
        <v>90.01</v>
      </c>
      <c r="C32" s="5">
        <f>IFERROR(__xludf.DUMMYFUNCTION("""COMPUTED_VALUE"""),92.68)</f>
        <v>92.68</v>
      </c>
      <c r="D32" s="5">
        <f>IFERROR(__xludf.DUMMYFUNCTION("""COMPUTED_VALUE"""),88.32)</f>
        <v>88.32</v>
      </c>
      <c r="E32" s="5">
        <f>IFERROR(__xludf.DUMMYFUNCTION("""COMPUTED_VALUE"""),88.68)</f>
        <v>88.68</v>
      </c>
      <c r="F32" s="5">
        <f>IFERROR(__xludf.DUMMYFUNCTION("""COMPUTED_VALUE"""),1.5214339E7)</f>
        <v>15214339</v>
      </c>
    </row>
    <row r="33">
      <c r="A33" s="6">
        <f>IFERROR(__xludf.DUMMYFUNCTION("""COMPUTED_VALUE"""),45401.64583333333)</f>
        <v>45401.64583</v>
      </c>
      <c r="B33" s="5">
        <f>IFERROR(__xludf.DUMMYFUNCTION("""COMPUTED_VALUE"""),87.07)</f>
        <v>87.07</v>
      </c>
      <c r="C33" s="5">
        <f>IFERROR(__xludf.DUMMYFUNCTION("""COMPUTED_VALUE"""),90.03)</f>
        <v>90.03</v>
      </c>
      <c r="D33" s="5">
        <f>IFERROR(__xludf.DUMMYFUNCTION("""COMPUTED_VALUE"""),85.48)</f>
        <v>85.48</v>
      </c>
      <c r="E33" s="5">
        <f>IFERROR(__xludf.DUMMYFUNCTION("""COMPUTED_VALUE"""),87.77)</f>
        <v>87.77</v>
      </c>
      <c r="F33" s="5">
        <f>IFERROR(__xludf.DUMMYFUNCTION("""COMPUTED_VALUE"""),9827411.0)</f>
        <v>9827411</v>
      </c>
    </row>
    <row r="34">
      <c r="A34" s="6">
        <f>IFERROR(__xludf.DUMMYFUNCTION("""COMPUTED_VALUE"""),45408.64583333333)</f>
        <v>45408.64583</v>
      </c>
      <c r="B34" s="5">
        <f>IFERROR(__xludf.DUMMYFUNCTION("""COMPUTED_VALUE"""),89.46)</f>
        <v>89.46</v>
      </c>
      <c r="C34" s="5">
        <f>IFERROR(__xludf.DUMMYFUNCTION("""COMPUTED_VALUE"""),104.98)</f>
        <v>104.98</v>
      </c>
      <c r="D34" s="5">
        <f>IFERROR(__xludf.DUMMYFUNCTION("""COMPUTED_VALUE"""),87.94)</f>
        <v>87.94</v>
      </c>
      <c r="E34" s="5">
        <f>IFERROR(__xludf.DUMMYFUNCTION("""COMPUTED_VALUE"""),101.8)</f>
        <v>101.8</v>
      </c>
      <c r="F34" s="5">
        <f>IFERROR(__xludf.DUMMYFUNCTION("""COMPUTED_VALUE"""),8.0860601E7)</f>
        <v>80860601</v>
      </c>
    </row>
    <row r="35">
      <c r="A35" s="6">
        <f>IFERROR(__xludf.DUMMYFUNCTION("""COMPUTED_VALUE"""),45415.64583333333)</f>
        <v>45415.64583</v>
      </c>
      <c r="B35" s="5">
        <f>IFERROR(__xludf.DUMMYFUNCTION("""COMPUTED_VALUE"""),102.73)</f>
        <v>102.73</v>
      </c>
      <c r="C35" s="5">
        <f>IFERROR(__xludf.DUMMYFUNCTION("""COMPUTED_VALUE"""),104.02)</f>
        <v>104.02</v>
      </c>
      <c r="D35" s="5">
        <f>IFERROR(__xludf.DUMMYFUNCTION("""COMPUTED_VALUE"""),94.94)</f>
        <v>94.94</v>
      </c>
      <c r="E35" s="5">
        <f>IFERROR(__xludf.DUMMYFUNCTION("""COMPUTED_VALUE"""),96.34)</f>
        <v>96.34</v>
      </c>
      <c r="F35" s="5">
        <f>IFERROR(__xludf.DUMMYFUNCTION("""COMPUTED_VALUE"""),2.3215478E7)</f>
        <v>23215478</v>
      </c>
    </row>
    <row r="36">
      <c r="A36" s="6">
        <f>IFERROR(__xludf.DUMMYFUNCTION("""COMPUTED_VALUE"""),45422.64583333333)</f>
        <v>45422.64583</v>
      </c>
      <c r="B36" s="5">
        <f>IFERROR(__xludf.DUMMYFUNCTION("""COMPUTED_VALUE"""),97.8)</f>
        <v>97.8</v>
      </c>
      <c r="C36" s="5">
        <f>IFERROR(__xludf.DUMMYFUNCTION("""COMPUTED_VALUE"""),98.29)</f>
        <v>98.29</v>
      </c>
      <c r="D36" s="5">
        <f>IFERROR(__xludf.DUMMYFUNCTION("""COMPUTED_VALUE"""),92.49)</f>
        <v>92.49</v>
      </c>
      <c r="E36" s="5">
        <f>IFERROR(__xludf.DUMMYFUNCTION("""COMPUTED_VALUE"""),97.36)</f>
        <v>97.36</v>
      </c>
      <c r="F36" s="5">
        <f>IFERROR(__xludf.DUMMYFUNCTION("""COMPUTED_VALUE"""),1.9404238E7)</f>
        <v>19404238</v>
      </c>
    </row>
    <row r="37">
      <c r="A37" s="6">
        <f>IFERROR(__xludf.DUMMYFUNCTION("""COMPUTED_VALUE"""),45436.64583333333)</f>
        <v>45436.64583</v>
      </c>
      <c r="B37" s="5">
        <f>IFERROR(__xludf.DUMMYFUNCTION("""COMPUTED_VALUE"""),99.88)</f>
        <v>99.88</v>
      </c>
      <c r="C37" s="5">
        <f>IFERROR(__xludf.DUMMYFUNCTION("""COMPUTED_VALUE"""),110.67)</f>
        <v>110.67</v>
      </c>
      <c r="D37" s="5">
        <f>IFERROR(__xludf.DUMMYFUNCTION("""COMPUTED_VALUE"""),99.88)</f>
        <v>99.88</v>
      </c>
      <c r="E37" s="5">
        <f>IFERROR(__xludf.DUMMYFUNCTION("""COMPUTED_VALUE"""),109.95)</f>
        <v>109.95</v>
      </c>
      <c r="F37" s="5">
        <f>IFERROR(__xludf.DUMMYFUNCTION("""COMPUTED_VALUE"""),5.1388659E7)</f>
        <v>51388659</v>
      </c>
    </row>
    <row r="38">
      <c r="A38" s="6">
        <f>IFERROR(__xludf.DUMMYFUNCTION("""COMPUTED_VALUE"""),45443.64583333333)</f>
        <v>45443.64583</v>
      </c>
      <c r="B38" s="5">
        <f>IFERROR(__xludf.DUMMYFUNCTION("""COMPUTED_VALUE"""),110.31)</f>
        <v>110.31</v>
      </c>
      <c r="C38" s="5">
        <f>IFERROR(__xludf.DUMMYFUNCTION("""COMPUTED_VALUE"""),115.33)</f>
        <v>115.33</v>
      </c>
      <c r="D38" s="5">
        <f>IFERROR(__xludf.DUMMYFUNCTION("""COMPUTED_VALUE"""),105.19)</f>
        <v>105.19</v>
      </c>
      <c r="E38" s="5">
        <f>IFERROR(__xludf.DUMMYFUNCTION("""COMPUTED_VALUE"""),109.04)</f>
        <v>109.04</v>
      </c>
      <c r="F38" s="5">
        <f>IFERROR(__xludf.DUMMYFUNCTION("""COMPUTED_VALUE"""),6.396275E7)</f>
        <v>63962750</v>
      </c>
    </row>
    <row r="39">
      <c r="A39" s="6">
        <f>IFERROR(__xludf.DUMMYFUNCTION("""COMPUTED_VALUE"""),45450.64583333333)</f>
        <v>45450.64583</v>
      </c>
      <c r="B39" s="5">
        <f>IFERROR(__xludf.DUMMYFUNCTION("""COMPUTED_VALUE"""),113.72)</f>
        <v>113.72</v>
      </c>
      <c r="C39" s="5">
        <f>IFERROR(__xludf.DUMMYFUNCTION("""COMPUTED_VALUE"""),124.86)</f>
        <v>124.86</v>
      </c>
      <c r="D39" s="5">
        <f>IFERROR(__xludf.DUMMYFUNCTION("""COMPUTED_VALUE"""),94.35)</f>
        <v>94.35</v>
      </c>
      <c r="E39" s="5">
        <f>IFERROR(__xludf.DUMMYFUNCTION("""COMPUTED_VALUE"""),122.89)</f>
        <v>122.89</v>
      </c>
      <c r="F39" s="5">
        <f>IFERROR(__xludf.DUMMYFUNCTION("""COMPUTED_VALUE"""),6.9917912E7)</f>
        <v>69917912</v>
      </c>
    </row>
    <row r="40">
      <c r="A40" s="6">
        <f>IFERROR(__xludf.DUMMYFUNCTION("""COMPUTED_VALUE"""),45457.64583333333)</f>
        <v>45457.64583</v>
      </c>
      <c r="B40" s="5">
        <f>IFERROR(__xludf.DUMMYFUNCTION("""COMPUTED_VALUE"""),122.89)</f>
        <v>122.89</v>
      </c>
      <c r="C40" s="5">
        <f>IFERROR(__xludf.DUMMYFUNCTION("""COMPUTED_VALUE"""),126.57)</f>
        <v>126.57</v>
      </c>
      <c r="D40" s="5">
        <f>IFERROR(__xludf.DUMMYFUNCTION("""COMPUTED_VALUE"""),122.15)</f>
        <v>122.15</v>
      </c>
      <c r="E40" s="5">
        <f>IFERROR(__xludf.DUMMYFUNCTION("""COMPUTED_VALUE"""),124.56)</f>
        <v>124.56</v>
      </c>
      <c r="F40" s="5">
        <f>IFERROR(__xludf.DUMMYFUNCTION("""COMPUTED_VALUE"""),2.2549079E7)</f>
        <v>22549079</v>
      </c>
    </row>
    <row r="41">
      <c r="A41" s="6">
        <f>IFERROR(__xludf.DUMMYFUNCTION("""COMPUTED_VALUE"""),45464.64583333333)</f>
        <v>45464.64583</v>
      </c>
      <c r="B41" s="5">
        <f>IFERROR(__xludf.DUMMYFUNCTION("""COMPUTED_VALUE"""),125.09)</f>
        <v>125.09</v>
      </c>
      <c r="C41" s="5">
        <f>IFERROR(__xludf.DUMMYFUNCTION("""COMPUTED_VALUE"""),127.08)</f>
        <v>127.08</v>
      </c>
      <c r="D41" s="5">
        <f>IFERROR(__xludf.DUMMYFUNCTION("""COMPUTED_VALUE"""),118.69)</f>
        <v>118.69</v>
      </c>
      <c r="E41" s="5">
        <f>IFERROR(__xludf.DUMMYFUNCTION("""COMPUTED_VALUE"""),119.37)</f>
        <v>119.37</v>
      </c>
      <c r="F41" s="5">
        <f>IFERROR(__xludf.DUMMYFUNCTION("""COMPUTED_VALUE"""),2.2430014E7)</f>
        <v>22430014</v>
      </c>
    </row>
    <row r="42">
      <c r="A42" s="6">
        <f>IFERROR(__xludf.DUMMYFUNCTION("""COMPUTED_VALUE"""),45471.64583333333)</f>
        <v>45471.64583</v>
      </c>
      <c r="B42" s="5">
        <f>IFERROR(__xludf.DUMMYFUNCTION("""COMPUTED_VALUE"""),117.89)</f>
        <v>117.89</v>
      </c>
      <c r="C42" s="5">
        <f>IFERROR(__xludf.DUMMYFUNCTION("""COMPUTED_VALUE"""),122.55)</f>
        <v>122.55</v>
      </c>
      <c r="D42" s="5">
        <f>IFERROR(__xludf.DUMMYFUNCTION("""COMPUTED_VALUE"""),116.39)</f>
        <v>116.39</v>
      </c>
      <c r="E42" s="5">
        <f>IFERROR(__xludf.DUMMYFUNCTION("""COMPUTED_VALUE"""),118.33)</f>
        <v>118.33</v>
      </c>
      <c r="F42" s="5">
        <f>IFERROR(__xludf.DUMMYFUNCTION("""COMPUTED_VALUE"""),1.9867826E7)</f>
        <v>19867826</v>
      </c>
    </row>
    <row r="43">
      <c r="A43" s="6">
        <f>IFERROR(__xludf.DUMMYFUNCTION("""COMPUTED_VALUE"""),45478.64583333333)</f>
        <v>45478.64583</v>
      </c>
      <c r="B43" s="5">
        <f>IFERROR(__xludf.DUMMYFUNCTION("""COMPUTED_VALUE"""),118.88)</f>
        <v>118.88</v>
      </c>
      <c r="C43" s="5">
        <f>IFERROR(__xludf.DUMMYFUNCTION("""COMPUTED_VALUE"""),128.66)</f>
        <v>128.66</v>
      </c>
      <c r="D43" s="5">
        <f>IFERROR(__xludf.DUMMYFUNCTION("""COMPUTED_VALUE"""),118.84)</f>
        <v>118.84</v>
      </c>
      <c r="E43" s="5">
        <f>IFERROR(__xludf.DUMMYFUNCTION("""COMPUTED_VALUE"""),124.2)</f>
        <v>124.2</v>
      </c>
      <c r="F43" s="5">
        <f>IFERROR(__xludf.DUMMYFUNCTION("""COMPUTED_VALUE"""),3.2114763E7)</f>
        <v>32114763</v>
      </c>
    </row>
    <row r="44">
      <c r="A44" s="6">
        <f>IFERROR(__xludf.DUMMYFUNCTION("""COMPUTED_VALUE"""),45485.64583333333)</f>
        <v>45485.64583</v>
      </c>
      <c r="B44" s="5">
        <f>IFERROR(__xludf.DUMMYFUNCTION("""COMPUTED_VALUE"""),124.6)</f>
        <v>124.6</v>
      </c>
      <c r="C44" s="5">
        <f>IFERROR(__xludf.DUMMYFUNCTION("""COMPUTED_VALUE"""),125.62)</f>
        <v>125.62</v>
      </c>
      <c r="D44" s="5">
        <f>IFERROR(__xludf.DUMMYFUNCTION("""COMPUTED_VALUE"""),119.42)</f>
        <v>119.42</v>
      </c>
      <c r="E44" s="5">
        <f>IFERROR(__xludf.DUMMYFUNCTION("""COMPUTED_VALUE"""),122.51)</f>
        <v>122.51</v>
      </c>
      <c r="F44" s="5">
        <f>IFERROR(__xludf.DUMMYFUNCTION("""COMPUTED_VALUE"""),2.5466697E7)</f>
        <v>25466697</v>
      </c>
    </row>
    <row r="45">
      <c r="A45" s="6">
        <f>IFERROR(__xludf.DUMMYFUNCTION("""COMPUTED_VALUE"""),45492.64583333333)</f>
        <v>45492.64583</v>
      </c>
      <c r="B45" s="5">
        <f>IFERROR(__xludf.DUMMYFUNCTION("""COMPUTED_VALUE"""),123.01)</f>
        <v>123.01</v>
      </c>
      <c r="C45" s="5">
        <f>IFERROR(__xludf.DUMMYFUNCTION("""COMPUTED_VALUE"""),126.78)</f>
        <v>126.78</v>
      </c>
      <c r="D45" s="5">
        <f>IFERROR(__xludf.DUMMYFUNCTION("""COMPUTED_VALUE"""),118.36)</f>
        <v>118.36</v>
      </c>
      <c r="E45" s="5">
        <f>IFERROR(__xludf.DUMMYFUNCTION("""COMPUTED_VALUE"""),119.63)</f>
        <v>119.63</v>
      </c>
      <c r="F45" s="5">
        <f>IFERROR(__xludf.DUMMYFUNCTION("""COMPUTED_VALUE"""),2.8955848E7)</f>
        <v>28955848</v>
      </c>
    </row>
    <row r="46">
      <c r="A46" s="6">
        <f>IFERROR(__xludf.DUMMYFUNCTION("""COMPUTED_VALUE"""),45499.64583333333)</f>
        <v>45499.64583</v>
      </c>
      <c r="B46" s="5">
        <f>IFERROR(__xludf.DUMMYFUNCTION("""COMPUTED_VALUE"""),120.07)</f>
        <v>120.07</v>
      </c>
      <c r="C46" s="5">
        <f>IFERROR(__xludf.DUMMYFUNCTION("""COMPUTED_VALUE"""),125.6)</f>
        <v>125.6</v>
      </c>
      <c r="D46" s="5">
        <f>IFERROR(__xludf.DUMMYFUNCTION("""COMPUTED_VALUE"""),111.94)</f>
        <v>111.94</v>
      </c>
      <c r="E46" s="5">
        <f>IFERROR(__xludf.DUMMYFUNCTION("""COMPUTED_VALUE"""),125.09)</f>
        <v>125.09</v>
      </c>
      <c r="F46" s="5">
        <f>IFERROR(__xludf.DUMMYFUNCTION("""COMPUTED_VALUE"""),1.8534324E7)</f>
        <v>18534324</v>
      </c>
    </row>
    <row r="47">
      <c r="A47" s="6">
        <f>IFERROR(__xludf.DUMMYFUNCTION("""COMPUTED_VALUE"""),45506.64583333333)</f>
        <v>45506.64583</v>
      </c>
      <c r="B47" s="5">
        <f>IFERROR(__xludf.DUMMYFUNCTION("""COMPUTED_VALUE"""),126.23)</f>
        <v>126.23</v>
      </c>
      <c r="C47" s="5">
        <f>IFERROR(__xludf.DUMMYFUNCTION("""COMPUTED_VALUE"""),132.26)</f>
        <v>132.26</v>
      </c>
      <c r="D47" s="5">
        <f>IFERROR(__xludf.DUMMYFUNCTION("""COMPUTED_VALUE"""),121.83)</f>
        <v>121.83</v>
      </c>
      <c r="E47" s="5">
        <f>IFERROR(__xludf.DUMMYFUNCTION("""COMPUTED_VALUE"""),127.18)</f>
        <v>127.18</v>
      </c>
      <c r="F47" s="5">
        <f>IFERROR(__xludf.DUMMYFUNCTION("""COMPUTED_VALUE"""),2.9979301E7)</f>
        <v>29979301</v>
      </c>
    </row>
    <row r="48">
      <c r="A48" s="6">
        <f>IFERROR(__xludf.DUMMYFUNCTION("""COMPUTED_VALUE"""),45513.64583333333)</f>
        <v>45513.64583</v>
      </c>
      <c r="B48" s="5">
        <f>IFERROR(__xludf.DUMMYFUNCTION("""COMPUTED_VALUE"""),125.49)</f>
        <v>125.49</v>
      </c>
      <c r="C48" s="5">
        <f>IFERROR(__xludf.DUMMYFUNCTION("""COMPUTED_VALUE"""),126.82)</f>
        <v>126.82</v>
      </c>
      <c r="D48" s="5">
        <f>IFERROR(__xludf.DUMMYFUNCTION("""COMPUTED_VALUE"""),119.08)</f>
        <v>119.08</v>
      </c>
      <c r="E48" s="5">
        <f>IFERROR(__xludf.DUMMYFUNCTION("""COMPUTED_VALUE"""),123.08)</f>
        <v>123.08</v>
      </c>
      <c r="F48" s="5">
        <f>IFERROR(__xludf.DUMMYFUNCTION("""COMPUTED_VALUE"""),2.7547792E7)</f>
        <v>27547792</v>
      </c>
    </row>
    <row r="49">
      <c r="A49" s="6">
        <f>IFERROR(__xludf.DUMMYFUNCTION("""COMPUTED_VALUE"""),45520.64583333333)</f>
        <v>45520.64583</v>
      </c>
      <c r="B49" s="5">
        <f>IFERROR(__xludf.DUMMYFUNCTION("""COMPUTED_VALUE"""),122.82)</f>
        <v>122.82</v>
      </c>
      <c r="C49" s="5">
        <f>IFERROR(__xludf.DUMMYFUNCTION("""COMPUTED_VALUE"""),123.29)</f>
        <v>123.29</v>
      </c>
      <c r="D49" s="5">
        <f>IFERROR(__xludf.DUMMYFUNCTION("""COMPUTED_VALUE"""),117.13)</f>
        <v>117.13</v>
      </c>
      <c r="E49" s="5">
        <f>IFERROR(__xludf.DUMMYFUNCTION("""COMPUTED_VALUE"""),121.09)</f>
        <v>121.09</v>
      </c>
      <c r="F49" s="5">
        <f>IFERROR(__xludf.DUMMYFUNCTION("""COMPUTED_VALUE"""),7425223.0)</f>
        <v>7425223</v>
      </c>
    </row>
    <row r="50">
      <c r="A50" s="6">
        <f>IFERROR(__xludf.DUMMYFUNCTION("""COMPUTED_VALUE"""),45527.64583333333)</f>
        <v>45527.64583</v>
      </c>
      <c r="B50" s="5">
        <f>IFERROR(__xludf.DUMMYFUNCTION("""COMPUTED_VALUE"""),120.54)</f>
        <v>120.54</v>
      </c>
      <c r="C50" s="5">
        <f>IFERROR(__xludf.DUMMYFUNCTION("""COMPUTED_VALUE"""),122.89)</f>
        <v>122.89</v>
      </c>
      <c r="D50" s="5">
        <f>IFERROR(__xludf.DUMMYFUNCTION("""COMPUTED_VALUE"""),118.31)</f>
        <v>118.31</v>
      </c>
      <c r="E50" s="5">
        <f>IFERROR(__xludf.DUMMYFUNCTION("""COMPUTED_VALUE"""),121.11)</f>
        <v>121.11</v>
      </c>
      <c r="F50" s="5">
        <f>IFERROR(__xludf.DUMMYFUNCTION("""COMPUTED_VALUE"""),1.2455482E7)</f>
        <v>12455482</v>
      </c>
    </row>
    <row r="51">
      <c r="A51" s="6">
        <f>IFERROR(__xludf.DUMMYFUNCTION("""COMPUTED_VALUE"""),45534.64583333333)</f>
        <v>45534.64583</v>
      </c>
      <c r="B51" s="5">
        <f>IFERROR(__xludf.DUMMYFUNCTION("""COMPUTED_VALUE"""),121.3)</f>
        <v>121.3</v>
      </c>
      <c r="C51" s="5">
        <f>IFERROR(__xludf.DUMMYFUNCTION("""COMPUTED_VALUE"""),123.59)</f>
        <v>123.59</v>
      </c>
      <c r="D51" s="5">
        <f>IFERROR(__xludf.DUMMYFUNCTION("""COMPUTED_VALUE"""),117.38)</f>
        <v>117.38</v>
      </c>
      <c r="E51" s="5">
        <f>IFERROR(__xludf.DUMMYFUNCTION("""COMPUTED_VALUE"""),118.16)</f>
        <v>118.16</v>
      </c>
      <c r="F51" s="5">
        <f>IFERROR(__xludf.DUMMYFUNCTION("""COMPUTED_VALUE"""),3.9246184E7)</f>
        <v>39246184</v>
      </c>
    </row>
    <row r="52">
      <c r="A52" s="6">
        <f>IFERROR(__xludf.DUMMYFUNCTION("""COMPUTED_VALUE"""),45541.64583333333)</f>
        <v>45541.64583</v>
      </c>
      <c r="B52" s="5">
        <f>IFERROR(__xludf.DUMMYFUNCTION("""COMPUTED_VALUE"""),118.61)</f>
        <v>118.61</v>
      </c>
      <c r="C52" s="5">
        <f>IFERROR(__xludf.DUMMYFUNCTION("""COMPUTED_VALUE"""),122.86)</f>
        <v>122.86</v>
      </c>
      <c r="D52" s="5">
        <f>IFERROR(__xludf.DUMMYFUNCTION("""COMPUTED_VALUE"""),116.37)</f>
        <v>116.37</v>
      </c>
      <c r="E52" s="5">
        <f>IFERROR(__xludf.DUMMYFUNCTION("""COMPUTED_VALUE"""),117.19)</f>
        <v>117.19</v>
      </c>
      <c r="F52" s="5">
        <f>IFERROR(__xludf.DUMMYFUNCTION("""COMPUTED_VALUE"""),2.1817704E7)</f>
        <v>21817704</v>
      </c>
    </row>
    <row r="53">
      <c r="A53" s="6">
        <f>IFERROR(__xludf.DUMMYFUNCTION("""COMPUTED_VALUE"""),45548.64583333333)</f>
        <v>45548.64583</v>
      </c>
      <c r="B53" s="5">
        <f>IFERROR(__xludf.DUMMYFUNCTION("""COMPUTED_VALUE"""),117.23)</f>
        <v>117.23</v>
      </c>
      <c r="C53" s="5">
        <f>IFERROR(__xludf.DUMMYFUNCTION("""COMPUTED_VALUE"""),125.17)</f>
        <v>125.17</v>
      </c>
      <c r="D53" s="5">
        <f>IFERROR(__xludf.DUMMYFUNCTION("""COMPUTED_VALUE"""),114.86)</f>
        <v>114.86</v>
      </c>
      <c r="E53" s="5">
        <f>IFERROR(__xludf.DUMMYFUNCTION("""COMPUTED_VALUE"""),124.54)</f>
        <v>124.54</v>
      </c>
      <c r="F53" s="5">
        <f>IFERROR(__xludf.DUMMYFUNCTION("""COMPUTED_VALUE"""),2.5330698E7)</f>
        <v>25330698</v>
      </c>
    </row>
    <row r="54">
      <c r="A54" s="6">
        <f>IFERROR(__xludf.DUMMYFUNCTION("""COMPUTED_VALUE"""),45555.64583333333)</f>
        <v>45555.64583</v>
      </c>
      <c r="B54" s="5">
        <f>IFERROR(__xludf.DUMMYFUNCTION("""COMPUTED_VALUE"""),124.75)</f>
        <v>124.75</v>
      </c>
      <c r="C54" s="5">
        <f>IFERROR(__xludf.DUMMYFUNCTION("""COMPUTED_VALUE"""),128.07)</f>
        <v>128.07</v>
      </c>
      <c r="D54" s="5">
        <f>IFERROR(__xludf.DUMMYFUNCTION("""COMPUTED_VALUE"""),122.91)</f>
        <v>122.91</v>
      </c>
      <c r="E54" s="5">
        <f>IFERROR(__xludf.DUMMYFUNCTION("""COMPUTED_VALUE"""),124.24)</f>
        <v>124.24</v>
      </c>
      <c r="F54" s="5">
        <f>IFERROR(__xludf.DUMMYFUNCTION("""COMPUTED_VALUE"""),2.5079509E7)</f>
        <v>25079509</v>
      </c>
    </row>
    <row r="55">
      <c r="A55" s="6">
        <f>IFERROR(__xludf.DUMMYFUNCTION("""COMPUTED_VALUE"""),45562.64583333333)</f>
        <v>45562.64583</v>
      </c>
      <c r="B55" s="5">
        <f>IFERROR(__xludf.DUMMYFUNCTION("""COMPUTED_VALUE"""),125.09)</f>
        <v>125.09</v>
      </c>
      <c r="C55" s="5">
        <f>IFERROR(__xludf.DUMMYFUNCTION("""COMPUTED_VALUE"""),138.13)</f>
        <v>138.13</v>
      </c>
      <c r="D55" s="5">
        <f>IFERROR(__xludf.DUMMYFUNCTION("""COMPUTED_VALUE"""),124.22)</f>
        <v>124.22</v>
      </c>
      <c r="E55" s="5">
        <f>IFERROR(__xludf.DUMMYFUNCTION("""COMPUTED_VALUE"""),133.47)</f>
        <v>133.47</v>
      </c>
      <c r="F55" s="5">
        <f>IFERROR(__xludf.DUMMYFUNCTION("""COMPUTED_VALUE"""),5.669697E7)</f>
        <v>56696970</v>
      </c>
    </row>
    <row r="56">
      <c r="A56" s="6">
        <f>IFERROR(__xludf.DUMMYFUNCTION("""COMPUTED_VALUE"""),45569.64583333333)</f>
        <v>45569.64583</v>
      </c>
      <c r="B56" s="5">
        <f>IFERROR(__xludf.DUMMYFUNCTION("""COMPUTED_VALUE"""),133.81)</f>
        <v>133.81</v>
      </c>
      <c r="C56" s="5">
        <f>IFERROR(__xludf.DUMMYFUNCTION("""COMPUTED_VALUE"""),135.67)</f>
        <v>135.67</v>
      </c>
      <c r="D56" s="5">
        <f>IFERROR(__xludf.DUMMYFUNCTION("""COMPUTED_VALUE"""),125.32)</f>
        <v>125.32</v>
      </c>
      <c r="E56" s="5">
        <f>IFERROR(__xludf.DUMMYFUNCTION("""COMPUTED_VALUE"""),126.23)</f>
        <v>126.23</v>
      </c>
      <c r="F56" s="5">
        <f>IFERROR(__xludf.DUMMYFUNCTION("""COMPUTED_VALUE"""),2.1499766E7)</f>
        <v>21499766</v>
      </c>
    </row>
    <row r="57">
      <c r="A57" s="6">
        <f>IFERROR(__xludf.DUMMYFUNCTION("""COMPUTED_VALUE"""),45576.64583333333)</f>
        <v>45576.64583</v>
      </c>
      <c r="B57" s="5">
        <f>IFERROR(__xludf.DUMMYFUNCTION("""COMPUTED_VALUE"""),126.78)</f>
        <v>126.78</v>
      </c>
      <c r="C57" s="5">
        <f>IFERROR(__xludf.DUMMYFUNCTION("""COMPUTED_VALUE"""),131.46)</f>
        <v>131.46</v>
      </c>
      <c r="D57" s="5">
        <f>IFERROR(__xludf.DUMMYFUNCTION("""COMPUTED_VALUE"""),120.85)</f>
        <v>120.85</v>
      </c>
      <c r="E57" s="5">
        <f>IFERROR(__xludf.DUMMYFUNCTION("""COMPUTED_VALUE"""),128.98)</f>
        <v>128.98</v>
      </c>
      <c r="F57" s="5">
        <f>IFERROR(__xludf.DUMMYFUNCTION("""COMPUTED_VALUE"""),1.4407747E7)</f>
        <v>14407747</v>
      </c>
    </row>
    <row r="58">
      <c r="A58" s="6">
        <f>IFERROR(__xludf.DUMMYFUNCTION("""COMPUTED_VALUE"""),45583.64583333333)</f>
        <v>45583.64583</v>
      </c>
      <c r="B58" s="5">
        <f>IFERROR(__xludf.DUMMYFUNCTION("""COMPUTED_VALUE"""),129.41)</f>
        <v>129.41</v>
      </c>
      <c r="C58" s="5">
        <f>IFERROR(__xludf.DUMMYFUNCTION("""COMPUTED_VALUE"""),134.02)</f>
        <v>134.02</v>
      </c>
      <c r="D58" s="5">
        <f>IFERROR(__xludf.DUMMYFUNCTION("""COMPUTED_VALUE"""),122.46)</f>
        <v>122.46</v>
      </c>
      <c r="E58" s="5">
        <f>IFERROR(__xludf.DUMMYFUNCTION("""COMPUTED_VALUE"""),126.63)</f>
        <v>126.63</v>
      </c>
      <c r="F58" s="5">
        <f>IFERROR(__xludf.DUMMYFUNCTION("""COMPUTED_VALUE"""),1.2760315E7)</f>
        <v>12760315</v>
      </c>
    </row>
    <row r="59">
      <c r="A59" s="6">
        <f>IFERROR(__xludf.DUMMYFUNCTION("""COMPUTED_VALUE"""),45590.64583333333)</f>
        <v>45590.64583</v>
      </c>
      <c r="B59" s="5">
        <f>IFERROR(__xludf.DUMMYFUNCTION("""COMPUTED_VALUE"""),127.03)</f>
        <v>127.03</v>
      </c>
      <c r="C59" s="5">
        <f>IFERROR(__xludf.DUMMYFUNCTION("""COMPUTED_VALUE"""),127.27)</f>
        <v>127.27</v>
      </c>
      <c r="D59" s="5">
        <f>IFERROR(__xludf.DUMMYFUNCTION("""COMPUTED_VALUE"""),111.5)</f>
        <v>111.5</v>
      </c>
      <c r="E59" s="5">
        <f>IFERROR(__xludf.DUMMYFUNCTION("""COMPUTED_VALUE"""),113.83)</f>
        <v>113.83</v>
      </c>
      <c r="F59" s="5">
        <f>IFERROR(__xludf.DUMMYFUNCTION("""COMPUTED_VALUE"""),1.4289737E7)</f>
        <v>14289737</v>
      </c>
    </row>
    <row r="60">
      <c r="A60" s="6">
        <f>IFERROR(__xludf.DUMMYFUNCTION("""COMPUTED_VALUE"""),45604.64583333333)</f>
        <v>45604.64583</v>
      </c>
      <c r="B60" s="5">
        <f>IFERROR(__xludf.DUMMYFUNCTION("""COMPUTED_VALUE"""),119.79)</f>
        <v>119.79</v>
      </c>
      <c r="C60" s="5">
        <f>IFERROR(__xludf.DUMMYFUNCTION("""COMPUTED_VALUE"""),119.86)</f>
        <v>119.86</v>
      </c>
      <c r="D60" s="5">
        <f>IFERROR(__xludf.DUMMYFUNCTION("""COMPUTED_VALUE"""),110.44)</f>
        <v>110.44</v>
      </c>
      <c r="E60" s="5">
        <f>IFERROR(__xludf.DUMMYFUNCTION("""COMPUTED_VALUE"""),112.64)</f>
        <v>112.64</v>
      </c>
      <c r="F60" s="5">
        <f>IFERROR(__xludf.DUMMYFUNCTION("""COMPUTED_VALUE"""),3.5333724E7)</f>
        <v>35333724</v>
      </c>
    </row>
    <row r="61">
      <c r="A61" s="6">
        <f>IFERROR(__xludf.DUMMYFUNCTION("""COMPUTED_VALUE"""),45610.64583333333)</f>
        <v>45610.64583</v>
      </c>
      <c r="B61" s="5">
        <f>IFERROR(__xludf.DUMMYFUNCTION("""COMPUTED_VALUE"""),112.07)</f>
        <v>112.07</v>
      </c>
      <c r="C61" s="5">
        <f>IFERROR(__xludf.DUMMYFUNCTION("""COMPUTED_VALUE"""),115.75)</f>
        <v>115.75</v>
      </c>
      <c r="D61" s="5">
        <f>IFERROR(__xludf.DUMMYFUNCTION("""COMPUTED_VALUE"""),108.79)</f>
        <v>108.79</v>
      </c>
      <c r="E61" s="5">
        <f>IFERROR(__xludf.DUMMYFUNCTION("""COMPUTED_VALUE"""),109.44)</f>
        <v>109.44</v>
      </c>
      <c r="F61" s="5">
        <f>IFERROR(__xludf.DUMMYFUNCTION("""COMPUTED_VALUE"""),9044023.0)</f>
        <v>9044023</v>
      </c>
    </row>
    <row r="62">
      <c r="A62" s="6">
        <f>IFERROR(__xludf.DUMMYFUNCTION("""COMPUTED_VALUE"""),45618.64583333333)</f>
        <v>45618.64583</v>
      </c>
      <c r="B62" s="5">
        <f>IFERROR(__xludf.DUMMYFUNCTION("""COMPUTED_VALUE"""),109.42)</f>
        <v>109.42</v>
      </c>
      <c r="C62" s="5">
        <f>IFERROR(__xludf.DUMMYFUNCTION("""COMPUTED_VALUE"""),112.96)</f>
        <v>112.96</v>
      </c>
      <c r="D62" s="5">
        <f>IFERROR(__xludf.DUMMYFUNCTION("""COMPUTED_VALUE"""),107.56)</f>
        <v>107.56</v>
      </c>
      <c r="E62" s="5">
        <f>IFERROR(__xludf.DUMMYFUNCTION("""COMPUTED_VALUE"""),109.38)</f>
        <v>109.38</v>
      </c>
      <c r="F62" s="5">
        <f>IFERROR(__xludf.DUMMYFUNCTION("""COMPUTED_VALUE"""),8428937.0)</f>
        <v>8428937</v>
      </c>
    </row>
    <row r="63">
      <c r="A63" s="6">
        <f>IFERROR(__xludf.DUMMYFUNCTION("""COMPUTED_VALUE"""),45625.64583333333)</f>
        <v>45625.64583</v>
      </c>
      <c r="B63" s="5">
        <f>IFERROR(__xludf.DUMMYFUNCTION("""COMPUTED_VALUE"""),111.45)</f>
        <v>111.45</v>
      </c>
      <c r="C63" s="5">
        <f>IFERROR(__xludf.DUMMYFUNCTION("""COMPUTED_VALUE"""),121.11)</f>
        <v>121.11</v>
      </c>
      <c r="D63" s="5">
        <f>IFERROR(__xludf.DUMMYFUNCTION("""COMPUTED_VALUE"""),111.12)</f>
        <v>111.12</v>
      </c>
      <c r="E63" s="5">
        <f>IFERROR(__xludf.DUMMYFUNCTION("""COMPUTED_VALUE"""),118.93)</f>
        <v>118.93</v>
      </c>
      <c r="F63" s="5">
        <f>IFERROR(__xludf.DUMMYFUNCTION("""COMPUTED_VALUE"""),2.5896533E7)</f>
        <v>25896533</v>
      </c>
    </row>
    <row r="64">
      <c r="A64" s="6">
        <f>IFERROR(__xludf.DUMMYFUNCTION("""COMPUTED_VALUE"""),45632.64583333333)</f>
        <v>45632.64583</v>
      </c>
      <c r="B64" s="5">
        <f>IFERROR(__xludf.DUMMYFUNCTION("""COMPUTED_VALUE"""),118.59)</f>
        <v>118.59</v>
      </c>
      <c r="C64" s="5">
        <f>IFERROR(__xludf.DUMMYFUNCTION("""COMPUTED_VALUE"""),123.31)</f>
        <v>123.31</v>
      </c>
      <c r="D64" s="5">
        <f>IFERROR(__xludf.DUMMYFUNCTION("""COMPUTED_VALUE"""),114.74)</f>
        <v>114.74</v>
      </c>
      <c r="E64" s="5">
        <f>IFERROR(__xludf.DUMMYFUNCTION("""COMPUTED_VALUE"""),116.45)</f>
        <v>116.45</v>
      </c>
      <c r="F64" s="5">
        <f>IFERROR(__xludf.DUMMYFUNCTION("""COMPUTED_VALUE"""),1.9712954E7)</f>
        <v>19712954</v>
      </c>
    </row>
    <row r="65">
      <c r="A65" s="6">
        <f>IFERROR(__xludf.DUMMYFUNCTION("""COMPUTED_VALUE"""),45639.64583333333)</f>
        <v>45639.64583</v>
      </c>
      <c r="B65" s="5">
        <f>IFERROR(__xludf.DUMMYFUNCTION("""COMPUTED_VALUE"""),116.94)</f>
        <v>116.94</v>
      </c>
      <c r="C65" s="5">
        <f>IFERROR(__xludf.DUMMYFUNCTION("""COMPUTED_VALUE"""),118.91)</f>
        <v>118.91</v>
      </c>
      <c r="D65" s="5">
        <f>IFERROR(__xludf.DUMMYFUNCTION("""COMPUTED_VALUE"""),112.15)</f>
        <v>112.15</v>
      </c>
      <c r="E65" s="5">
        <f>IFERROR(__xludf.DUMMYFUNCTION("""COMPUTED_VALUE"""),114.23)</f>
        <v>114.23</v>
      </c>
      <c r="F65" s="5">
        <f>IFERROR(__xludf.DUMMYFUNCTION("""COMPUTED_VALUE"""),1.1740679E7)</f>
        <v>11740679</v>
      </c>
    </row>
    <row r="66">
      <c r="A66" s="6">
        <f>IFERROR(__xludf.DUMMYFUNCTION("""COMPUTED_VALUE"""),45646.64583333333)</f>
        <v>45646.64583</v>
      </c>
      <c r="B66" s="5">
        <f>IFERROR(__xludf.DUMMYFUNCTION("""COMPUTED_VALUE"""),114.38)</f>
        <v>114.38</v>
      </c>
      <c r="C66" s="5">
        <f>IFERROR(__xludf.DUMMYFUNCTION("""COMPUTED_VALUE"""),114.91)</f>
        <v>114.91</v>
      </c>
      <c r="D66" s="5">
        <f>IFERROR(__xludf.DUMMYFUNCTION("""COMPUTED_VALUE"""),106.57)</f>
        <v>106.57</v>
      </c>
      <c r="E66" s="5">
        <f>IFERROR(__xludf.DUMMYFUNCTION("""COMPUTED_VALUE"""),106.97)</f>
        <v>106.97</v>
      </c>
      <c r="F66" s="5">
        <f>IFERROR(__xludf.DUMMYFUNCTION("""COMPUTED_VALUE"""),8091695.0)</f>
        <v>8091695</v>
      </c>
    </row>
    <row r="67">
      <c r="A67" s="6">
        <f>IFERROR(__xludf.DUMMYFUNCTION("""COMPUTED_VALUE"""),45653.64583333333)</f>
        <v>45653.64583</v>
      </c>
      <c r="B67" s="5">
        <f>IFERROR(__xludf.DUMMYFUNCTION("""COMPUTED_VALUE"""),107.47)</f>
        <v>107.47</v>
      </c>
      <c r="C67" s="5">
        <f>IFERROR(__xludf.DUMMYFUNCTION("""COMPUTED_VALUE"""),108.19)</f>
        <v>108.19</v>
      </c>
      <c r="D67" s="5">
        <f>IFERROR(__xludf.DUMMYFUNCTION("""COMPUTED_VALUE"""),105.57)</f>
        <v>105.57</v>
      </c>
      <c r="E67" s="5">
        <f>IFERROR(__xludf.DUMMYFUNCTION("""COMPUTED_VALUE"""),106.9)</f>
        <v>106.9</v>
      </c>
      <c r="F67" s="5">
        <f>IFERROR(__xludf.DUMMYFUNCTION("""COMPUTED_VALUE"""),6072122.0)</f>
        <v>6072122</v>
      </c>
    </row>
    <row r="68">
      <c r="A68" s="6">
        <f>IFERROR(__xludf.DUMMYFUNCTION("""COMPUTED_VALUE"""),45660.64583333333)</f>
        <v>45660.64583</v>
      </c>
      <c r="B68" s="5">
        <f>IFERROR(__xludf.DUMMYFUNCTION("""COMPUTED_VALUE"""),106.16)</f>
        <v>106.16</v>
      </c>
      <c r="C68" s="5">
        <f>IFERROR(__xludf.DUMMYFUNCTION("""COMPUTED_VALUE"""),108.6)</f>
        <v>108.6</v>
      </c>
      <c r="D68" s="5">
        <f>IFERROR(__xludf.DUMMYFUNCTION("""COMPUTED_VALUE"""),103.96)</f>
        <v>103.96</v>
      </c>
      <c r="E68" s="5">
        <f>IFERROR(__xludf.DUMMYFUNCTION("""COMPUTED_VALUE"""),106.42)</f>
        <v>106.42</v>
      </c>
      <c r="F68" s="5">
        <f>IFERROR(__xludf.DUMMYFUNCTION("""COMPUTED_VALUE"""),9240139.0)</f>
        <v>9240139</v>
      </c>
    </row>
    <row r="69">
      <c r="A69" s="6">
        <f>IFERROR(__xludf.DUMMYFUNCTION("""COMPUTED_VALUE"""),45667.64583333333)</f>
        <v>45667.64583</v>
      </c>
      <c r="B69" s="5">
        <f>IFERROR(__xludf.DUMMYFUNCTION("""COMPUTED_VALUE"""),106.86)</f>
        <v>106.86</v>
      </c>
      <c r="C69" s="5">
        <f>IFERROR(__xludf.DUMMYFUNCTION("""COMPUTED_VALUE"""),106.86)</f>
        <v>106.86</v>
      </c>
      <c r="D69" s="5">
        <f>IFERROR(__xludf.DUMMYFUNCTION("""COMPUTED_VALUE"""),99.88)</f>
        <v>99.88</v>
      </c>
      <c r="E69" s="5">
        <f>IFERROR(__xludf.DUMMYFUNCTION("""COMPUTED_VALUE"""),103.9)</f>
        <v>103.9</v>
      </c>
      <c r="F69" s="5">
        <f>IFERROR(__xludf.DUMMYFUNCTION("""COMPUTED_VALUE"""),1.4652814E7)</f>
        <v>14652814</v>
      </c>
    </row>
    <row r="70">
      <c r="A70" s="6">
        <f>IFERROR(__xludf.DUMMYFUNCTION("""COMPUTED_VALUE"""),45674.64583333333)</f>
        <v>45674.64583</v>
      </c>
      <c r="B70" s="5">
        <f>IFERROR(__xludf.DUMMYFUNCTION("""COMPUTED_VALUE"""),103.47)</f>
        <v>103.47</v>
      </c>
      <c r="C70" s="5">
        <f>IFERROR(__xludf.DUMMYFUNCTION("""COMPUTED_VALUE"""),105.91)</f>
        <v>105.91</v>
      </c>
      <c r="D70" s="5">
        <f>IFERROR(__xludf.DUMMYFUNCTION("""COMPUTED_VALUE"""),98.16)</f>
        <v>98.16</v>
      </c>
      <c r="E70" s="5">
        <f>IFERROR(__xludf.DUMMYFUNCTION("""COMPUTED_VALUE"""),104.13)</f>
        <v>104.13</v>
      </c>
      <c r="F70" s="5">
        <f>IFERROR(__xludf.DUMMYFUNCTION("""COMPUTED_VALUE"""),2.2377569E7)</f>
        <v>22377569</v>
      </c>
    </row>
    <row r="71">
      <c r="A71" s="6">
        <f>IFERROR(__xludf.DUMMYFUNCTION("""COMPUTED_VALUE"""),45681.64583333333)</f>
        <v>45681.64583</v>
      </c>
      <c r="B71" s="5">
        <f>IFERROR(__xludf.DUMMYFUNCTION("""COMPUTED_VALUE"""),104.24)</f>
        <v>104.24</v>
      </c>
      <c r="C71" s="5">
        <f>IFERROR(__xludf.DUMMYFUNCTION("""COMPUTED_VALUE"""),108.09)</f>
        <v>108.09</v>
      </c>
      <c r="D71" s="5">
        <f>IFERROR(__xludf.DUMMYFUNCTION("""COMPUTED_VALUE"""),101.0)</f>
        <v>101</v>
      </c>
      <c r="E71" s="5">
        <f>IFERROR(__xludf.DUMMYFUNCTION("""COMPUTED_VALUE"""),103.07)</f>
        <v>103.07</v>
      </c>
      <c r="F71" s="5">
        <f>IFERROR(__xludf.DUMMYFUNCTION("""COMPUTED_VALUE"""),1.8378364E7)</f>
        <v>18378364</v>
      </c>
    </row>
    <row r="72">
      <c r="A72" s="6">
        <f>IFERROR(__xludf.DUMMYFUNCTION("""COMPUTED_VALUE"""),45695.64583333333)</f>
        <v>45695.64583</v>
      </c>
      <c r="B72" s="5">
        <f>IFERROR(__xludf.DUMMYFUNCTION("""COMPUTED_VALUE"""),106.27)</f>
        <v>106.27</v>
      </c>
      <c r="C72" s="5">
        <f>IFERROR(__xludf.DUMMYFUNCTION("""COMPUTED_VALUE"""),110.27)</f>
        <v>110.27</v>
      </c>
      <c r="D72" s="5">
        <f>IFERROR(__xludf.DUMMYFUNCTION("""COMPUTED_VALUE"""),103.67)</f>
        <v>103.67</v>
      </c>
      <c r="E72" s="5">
        <f>IFERROR(__xludf.DUMMYFUNCTION("""COMPUTED_VALUE"""),104.47)</f>
        <v>104.47</v>
      </c>
      <c r="F72" s="5">
        <f>IFERROR(__xludf.DUMMYFUNCTION("""COMPUTED_VALUE"""),7522131.0)</f>
        <v>7522131</v>
      </c>
    </row>
    <row r="73">
      <c r="A73" s="6">
        <f>IFERROR(__xludf.DUMMYFUNCTION("""COMPUTED_VALUE"""),45702.64583333333)</f>
        <v>45702.64583</v>
      </c>
      <c r="B73" s="5">
        <f>IFERROR(__xludf.DUMMYFUNCTION("""COMPUTED_VALUE"""),104.24)</f>
        <v>104.24</v>
      </c>
      <c r="C73" s="5">
        <f>IFERROR(__xludf.DUMMYFUNCTION("""COMPUTED_VALUE"""),104.62)</f>
        <v>104.62</v>
      </c>
      <c r="D73" s="5">
        <f>IFERROR(__xludf.DUMMYFUNCTION("""COMPUTED_VALUE"""),93.25)</f>
        <v>93.25</v>
      </c>
      <c r="E73" s="5">
        <f>IFERROR(__xludf.DUMMYFUNCTION("""COMPUTED_VALUE"""),93.86)</f>
        <v>93.86</v>
      </c>
      <c r="F73" s="5">
        <f>IFERROR(__xludf.DUMMYFUNCTION("""COMPUTED_VALUE"""),1.7019192E7)</f>
        <v>17019192</v>
      </c>
    </row>
    <row r="74">
      <c r="A74" s="6">
        <f>IFERROR(__xludf.DUMMYFUNCTION("""COMPUTED_VALUE"""),45709.64583333333)</f>
        <v>45709.64583</v>
      </c>
      <c r="B74" s="5">
        <f>IFERROR(__xludf.DUMMYFUNCTION("""COMPUTED_VALUE"""),94.58)</f>
        <v>94.58</v>
      </c>
      <c r="C74" s="5">
        <f>IFERROR(__xludf.DUMMYFUNCTION("""COMPUTED_VALUE"""),98.27)</f>
        <v>98.27</v>
      </c>
      <c r="D74" s="5">
        <f>IFERROR(__xludf.DUMMYFUNCTION("""COMPUTED_VALUE"""),89.73)</f>
        <v>89.73</v>
      </c>
      <c r="E74" s="5">
        <f>IFERROR(__xludf.DUMMYFUNCTION("""COMPUTED_VALUE"""),94.99)</f>
        <v>94.99</v>
      </c>
      <c r="F74" s="5">
        <f>IFERROR(__xludf.DUMMYFUNCTION("""COMPUTED_VALUE"""),1.0083859E7)</f>
        <v>10083859</v>
      </c>
    </row>
    <row r="75">
      <c r="A75" s="6">
        <f>IFERROR(__xludf.DUMMYFUNCTION("""COMPUTED_VALUE"""),45716.64583333333)</f>
        <v>45716.64583</v>
      </c>
      <c r="B75" s="5">
        <f>IFERROR(__xludf.DUMMYFUNCTION("""COMPUTED_VALUE"""),94.35)</f>
        <v>94.35</v>
      </c>
      <c r="C75" s="5">
        <f>IFERROR(__xludf.DUMMYFUNCTION("""COMPUTED_VALUE"""),96.66)</f>
        <v>96.66</v>
      </c>
      <c r="D75" s="5">
        <f>IFERROR(__xludf.DUMMYFUNCTION("""COMPUTED_VALUE"""),89.8)</f>
        <v>89.8</v>
      </c>
      <c r="E75" s="5">
        <f>IFERROR(__xludf.DUMMYFUNCTION("""COMPUTED_VALUE"""),91.79)</f>
        <v>91.79</v>
      </c>
      <c r="F75" s="5">
        <f>IFERROR(__xludf.DUMMYFUNCTION("""COMPUTED_VALUE"""),7030646.0)</f>
        <v>7030646</v>
      </c>
    </row>
    <row r="76">
      <c r="A76" s="6">
        <f>IFERROR(__xludf.DUMMYFUNCTION("""COMPUTED_VALUE"""),45723.64583333333)</f>
        <v>45723.64583</v>
      </c>
      <c r="B76" s="5">
        <f>IFERROR(__xludf.DUMMYFUNCTION("""COMPUTED_VALUE"""),91.79)</f>
        <v>91.79</v>
      </c>
      <c r="C76" s="5">
        <f>IFERROR(__xludf.DUMMYFUNCTION("""COMPUTED_VALUE"""),94.19)</f>
        <v>94.19</v>
      </c>
      <c r="D76" s="5">
        <f>IFERROR(__xludf.DUMMYFUNCTION("""COMPUTED_VALUE"""),87.68)</f>
        <v>87.68</v>
      </c>
      <c r="E76" s="5">
        <f>IFERROR(__xludf.DUMMYFUNCTION("""COMPUTED_VALUE"""),91.85)</f>
        <v>91.85</v>
      </c>
      <c r="F76" s="5">
        <f>IFERROR(__xludf.DUMMYFUNCTION("""COMPUTED_VALUE"""),7997148.0)</f>
        <v>7997148</v>
      </c>
    </row>
    <row r="77">
      <c r="A77" s="6">
        <f>IFERROR(__xludf.DUMMYFUNCTION("""COMPUTED_VALUE"""),45729.64583333333)</f>
        <v>45729.64583</v>
      </c>
      <c r="B77" s="5">
        <f>IFERROR(__xludf.DUMMYFUNCTION("""COMPUTED_VALUE"""),91.73)</f>
        <v>91.73</v>
      </c>
      <c r="C77" s="5">
        <f>IFERROR(__xludf.DUMMYFUNCTION("""COMPUTED_VALUE"""),92.84)</f>
        <v>92.84</v>
      </c>
      <c r="D77" s="5">
        <f>IFERROR(__xludf.DUMMYFUNCTION("""COMPUTED_VALUE"""),88.24)</f>
        <v>88.24</v>
      </c>
      <c r="E77" s="5">
        <f>IFERROR(__xludf.DUMMYFUNCTION("""COMPUTED_VALUE"""),90.99)</f>
        <v>90.99</v>
      </c>
      <c r="F77" s="5">
        <f>IFERROR(__xludf.DUMMYFUNCTION("""COMPUTED_VALUE"""),8370215.0)</f>
        <v>8370215</v>
      </c>
    </row>
    <row r="78">
      <c r="A78" s="6">
        <f>IFERROR(__xludf.DUMMYFUNCTION("""COMPUTED_VALUE"""),45737.64583333333)</f>
        <v>45737.64583</v>
      </c>
      <c r="B78" s="5">
        <f>IFERROR(__xludf.DUMMYFUNCTION("""COMPUTED_VALUE"""),90.98)</f>
        <v>90.98</v>
      </c>
      <c r="C78" s="5">
        <f>IFERROR(__xludf.DUMMYFUNCTION("""COMPUTED_VALUE"""),97.04)</f>
        <v>97.04</v>
      </c>
      <c r="D78" s="5">
        <f>IFERROR(__xludf.DUMMYFUNCTION("""COMPUTED_VALUE"""),90.75)</f>
        <v>90.75</v>
      </c>
      <c r="E78" s="5">
        <f>IFERROR(__xludf.DUMMYFUNCTION("""COMPUTED_VALUE"""),96.0)</f>
        <v>96</v>
      </c>
      <c r="F78" s="5">
        <f>IFERROR(__xludf.DUMMYFUNCTION("""COMPUTED_VALUE"""),1.5429626E7)</f>
        <v>15429626</v>
      </c>
    </row>
    <row r="79">
      <c r="A79" s="6">
        <f>IFERROR(__xludf.DUMMYFUNCTION("""COMPUTED_VALUE"""),45744.64583333333)</f>
        <v>45744.64583</v>
      </c>
      <c r="B79" s="5">
        <f>IFERROR(__xludf.DUMMYFUNCTION("""COMPUTED_VALUE"""),97.04)</f>
        <v>97.04</v>
      </c>
      <c r="C79" s="5">
        <f>IFERROR(__xludf.DUMMYFUNCTION("""COMPUTED_VALUE"""),100.59)</f>
        <v>100.59</v>
      </c>
      <c r="D79" s="5">
        <f>IFERROR(__xludf.DUMMYFUNCTION("""COMPUTED_VALUE"""),95.46)</f>
        <v>95.46</v>
      </c>
      <c r="E79" s="5">
        <f>IFERROR(__xludf.DUMMYFUNCTION("""COMPUTED_VALUE"""),97.14)</f>
        <v>97.14</v>
      </c>
      <c r="F79" s="5">
        <f>IFERROR(__xludf.DUMMYFUNCTION("""COMPUTED_VALUE"""),1.4168986E7)</f>
        <v>14168986</v>
      </c>
    </row>
    <row r="80">
      <c r="A80" s="6">
        <f>IFERROR(__xludf.DUMMYFUNCTION("""COMPUTED_VALUE"""),45751.64583333333)</f>
        <v>45751.64583</v>
      </c>
      <c r="B80" s="5">
        <f>IFERROR(__xludf.DUMMYFUNCTION("""COMPUTED_VALUE"""),96.64)</f>
        <v>96.64</v>
      </c>
      <c r="C80" s="5">
        <f>IFERROR(__xludf.DUMMYFUNCTION("""COMPUTED_VALUE"""),100.7)</f>
        <v>100.7</v>
      </c>
      <c r="D80" s="5">
        <f>IFERROR(__xludf.DUMMYFUNCTION("""COMPUTED_VALUE"""),96.38)</f>
        <v>96.38</v>
      </c>
      <c r="E80" s="5">
        <f>IFERROR(__xludf.DUMMYFUNCTION("""COMPUTED_VALUE"""),97.91)</f>
        <v>97.91</v>
      </c>
      <c r="F80" s="5">
        <f>IFERROR(__xludf.DUMMYFUNCTION("""COMPUTED_VALUE"""),6402269.0)</f>
        <v>6402269</v>
      </c>
    </row>
    <row r="81">
      <c r="A81" s="6">
        <f>IFERROR(__xludf.DUMMYFUNCTION("""COMPUTED_VALUE"""),45758.64583333333)</f>
        <v>45758.64583</v>
      </c>
      <c r="B81" s="5">
        <f>IFERROR(__xludf.DUMMYFUNCTION("""COMPUTED_VALUE"""),91.54)</f>
        <v>91.54</v>
      </c>
      <c r="C81" s="5">
        <f>IFERROR(__xludf.DUMMYFUNCTION("""COMPUTED_VALUE"""),96.76)</f>
        <v>96.76</v>
      </c>
      <c r="D81" s="5">
        <f>IFERROR(__xludf.DUMMYFUNCTION("""COMPUTED_VALUE"""),89.78)</f>
        <v>89.78</v>
      </c>
      <c r="E81" s="5">
        <f>IFERROR(__xludf.DUMMYFUNCTION("""COMPUTED_VALUE"""),96.28)</f>
        <v>96.28</v>
      </c>
      <c r="F81" s="5">
        <f>IFERROR(__xludf.DUMMYFUNCTION("""COMPUTED_VALUE"""),8021339.0)</f>
        <v>8021339</v>
      </c>
    </row>
    <row r="82">
      <c r="A82" s="6">
        <f>IFERROR(__xludf.DUMMYFUNCTION("""COMPUTED_VALUE"""),45764.64583333333)</f>
        <v>45764.64583</v>
      </c>
      <c r="B82" s="5">
        <f>IFERROR(__xludf.DUMMYFUNCTION("""COMPUTED_VALUE"""),98.16)</f>
        <v>98.16</v>
      </c>
      <c r="C82" s="5">
        <f>IFERROR(__xludf.DUMMYFUNCTION("""COMPUTED_VALUE"""),103.22)</f>
        <v>103.22</v>
      </c>
      <c r="D82" s="5">
        <f>IFERROR(__xludf.DUMMYFUNCTION("""COMPUTED_VALUE"""),96.97)</f>
        <v>96.97</v>
      </c>
      <c r="E82" s="5">
        <f>IFERROR(__xludf.DUMMYFUNCTION("""COMPUTED_VALUE"""),100.91)</f>
        <v>100.91</v>
      </c>
      <c r="F82" s="5">
        <f>IFERROR(__xludf.DUMMYFUNCTION("""COMPUTED_VALUE"""),7394130.0)</f>
        <v>7394130</v>
      </c>
    </row>
    <row r="83">
      <c r="A83" s="6">
        <f>IFERROR(__xludf.DUMMYFUNCTION("""COMPUTED_VALUE"""),45772.64583333333)</f>
        <v>45772.64583</v>
      </c>
      <c r="B83" s="5">
        <f>IFERROR(__xludf.DUMMYFUNCTION("""COMPUTED_VALUE"""),100.91)</f>
        <v>100.91</v>
      </c>
      <c r="C83" s="5">
        <f>IFERROR(__xludf.DUMMYFUNCTION("""COMPUTED_VALUE"""),104.51)</f>
        <v>104.51</v>
      </c>
      <c r="D83" s="5">
        <f>IFERROR(__xludf.DUMMYFUNCTION("""COMPUTED_VALUE"""),98.61)</f>
        <v>98.61</v>
      </c>
      <c r="E83" s="5">
        <f>IFERROR(__xludf.DUMMYFUNCTION("""COMPUTED_VALUE"""),100.13)</f>
        <v>100.13</v>
      </c>
      <c r="F83" s="5">
        <f>IFERROR(__xludf.DUMMYFUNCTION("""COMPUTED_VALUE"""),8890518.0)</f>
        <v>8890518</v>
      </c>
    </row>
    <row r="84">
      <c r="A84" s="6">
        <f>IFERROR(__xludf.DUMMYFUNCTION("""COMPUTED_VALUE"""),45779.64583333333)</f>
        <v>45779.64583</v>
      </c>
      <c r="B84" s="5">
        <f>IFERROR(__xludf.DUMMYFUNCTION("""COMPUTED_VALUE"""),100.04)</f>
        <v>100.04</v>
      </c>
      <c r="C84" s="5">
        <f>IFERROR(__xludf.DUMMYFUNCTION("""COMPUTED_VALUE"""),105.59)</f>
        <v>105.59</v>
      </c>
      <c r="D84" s="5">
        <f>IFERROR(__xludf.DUMMYFUNCTION("""COMPUTED_VALUE"""),96.34)</f>
        <v>96.34</v>
      </c>
      <c r="E84" s="5">
        <f>IFERROR(__xludf.DUMMYFUNCTION("""COMPUTED_VALUE"""),97.12)</f>
        <v>97.12</v>
      </c>
      <c r="F84" s="5">
        <f>IFERROR(__xludf.DUMMYFUNCTION("""COMPUTED_VALUE"""),1.1768818E7)</f>
        <v>11768818</v>
      </c>
    </row>
    <row r="85">
      <c r="A85" s="6">
        <f>IFERROR(__xludf.DUMMYFUNCTION("""COMPUTED_VALUE"""),45786.64583333333)</f>
        <v>45786.64583</v>
      </c>
      <c r="B85" s="5">
        <f>IFERROR(__xludf.DUMMYFUNCTION("""COMPUTED_VALUE"""),97.04)</f>
        <v>97.04</v>
      </c>
      <c r="C85" s="5">
        <f>IFERROR(__xludf.DUMMYFUNCTION("""COMPUTED_VALUE"""),102.06)</f>
        <v>102.06</v>
      </c>
      <c r="D85" s="5">
        <f>IFERROR(__xludf.DUMMYFUNCTION("""COMPUTED_VALUE"""),95.16)</f>
        <v>95.16</v>
      </c>
      <c r="E85" s="5">
        <f>IFERROR(__xludf.DUMMYFUNCTION("""COMPUTED_VALUE"""),96.25)</f>
        <v>96.25</v>
      </c>
      <c r="F85" s="5">
        <f>IFERROR(__xludf.DUMMYFUNCTION("""COMPUTED_VALUE"""),9775599.0)</f>
        <v>9775599</v>
      </c>
    </row>
    <row r="86">
      <c r="A86" s="6">
        <f>IFERROR(__xludf.DUMMYFUNCTION("""COMPUTED_VALUE"""),45793.64583333333)</f>
        <v>45793.64583</v>
      </c>
      <c r="B86" s="5">
        <f>IFERROR(__xludf.DUMMYFUNCTION("""COMPUTED_VALUE"""),98.94)</f>
        <v>98.94</v>
      </c>
      <c r="C86" s="5">
        <f>IFERROR(__xludf.DUMMYFUNCTION("""COMPUTED_VALUE"""),107.81)</f>
        <v>107.81</v>
      </c>
      <c r="D86" s="5">
        <f>IFERROR(__xludf.DUMMYFUNCTION("""COMPUTED_VALUE"""),98.94)</f>
        <v>98.94</v>
      </c>
      <c r="E86" s="5">
        <f>IFERROR(__xludf.DUMMYFUNCTION("""COMPUTED_VALUE"""),105.42)</f>
        <v>105.42</v>
      </c>
      <c r="F86" s="5">
        <f>IFERROR(__xludf.DUMMYFUNCTION("""COMPUTED_VALUE"""),1.6510722E7)</f>
        <v>16510722</v>
      </c>
    </row>
    <row r="87">
      <c r="A87" s="6">
        <f>IFERROR(__xludf.DUMMYFUNCTION("""COMPUTED_VALUE"""),45800.64583333333)</f>
        <v>45800.64583</v>
      </c>
      <c r="B87" s="5">
        <f>IFERROR(__xludf.DUMMYFUNCTION("""COMPUTED_VALUE"""),106.73)</f>
        <v>106.73</v>
      </c>
      <c r="C87" s="5">
        <f>IFERROR(__xludf.DUMMYFUNCTION("""COMPUTED_VALUE"""),112.09)</f>
        <v>112.09</v>
      </c>
      <c r="D87" s="5">
        <f>IFERROR(__xludf.DUMMYFUNCTION("""COMPUTED_VALUE"""),87.9)</f>
        <v>87.9</v>
      </c>
      <c r="E87" s="5">
        <f>IFERROR(__xludf.DUMMYFUNCTION("""COMPUTED_VALUE"""),88.55)</f>
        <v>88.55</v>
      </c>
      <c r="F87" s="5">
        <f>IFERROR(__xludf.DUMMYFUNCTION("""COMPUTED_VALUE"""),9.8570177E7)</f>
        <v>98570177</v>
      </c>
    </row>
    <row r="88">
      <c r="A88" s="6">
        <f>IFERROR(__xludf.DUMMYFUNCTION("""COMPUTED_VALUE"""),45807.64583333333)</f>
        <v>45807.64583</v>
      </c>
      <c r="B88" s="5">
        <f>IFERROR(__xludf.DUMMYFUNCTION("""COMPUTED_VALUE"""),90.2)</f>
        <v>90.2</v>
      </c>
      <c r="C88" s="5">
        <f>IFERROR(__xludf.DUMMYFUNCTION("""COMPUTED_VALUE"""),90.25)</f>
        <v>90.25</v>
      </c>
      <c r="D88" s="5">
        <f>IFERROR(__xludf.DUMMYFUNCTION("""COMPUTED_VALUE"""),85.5)</f>
        <v>85.5</v>
      </c>
      <c r="E88" s="5">
        <f>IFERROR(__xludf.DUMMYFUNCTION("""COMPUTED_VALUE"""),85.85)</f>
        <v>85.85</v>
      </c>
      <c r="F88" s="5">
        <f>IFERROR(__xludf.DUMMYFUNCTION("""COMPUTED_VALUE"""),6.674022E7)</f>
        <v>66740220</v>
      </c>
    </row>
    <row r="89">
      <c r="A89" s="6">
        <f>IFERROR(__xludf.DUMMYFUNCTION("""COMPUTED_VALUE"""),45814.64583333333)</f>
        <v>45814.64583</v>
      </c>
      <c r="B89" s="5">
        <f>IFERROR(__xludf.DUMMYFUNCTION("""COMPUTED_VALUE"""),86.0)</f>
        <v>86</v>
      </c>
      <c r="C89" s="5">
        <f>IFERROR(__xludf.DUMMYFUNCTION("""COMPUTED_VALUE"""),88.04)</f>
        <v>88.04</v>
      </c>
      <c r="D89" s="5">
        <f>IFERROR(__xludf.DUMMYFUNCTION("""COMPUTED_VALUE"""),73.1)</f>
        <v>73.1</v>
      </c>
      <c r="E89" s="5">
        <f>IFERROR(__xludf.DUMMYFUNCTION("""COMPUTED_VALUE"""),77.77)</f>
        <v>77.77</v>
      </c>
      <c r="F89" s="5">
        <f>IFERROR(__xludf.DUMMYFUNCTION("""COMPUTED_VALUE"""),2.89367426E8)</f>
        <v>289367426</v>
      </c>
    </row>
    <row r="90">
      <c r="A90" s="6">
        <f>IFERROR(__xludf.DUMMYFUNCTION("""COMPUTED_VALUE"""),45821.64583333333)</f>
        <v>45821.64583</v>
      </c>
      <c r="B90" s="5">
        <f>IFERROR(__xludf.DUMMYFUNCTION("""COMPUTED_VALUE"""),78.25)</f>
        <v>78.25</v>
      </c>
      <c r="C90" s="5">
        <f>IFERROR(__xludf.DUMMYFUNCTION("""COMPUTED_VALUE"""),78.29)</f>
        <v>78.29</v>
      </c>
      <c r="D90" s="5">
        <f>IFERROR(__xludf.DUMMYFUNCTION("""COMPUTED_VALUE"""),70.55)</f>
        <v>70.55</v>
      </c>
      <c r="E90" s="5">
        <f>IFERROR(__xludf.DUMMYFUNCTION("""COMPUTED_VALUE"""),73.8)</f>
        <v>73.8</v>
      </c>
      <c r="F90" s="5">
        <f>IFERROR(__xludf.DUMMYFUNCTION("""COMPUTED_VALUE"""),4.6820328E7)</f>
        <v>46820328</v>
      </c>
    </row>
    <row r="91">
      <c r="A91" s="6">
        <f>IFERROR(__xludf.DUMMYFUNCTION("""COMPUTED_VALUE"""),45828.64583333333)</f>
        <v>45828.64583</v>
      </c>
      <c r="B91" s="5">
        <f>IFERROR(__xludf.DUMMYFUNCTION("""COMPUTED_VALUE"""),74.3)</f>
        <v>74.3</v>
      </c>
      <c r="C91" s="5">
        <f>IFERROR(__xludf.DUMMYFUNCTION("""COMPUTED_VALUE"""),75.61)</f>
        <v>75.61</v>
      </c>
      <c r="D91" s="5">
        <f>IFERROR(__xludf.DUMMYFUNCTION("""COMPUTED_VALUE"""),71.8)</f>
        <v>71.8</v>
      </c>
      <c r="E91" s="5">
        <f>IFERROR(__xludf.DUMMYFUNCTION("""COMPUTED_VALUE"""),73.66)</f>
        <v>73.66</v>
      </c>
      <c r="F91" s="5">
        <f>IFERROR(__xludf.DUMMYFUNCTION("""COMPUTED_VALUE"""),2.5779521E7)</f>
        <v>25779521</v>
      </c>
    </row>
    <row r="92">
      <c r="A92" s="6">
        <f>IFERROR(__xludf.DUMMYFUNCTION("""COMPUTED_VALUE"""),45835.64583333333)</f>
        <v>45835.64583</v>
      </c>
      <c r="B92" s="5">
        <f>IFERROR(__xludf.DUMMYFUNCTION("""COMPUTED_VALUE"""),72.69)</f>
        <v>72.69</v>
      </c>
      <c r="C92" s="5">
        <f>IFERROR(__xludf.DUMMYFUNCTION("""COMPUTED_VALUE"""),75.6)</f>
        <v>75.6</v>
      </c>
      <c r="D92" s="5">
        <f>IFERROR(__xludf.DUMMYFUNCTION("""COMPUTED_VALUE"""),72.69)</f>
        <v>72.69</v>
      </c>
      <c r="E92" s="5">
        <f>IFERROR(__xludf.DUMMYFUNCTION("""COMPUTED_VALUE"""),74.7)</f>
        <v>74.7</v>
      </c>
      <c r="F92" s="5">
        <f>IFERROR(__xludf.DUMMYFUNCTION("""COMPUTED_VALUE"""),3.2948173E7)</f>
        <v>32948173</v>
      </c>
    </row>
    <row r="93">
      <c r="A93" s="6">
        <f>IFERROR(__xludf.DUMMYFUNCTION("""COMPUTED_VALUE"""),45842.64583333333)</f>
        <v>45842.64583</v>
      </c>
      <c r="B93" s="5">
        <f>IFERROR(__xludf.DUMMYFUNCTION("""COMPUTED_VALUE"""),74.65)</f>
        <v>74.65</v>
      </c>
      <c r="C93" s="5">
        <f>IFERROR(__xludf.DUMMYFUNCTION("""COMPUTED_VALUE"""),79.1)</f>
        <v>79.1</v>
      </c>
      <c r="D93" s="5">
        <f>IFERROR(__xludf.DUMMYFUNCTION("""COMPUTED_VALUE"""),73.75)</f>
        <v>73.75</v>
      </c>
      <c r="E93" s="5">
        <f>IFERROR(__xludf.DUMMYFUNCTION("""COMPUTED_VALUE"""),78.33)</f>
        <v>78.33</v>
      </c>
      <c r="F93" s="5">
        <f>IFERROR(__xludf.DUMMYFUNCTION("""COMPUTED_VALUE"""),8.178957E7)</f>
        <v>81789570</v>
      </c>
    </row>
    <row r="94">
      <c r="A94" s="6">
        <f>IFERROR(__xludf.DUMMYFUNCTION("""COMPUTED_VALUE"""),45849.64583333333)</f>
        <v>45849.64583</v>
      </c>
      <c r="B94" s="5">
        <f>IFERROR(__xludf.DUMMYFUNCTION("""COMPUTED_VALUE"""),78.4)</f>
        <v>78.4</v>
      </c>
      <c r="C94" s="5">
        <f>IFERROR(__xludf.DUMMYFUNCTION("""COMPUTED_VALUE"""),80.09)</f>
        <v>80.09</v>
      </c>
      <c r="D94" s="5">
        <f>IFERROR(__xludf.DUMMYFUNCTION("""COMPUTED_VALUE"""),76.24)</f>
        <v>76.24</v>
      </c>
      <c r="E94" s="5">
        <f>IFERROR(__xludf.DUMMYFUNCTION("""COMPUTED_VALUE"""),76.85)</f>
        <v>76.85</v>
      </c>
      <c r="F94" s="5">
        <f>IFERROR(__xludf.DUMMYFUNCTION("""COMPUTED_VALUE"""),3.5016688E7)</f>
        <v>35016688</v>
      </c>
    </row>
    <row r="95">
      <c r="A95" s="6">
        <f>IFERROR(__xludf.DUMMYFUNCTION("""COMPUTED_VALUE"""),45856.64583333333)</f>
        <v>45856.64583</v>
      </c>
      <c r="B95" s="5">
        <f>IFERROR(__xludf.DUMMYFUNCTION("""COMPUTED_VALUE"""),76.85)</f>
        <v>76.85</v>
      </c>
      <c r="C95" s="5">
        <f>IFERROR(__xludf.DUMMYFUNCTION("""COMPUTED_VALUE"""),78.3)</f>
        <v>78.3</v>
      </c>
      <c r="D95" s="5">
        <f>IFERROR(__xludf.DUMMYFUNCTION("""COMPUTED_VALUE"""),74.42)</f>
        <v>74.42</v>
      </c>
      <c r="E95" s="5">
        <f>IFERROR(__xludf.DUMMYFUNCTION("""COMPUTED_VALUE"""),75.51)</f>
        <v>75.51</v>
      </c>
      <c r="F95" s="5">
        <f>IFERROR(__xludf.DUMMYFUNCTION("""COMPUTED_VALUE"""),3.1334848E7)</f>
        <v>31334848</v>
      </c>
    </row>
    <row r="96">
      <c r="A96" s="6">
        <f>IFERROR(__xludf.DUMMYFUNCTION("""COMPUTED_VALUE"""),45863.64583333333)</f>
        <v>45863.64583</v>
      </c>
      <c r="B96" s="5">
        <f>IFERROR(__xludf.DUMMYFUNCTION("""COMPUTED_VALUE"""),75.5)</f>
        <v>75.5</v>
      </c>
      <c r="C96" s="5">
        <f>IFERROR(__xludf.DUMMYFUNCTION("""COMPUTED_VALUE"""),76.19)</f>
        <v>76.19</v>
      </c>
      <c r="D96" s="5">
        <f>IFERROR(__xludf.DUMMYFUNCTION("""COMPUTED_VALUE"""),73.45)</f>
        <v>73.45</v>
      </c>
      <c r="E96" s="5">
        <f>IFERROR(__xludf.DUMMYFUNCTION("""COMPUTED_VALUE"""),73.77)</f>
        <v>73.77</v>
      </c>
      <c r="F96" s="5">
        <f>IFERROR(__xludf.DUMMYFUNCTION("""COMPUTED_VALUE"""),2.5968831E7)</f>
        <v>25968831</v>
      </c>
    </row>
    <row r="97">
      <c r="A97" s="6">
        <f>IFERROR(__xludf.DUMMYFUNCTION("""COMPUTED_VALUE"""),45870.64583333333)</f>
        <v>45870.64583</v>
      </c>
      <c r="B97" s="5">
        <f>IFERROR(__xludf.DUMMYFUNCTION("""COMPUTED_VALUE"""),73.4)</f>
        <v>73.4</v>
      </c>
      <c r="C97" s="5">
        <f>IFERROR(__xludf.DUMMYFUNCTION("""COMPUTED_VALUE"""),75.92)</f>
        <v>75.92</v>
      </c>
      <c r="D97" s="5">
        <f>IFERROR(__xludf.DUMMYFUNCTION("""COMPUTED_VALUE"""),72.67)</f>
        <v>72.67</v>
      </c>
      <c r="E97" s="5">
        <f>IFERROR(__xludf.DUMMYFUNCTION("""COMPUTED_VALUE"""),73.78)</f>
        <v>73.78</v>
      </c>
      <c r="F97" s="5">
        <f>IFERROR(__xludf.DUMMYFUNCTION("""COMPUTED_VALUE"""),2.3585754E7)</f>
        <v>23585754</v>
      </c>
    </row>
    <row r="98">
      <c r="A98" s="6">
        <f>IFERROR(__xludf.DUMMYFUNCTION("""COMPUTED_VALUE"""),45877.64583333333)</f>
        <v>45877.64583</v>
      </c>
      <c r="B98" s="5">
        <f>IFERROR(__xludf.DUMMYFUNCTION("""COMPUTED_VALUE"""),73.99)</f>
        <v>73.99</v>
      </c>
      <c r="C98" s="5">
        <f>IFERROR(__xludf.DUMMYFUNCTION("""COMPUTED_VALUE"""),77.6)</f>
        <v>77.6</v>
      </c>
      <c r="D98" s="5">
        <f>IFERROR(__xludf.DUMMYFUNCTION("""COMPUTED_VALUE"""),72.68)</f>
        <v>72.68</v>
      </c>
      <c r="E98" s="5">
        <f>IFERROR(__xludf.DUMMYFUNCTION("""COMPUTED_VALUE"""),74.19)</f>
        <v>74.19</v>
      </c>
      <c r="F98" s="5">
        <f>IFERROR(__xludf.DUMMYFUNCTION("""COMPUTED_VALUE"""),3.3865035E7)</f>
        <v>33865035</v>
      </c>
    </row>
    <row r="99">
      <c r="A99" s="6">
        <f>IFERROR(__xludf.DUMMYFUNCTION("""COMPUTED_VALUE"""),45883.64583333333)</f>
        <v>45883.64583</v>
      </c>
      <c r="B99" s="5">
        <f>IFERROR(__xludf.DUMMYFUNCTION("""COMPUTED_VALUE"""),74.2)</f>
        <v>74.2</v>
      </c>
      <c r="C99" s="5">
        <f>IFERROR(__xludf.DUMMYFUNCTION("""COMPUTED_VALUE"""),76.58)</f>
        <v>76.58</v>
      </c>
      <c r="D99" s="5">
        <f>IFERROR(__xludf.DUMMYFUNCTION("""COMPUTED_VALUE"""),73.5)</f>
        <v>73.5</v>
      </c>
      <c r="E99" s="5">
        <f>IFERROR(__xludf.DUMMYFUNCTION("""COMPUTED_VALUE"""),75.0)</f>
        <v>75</v>
      </c>
      <c r="F99" s="5">
        <f>IFERROR(__xludf.DUMMYFUNCTION("""COMPUTED_VALUE"""),1.442854E7)</f>
        <v>14428540</v>
      </c>
    </row>
    <row r="100">
      <c r="A100" s="6">
        <f>IFERROR(__xludf.DUMMYFUNCTION("""COMPUTED_VALUE"""),45891.64583333333)</f>
        <v>45891.64583</v>
      </c>
      <c r="B100" s="5">
        <f>IFERROR(__xludf.DUMMYFUNCTION("""COMPUTED_VALUE"""),75.66)</f>
        <v>75.66</v>
      </c>
      <c r="C100" s="5">
        <f>IFERROR(__xludf.DUMMYFUNCTION("""COMPUTED_VALUE"""),81.99)</f>
        <v>81.99</v>
      </c>
      <c r="D100" s="5">
        <f>IFERROR(__xludf.DUMMYFUNCTION("""COMPUTED_VALUE"""),74.97)</f>
        <v>74.97</v>
      </c>
      <c r="E100" s="5">
        <f>IFERROR(__xludf.DUMMYFUNCTION("""COMPUTED_VALUE"""),81.25)</f>
        <v>81.25</v>
      </c>
      <c r="F100" s="5">
        <f>IFERROR(__xludf.DUMMYFUNCTION("""COMPUTED_VALUE"""),1.37062056E8)</f>
        <v>137062056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IFERROR(__xludf.DUMMYFUNCTION("GOOGLEFINANCE(""NSE:BRITANNIA"", ""all"",ConfigSheet!B2 -ConfigSheet!B1,ConfigSheet!B2,ConfigSheet!B3)"),"#N/A")</f>
        <v>#N/A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IFERROR(__xludf.DUMMYFUNCTION("GOOGLEFINANCE(""NSE:BSE"", ""all"",ConfigSheet!B2 -ConfigSheet!B1,ConfigSheet!B2,ConfigSheet!B3)"),"#N/A")</f>
        <v>#N/A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IFERROR(__xludf.DUMMYFUNCTION("GOOGLEFINANCE(""NSE:CANBK"", ""all"",ConfigSheet!B2 -ConfigSheet!B1,ConfigSheet!B2,ConfigSheet!B3)"),"#N/A")</f>
        <v>#N/A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IFERROR(__xludf.DUMMYFUNCTION("GOOGLEFINANCE(""NSE:CGPOWER"", ""all"",ConfigSheet!B2 -ConfigSheet!B1,ConfigSheet!B2,ConfigSheet!B3)"),"#N/A")</f>
        <v>#N/A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IFERROR(__xludf.DUMMYFUNCTION("GOOGLEFINANCE(""NSE:CHOLAFIN"", ""all"",ConfigSheet!B2 -ConfigSheet!B1,ConfigSheet!B2,ConfigSheet!B3)"),"#N/A")</f>
        <v>#N/A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IFERROR(__xludf.DUMMYFUNCTION("GOOGLEFINANCE(""NSE:CIPLA"", ""all"",ConfigSheet!B2 -ConfigSheet!B1,ConfigSheet!B2,ConfigSheet!B3)"),"#N/A")</f>
        <v>#N/A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IFERROR(__xludf.DUMMYFUNCTION("GOOGLEFINANCE(""NSE:COALINDIA"", ""all"",ConfigSheet!B2 -ConfigSheet!B1,ConfigSheet!B2,ConfigSheet!B3)"),"#N/A")</f>
        <v>#N/A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IFERROR(__xludf.DUMMYFUNCTION("GOOGLEFINANCE(""NSE:COCHINSHIP"", ""all"",ConfigSheet!B2 -ConfigSheet!B1,ConfigSheet!B2,ConfigSheet!B3)"),"#N/A")</f>
        <v>#N/A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IFERROR(__xludf.DUMMYFUNCTION("GOOGLEFINANCE(""NSE:COFORGE"", ""all"",ConfigSheet!B2 -ConfigSheet!B1,ConfigSheet!B2,ConfigSheet!B3)"),"#N/A")</f>
        <v>#N/A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IFERROR(__xludf.DUMMYFUNCTION("GOOGLEFINANCE(""NSE:COLPAL"", ""all"",ConfigSheet!B2 -ConfigSheet!B1,ConfigSheet!B2,ConfigSheet!B3)"),"#N/A")</f>
        <v>#N/A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IFERROR(__xludf.DUMMYFUNCTION("GOOGLEFINANCE(""NSE:ACC"", ""all"",ConfigSheet!B2 -ConfigSheet!B1,ConfigSheet!B2,ConfigSheet!B3)"),"Date")</f>
        <v>Date</v>
      </c>
      <c r="B1" s="5" t="str">
        <f>IFERROR(__xludf.DUMMYFUNCTION("""COMPUTED_VALUE"""),"Open")</f>
        <v>Open</v>
      </c>
      <c r="C1" s="5" t="str">
        <f>IFERROR(__xludf.DUMMYFUNCTION("""COMPUTED_VALUE"""),"High")</f>
        <v>High</v>
      </c>
      <c r="D1" s="5" t="str">
        <f>IFERROR(__xludf.DUMMYFUNCTION("""COMPUTED_VALUE"""),"Low")</f>
        <v>Low</v>
      </c>
      <c r="E1" s="5" t="str">
        <f>IFERROR(__xludf.DUMMYFUNCTION("""COMPUTED_VALUE"""),"Close")</f>
        <v>Close</v>
      </c>
      <c r="F1" s="5" t="str">
        <f>IFERROR(__xludf.DUMMYFUNCTION("""COMPUTED_VALUE"""),"Volume")</f>
        <v>Volume</v>
      </c>
    </row>
    <row r="2">
      <c r="A2" s="6">
        <f>IFERROR(__xludf.DUMMYFUNCTION("""COMPUTED_VALUE"""),45170.64583333333)</f>
        <v>45170.64583</v>
      </c>
      <c r="B2" s="5">
        <f>IFERROR(__xludf.DUMMYFUNCTION("""COMPUTED_VALUE"""),1970.0)</f>
        <v>1970</v>
      </c>
      <c r="C2" s="5">
        <f>IFERROR(__xludf.DUMMYFUNCTION("""COMPUTED_VALUE"""),2037.65)</f>
        <v>2037.65</v>
      </c>
      <c r="D2" s="5">
        <f>IFERROR(__xludf.DUMMYFUNCTION("""COMPUTED_VALUE"""),1932.65)</f>
        <v>1932.65</v>
      </c>
      <c r="E2" s="5">
        <f>IFERROR(__xludf.DUMMYFUNCTION("""COMPUTED_VALUE"""),2011.25)</f>
        <v>2011.25</v>
      </c>
      <c r="F2" s="5">
        <f>IFERROR(__xludf.DUMMYFUNCTION("""COMPUTED_VALUE"""),1.0264813E7)</f>
        <v>10264813</v>
      </c>
    </row>
    <row r="3">
      <c r="A3" s="6">
        <f>IFERROR(__xludf.DUMMYFUNCTION("""COMPUTED_VALUE"""),45177.64583333333)</f>
        <v>45177.64583</v>
      </c>
      <c r="B3" s="5">
        <f>IFERROR(__xludf.DUMMYFUNCTION("""COMPUTED_VALUE"""),2012.15)</f>
        <v>2012.15</v>
      </c>
      <c r="C3" s="5">
        <f>IFERROR(__xludf.DUMMYFUNCTION("""COMPUTED_VALUE"""),2104.0)</f>
        <v>2104</v>
      </c>
      <c r="D3" s="5">
        <f>IFERROR(__xludf.DUMMYFUNCTION("""COMPUTED_VALUE"""),2012.15)</f>
        <v>2012.15</v>
      </c>
      <c r="E3" s="5">
        <f>IFERROR(__xludf.DUMMYFUNCTION("""COMPUTED_VALUE"""),2024.25)</f>
        <v>2024.25</v>
      </c>
      <c r="F3" s="5">
        <f>IFERROR(__xludf.DUMMYFUNCTION("""COMPUTED_VALUE"""),3825918.0)</f>
        <v>3825918</v>
      </c>
    </row>
    <row r="4">
      <c r="A4" s="6">
        <f>IFERROR(__xludf.DUMMYFUNCTION("""COMPUTED_VALUE"""),45184.64583333333)</f>
        <v>45184.64583</v>
      </c>
      <c r="B4" s="5">
        <f>IFERROR(__xludf.DUMMYFUNCTION("""COMPUTED_VALUE"""),2024.25)</f>
        <v>2024.25</v>
      </c>
      <c r="C4" s="5">
        <f>IFERROR(__xludf.DUMMYFUNCTION("""COMPUTED_VALUE"""),2082.1)</f>
        <v>2082.1</v>
      </c>
      <c r="D4" s="5">
        <f>IFERROR(__xludf.DUMMYFUNCTION("""COMPUTED_VALUE"""),2002.95)</f>
        <v>2002.95</v>
      </c>
      <c r="E4" s="5">
        <f>IFERROR(__xludf.DUMMYFUNCTION("""COMPUTED_VALUE"""),2026.85)</f>
        <v>2026.85</v>
      </c>
      <c r="F4" s="5">
        <f>IFERROR(__xludf.DUMMYFUNCTION("""COMPUTED_VALUE"""),2772817.0)</f>
        <v>2772817</v>
      </c>
    </row>
    <row r="5">
      <c r="A5" s="6">
        <f>IFERROR(__xludf.DUMMYFUNCTION("""COMPUTED_VALUE"""),45191.64583333333)</f>
        <v>45191.64583</v>
      </c>
      <c r="B5" s="5">
        <f>IFERROR(__xludf.DUMMYFUNCTION("""COMPUTED_VALUE"""),2031.3)</f>
        <v>2031.3</v>
      </c>
      <c r="C5" s="5">
        <f>IFERROR(__xludf.DUMMYFUNCTION("""COMPUTED_VALUE"""),2038.0)</f>
        <v>2038</v>
      </c>
      <c r="D5" s="5">
        <f>IFERROR(__xludf.DUMMYFUNCTION("""COMPUTED_VALUE"""),1965.25)</f>
        <v>1965.25</v>
      </c>
      <c r="E5" s="5">
        <f>IFERROR(__xludf.DUMMYFUNCTION("""COMPUTED_VALUE"""),1978.5)</f>
        <v>1978.5</v>
      </c>
      <c r="F5" s="5">
        <f>IFERROR(__xludf.DUMMYFUNCTION("""COMPUTED_VALUE"""),1080968.0)</f>
        <v>1080968</v>
      </c>
    </row>
    <row r="6">
      <c r="A6" s="6">
        <f>IFERROR(__xludf.DUMMYFUNCTION("""COMPUTED_VALUE"""),45198.64583333333)</f>
        <v>45198.64583</v>
      </c>
      <c r="B6" s="5">
        <f>IFERROR(__xludf.DUMMYFUNCTION("""COMPUTED_VALUE"""),1971.0)</f>
        <v>1971</v>
      </c>
      <c r="C6" s="5">
        <f>IFERROR(__xludf.DUMMYFUNCTION("""COMPUTED_VALUE"""),2031.5)</f>
        <v>2031.5</v>
      </c>
      <c r="D6" s="5">
        <f>IFERROR(__xludf.DUMMYFUNCTION("""COMPUTED_VALUE"""),1967.4)</f>
        <v>1967.4</v>
      </c>
      <c r="E6" s="5">
        <f>IFERROR(__xludf.DUMMYFUNCTION("""COMPUTED_VALUE"""),2012.25)</f>
        <v>2012.25</v>
      </c>
      <c r="F6" s="5">
        <f>IFERROR(__xludf.DUMMYFUNCTION("""COMPUTED_VALUE"""),2458385.0)</f>
        <v>2458385</v>
      </c>
    </row>
    <row r="7">
      <c r="A7" s="6">
        <f>IFERROR(__xludf.DUMMYFUNCTION("""COMPUTED_VALUE"""),45205.64583333333)</f>
        <v>45205.64583</v>
      </c>
      <c r="B7" s="5">
        <f>IFERROR(__xludf.DUMMYFUNCTION("""COMPUTED_VALUE"""),2015.95)</f>
        <v>2015.95</v>
      </c>
      <c r="C7" s="5">
        <f>IFERROR(__xludf.DUMMYFUNCTION("""COMPUTED_VALUE"""),2039.85)</f>
        <v>2039.85</v>
      </c>
      <c r="D7" s="5">
        <f>IFERROR(__xludf.DUMMYFUNCTION("""COMPUTED_VALUE"""),1985.65)</f>
        <v>1985.65</v>
      </c>
      <c r="E7" s="5">
        <f>IFERROR(__xludf.DUMMYFUNCTION("""COMPUTED_VALUE"""),2009.95)</f>
        <v>2009.95</v>
      </c>
      <c r="F7" s="5">
        <f>IFERROR(__xludf.DUMMYFUNCTION("""COMPUTED_VALUE"""),1136436.0)</f>
        <v>1136436</v>
      </c>
    </row>
    <row r="8">
      <c r="A8" s="6">
        <f>IFERROR(__xludf.DUMMYFUNCTION("""COMPUTED_VALUE"""),45212.64583333333)</f>
        <v>45212.64583</v>
      </c>
      <c r="B8" s="5">
        <f>IFERROR(__xludf.DUMMYFUNCTION("""COMPUTED_VALUE"""),2000.05)</f>
        <v>2000.05</v>
      </c>
      <c r="C8" s="5">
        <f>IFERROR(__xludf.DUMMYFUNCTION("""COMPUTED_VALUE"""),2056.95)</f>
        <v>2056.95</v>
      </c>
      <c r="D8" s="5">
        <f>IFERROR(__xludf.DUMMYFUNCTION("""COMPUTED_VALUE"""),1955.5)</f>
        <v>1955.5</v>
      </c>
      <c r="E8" s="5">
        <f>IFERROR(__xludf.DUMMYFUNCTION("""COMPUTED_VALUE"""),2010.45)</f>
        <v>2010.45</v>
      </c>
      <c r="F8" s="5">
        <f>IFERROR(__xludf.DUMMYFUNCTION("""COMPUTED_VALUE"""),1887393.0)</f>
        <v>1887393</v>
      </c>
    </row>
    <row r="9">
      <c r="A9" s="6">
        <f>IFERROR(__xludf.DUMMYFUNCTION("""COMPUTED_VALUE"""),45219.64583333333)</f>
        <v>45219.64583</v>
      </c>
      <c r="B9" s="5">
        <f>IFERROR(__xludf.DUMMYFUNCTION("""COMPUTED_VALUE"""),2010.0)</f>
        <v>2010</v>
      </c>
      <c r="C9" s="5">
        <f>IFERROR(__xludf.DUMMYFUNCTION("""COMPUTED_VALUE"""),2044.65)</f>
        <v>2044.65</v>
      </c>
      <c r="D9" s="5">
        <f>IFERROR(__xludf.DUMMYFUNCTION("""COMPUTED_VALUE"""),1955.6)</f>
        <v>1955.6</v>
      </c>
      <c r="E9" s="5">
        <f>IFERROR(__xludf.DUMMYFUNCTION("""COMPUTED_VALUE"""),1963.15)</f>
        <v>1963.15</v>
      </c>
      <c r="F9" s="5">
        <f>IFERROR(__xludf.DUMMYFUNCTION("""COMPUTED_VALUE"""),1362202.0)</f>
        <v>1362202</v>
      </c>
    </row>
    <row r="10">
      <c r="A10" s="6">
        <f>IFERROR(__xludf.DUMMYFUNCTION("""COMPUTED_VALUE"""),45226.64583333333)</f>
        <v>45226.64583</v>
      </c>
      <c r="B10" s="5">
        <f>IFERROR(__xludf.DUMMYFUNCTION("""COMPUTED_VALUE"""),1970.0)</f>
        <v>1970</v>
      </c>
      <c r="C10" s="5">
        <f>IFERROR(__xludf.DUMMYFUNCTION("""COMPUTED_VALUE"""),1978.8)</f>
        <v>1978.8</v>
      </c>
      <c r="D10" s="5">
        <f>IFERROR(__xludf.DUMMYFUNCTION("""COMPUTED_VALUE"""),1867.35)</f>
        <v>1867.35</v>
      </c>
      <c r="E10" s="5">
        <f>IFERROR(__xludf.DUMMYFUNCTION("""COMPUTED_VALUE"""),1878.0)</f>
        <v>1878</v>
      </c>
      <c r="F10" s="5">
        <f>IFERROR(__xludf.DUMMYFUNCTION("""COMPUTED_VALUE"""),2190352.0)</f>
        <v>2190352</v>
      </c>
    </row>
    <row r="11">
      <c r="A11" s="6">
        <f>IFERROR(__xludf.DUMMYFUNCTION("""COMPUTED_VALUE"""),45233.64583333333)</f>
        <v>45233.64583</v>
      </c>
      <c r="B11" s="5">
        <f>IFERROR(__xludf.DUMMYFUNCTION("""COMPUTED_VALUE"""),1890.0)</f>
        <v>1890</v>
      </c>
      <c r="C11" s="5">
        <f>IFERROR(__xludf.DUMMYFUNCTION("""COMPUTED_VALUE"""),1903.7)</f>
        <v>1903.7</v>
      </c>
      <c r="D11" s="5">
        <f>IFERROR(__xludf.DUMMYFUNCTION("""COMPUTED_VALUE"""),1836.6)</f>
        <v>1836.6</v>
      </c>
      <c r="E11" s="5">
        <f>IFERROR(__xludf.DUMMYFUNCTION("""COMPUTED_VALUE"""),1859.85)</f>
        <v>1859.85</v>
      </c>
      <c r="F11" s="5">
        <f>IFERROR(__xludf.DUMMYFUNCTION("""COMPUTED_VALUE"""),948337.0)</f>
        <v>948337</v>
      </c>
    </row>
    <row r="12">
      <c r="A12" s="6">
        <f>IFERROR(__xludf.DUMMYFUNCTION("""COMPUTED_VALUE"""),45240.64583333333)</f>
        <v>45240.64583</v>
      </c>
      <c r="B12" s="5">
        <f>IFERROR(__xludf.DUMMYFUNCTION("""COMPUTED_VALUE"""),1874.85)</f>
        <v>1874.85</v>
      </c>
      <c r="C12" s="5">
        <f>IFERROR(__xludf.DUMMYFUNCTION("""COMPUTED_VALUE"""),1888.5)</f>
        <v>1888.5</v>
      </c>
      <c r="D12" s="5">
        <f>IFERROR(__xludf.DUMMYFUNCTION("""COMPUTED_VALUE"""),1818.0)</f>
        <v>1818</v>
      </c>
      <c r="E12" s="5">
        <f>IFERROR(__xludf.DUMMYFUNCTION("""COMPUTED_VALUE"""),1825.3)</f>
        <v>1825.3</v>
      </c>
      <c r="F12" s="5">
        <f>IFERROR(__xludf.DUMMYFUNCTION("""COMPUTED_VALUE"""),1037538.0)</f>
        <v>1037538</v>
      </c>
    </row>
    <row r="13">
      <c r="A13" s="6">
        <f>IFERROR(__xludf.DUMMYFUNCTION("""COMPUTED_VALUE"""),45247.64583333333)</f>
        <v>45247.64583</v>
      </c>
      <c r="B13" s="5">
        <f>IFERROR(__xludf.DUMMYFUNCTION("""COMPUTED_VALUE"""),1832.0)</f>
        <v>1832</v>
      </c>
      <c r="C13" s="5">
        <f>IFERROR(__xludf.DUMMYFUNCTION("""COMPUTED_VALUE"""),1874.3)</f>
        <v>1874.3</v>
      </c>
      <c r="D13" s="5">
        <f>IFERROR(__xludf.DUMMYFUNCTION("""COMPUTED_VALUE"""),1815.0)</f>
        <v>1815</v>
      </c>
      <c r="E13" s="5">
        <f>IFERROR(__xludf.DUMMYFUNCTION("""COMPUTED_VALUE"""),1848.25)</f>
        <v>1848.25</v>
      </c>
      <c r="F13" s="5">
        <f>IFERROR(__xludf.DUMMYFUNCTION("""COMPUTED_VALUE"""),1151752.0)</f>
        <v>1151752</v>
      </c>
    </row>
    <row r="14">
      <c r="A14" s="6">
        <f>IFERROR(__xludf.DUMMYFUNCTION("""COMPUTED_VALUE"""),45254.64583333333)</f>
        <v>45254.64583</v>
      </c>
      <c r="B14" s="5">
        <f>IFERROR(__xludf.DUMMYFUNCTION("""COMPUTED_VALUE"""),1848.25)</f>
        <v>1848.25</v>
      </c>
      <c r="C14" s="5">
        <f>IFERROR(__xludf.DUMMYFUNCTION("""COMPUTED_VALUE"""),1858.4)</f>
        <v>1858.4</v>
      </c>
      <c r="D14" s="5">
        <f>IFERROR(__xludf.DUMMYFUNCTION("""COMPUTED_VALUE"""),1803.0)</f>
        <v>1803</v>
      </c>
      <c r="E14" s="5">
        <f>IFERROR(__xludf.DUMMYFUNCTION("""COMPUTED_VALUE"""),1820.5)</f>
        <v>1820.5</v>
      </c>
      <c r="F14" s="5">
        <f>IFERROR(__xludf.DUMMYFUNCTION("""COMPUTED_VALUE"""),1114020.0)</f>
        <v>1114020</v>
      </c>
    </row>
    <row r="15">
      <c r="A15" s="6">
        <f>IFERROR(__xludf.DUMMYFUNCTION("""COMPUTED_VALUE"""),45261.64583333333)</f>
        <v>45261.64583</v>
      </c>
      <c r="B15" s="5">
        <f>IFERROR(__xludf.DUMMYFUNCTION("""COMPUTED_VALUE"""),1830.0)</f>
        <v>1830</v>
      </c>
      <c r="C15" s="5">
        <f>IFERROR(__xludf.DUMMYFUNCTION("""COMPUTED_VALUE"""),1911.2)</f>
        <v>1911.2</v>
      </c>
      <c r="D15" s="5">
        <f>IFERROR(__xludf.DUMMYFUNCTION("""COMPUTED_VALUE"""),1825.0)</f>
        <v>1825</v>
      </c>
      <c r="E15" s="5">
        <f>IFERROR(__xludf.DUMMYFUNCTION("""COMPUTED_VALUE"""),1900.25)</f>
        <v>1900.25</v>
      </c>
      <c r="F15" s="5">
        <f>IFERROR(__xludf.DUMMYFUNCTION("""COMPUTED_VALUE"""),4496534.0)</f>
        <v>4496534</v>
      </c>
    </row>
    <row r="16">
      <c r="A16" s="6">
        <f>IFERROR(__xludf.DUMMYFUNCTION("""COMPUTED_VALUE"""),45268.64583333333)</f>
        <v>45268.64583</v>
      </c>
      <c r="B16" s="5">
        <f>IFERROR(__xludf.DUMMYFUNCTION("""COMPUTED_VALUE"""),1979.0)</f>
        <v>1979</v>
      </c>
      <c r="C16" s="5">
        <f>IFERROR(__xludf.DUMMYFUNCTION("""COMPUTED_VALUE"""),2218.0)</f>
        <v>2218</v>
      </c>
      <c r="D16" s="5">
        <f>IFERROR(__xludf.DUMMYFUNCTION("""COMPUTED_VALUE"""),1950.0)</f>
        <v>1950</v>
      </c>
      <c r="E16" s="5">
        <f>IFERROR(__xludf.DUMMYFUNCTION("""COMPUTED_VALUE"""),2137.8)</f>
        <v>2137.8</v>
      </c>
      <c r="F16" s="5">
        <f>IFERROR(__xludf.DUMMYFUNCTION("""COMPUTED_VALUE"""),8522131.0)</f>
        <v>8522131</v>
      </c>
    </row>
    <row r="17">
      <c r="A17" s="6">
        <f>IFERROR(__xludf.DUMMYFUNCTION("""COMPUTED_VALUE"""),45275.64583333333)</f>
        <v>45275.64583</v>
      </c>
      <c r="B17" s="5">
        <f>IFERROR(__xludf.DUMMYFUNCTION("""COMPUTED_VALUE"""),2132.45)</f>
        <v>2132.45</v>
      </c>
      <c r="C17" s="5">
        <f>IFERROR(__xludf.DUMMYFUNCTION("""COMPUTED_VALUE"""),2251.05)</f>
        <v>2251.05</v>
      </c>
      <c r="D17" s="5">
        <f>IFERROR(__xludf.DUMMYFUNCTION("""COMPUTED_VALUE"""),2111.0)</f>
        <v>2111</v>
      </c>
      <c r="E17" s="5">
        <f>IFERROR(__xludf.DUMMYFUNCTION("""COMPUTED_VALUE"""),2212.35)</f>
        <v>2212.35</v>
      </c>
      <c r="F17" s="5">
        <f>IFERROR(__xludf.DUMMYFUNCTION("""COMPUTED_VALUE"""),3018398.0)</f>
        <v>3018398</v>
      </c>
    </row>
    <row r="18">
      <c r="A18" s="6">
        <f>IFERROR(__xludf.DUMMYFUNCTION("""COMPUTED_VALUE"""),45282.64583333333)</f>
        <v>45282.64583</v>
      </c>
      <c r="B18" s="5">
        <f>IFERROR(__xludf.DUMMYFUNCTION("""COMPUTED_VALUE"""),2232.0)</f>
        <v>2232</v>
      </c>
      <c r="C18" s="5">
        <f>IFERROR(__xludf.DUMMYFUNCTION("""COMPUTED_VALUE"""),2254.0)</f>
        <v>2254</v>
      </c>
      <c r="D18" s="5">
        <f>IFERROR(__xludf.DUMMYFUNCTION("""COMPUTED_VALUE"""),2046.05)</f>
        <v>2046.05</v>
      </c>
      <c r="E18" s="5">
        <f>IFERROR(__xludf.DUMMYFUNCTION("""COMPUTED_VALUE"""),2090.75)</f>
        <v>2090.75</v>
      </c>
      <c r="F18" s="5">
        <f>IFERROR(__xludf.DUMMYFUNCTION("""COMPUTED_VALUE"""),2604403.0)</f>
        <v>2604403</v>
      </c>
    </row>
    <row r="19">
      <c r="A19" s="6">
        <f>IFERROR(__xludf.DUMMYFUNCTION("""COMPUTED_VALUE"""),45289.64583333333)</f>
        <v>45289.64583</v>
      </c>
      <c r="B19" s="5">
        <f>IFERROR(__xludf.DUMMYFUNCTION("""COMPUTED_VALUE"""),2099.9)</f>
        <v>2099.9</v>
      </c>
      <c r="C19" s="5">
        <f>IFERROR(__xludf.DUMMYFUNCTION("""COMPUTED_VALUE"""),2215.6)</f>
        <v>2215.6</v>
      </c>
      <c r="D19" s="5">
        <f>IFERROR(__xludf.DUMMYFUNCTION("""COMPUTED_VALUE"""),2092.55)</f>
        <v>2092.55</v>
      </c>
      <c r="E19" s="5">
        <f>IFERROR(__xludf.DUMMYFUNCTION("""COMPUTED_VALUE"""),2211.25)</f>
        <v>2211.25</v>
      </c>
      <c r="F19" s="5">
        <f>IFERROR(__xludf.DUMMYFUNCTION("""COMPUTED_VALUE"""),1900011.0)</f>
        <v>1900011</v>
      </c>
    </row>
    <row r="20">
      <c r="A20" s="6">
        <f>IFERROR(__xludf.DUMMYFUNCTION("""COMPUTED_VALUE"""),45296.64583333333)</f>
        <v>45296.64583</v>
      </c>
      <c r="B20" s="5">
        <f>IFERROR(__xludf.DUMMYFUNCTION("""COMPUTED_VALUE"""),2212.0)</f>
        <v>2212</v>
      </c>
      <c r="C20" s="5">
        <f>IFERROR(__xludf.DUMMYFUNCTION("""COMPUTED_VALUE"""),2403.8)</f>
        <v>2403.8</v>
      </c>
      <c r="D20" s="5">
        <f>IFERROR(__xludf.DUMMYFUNCTION("""COMPUTED_VALUE"""),2208.65)</f>
        <v>2208.65</v>
      </c>
      <c r="E20" s="5">
        <f>IFERROR(__xludf.DUMMYFUNCTION("""COMPUTED_VALUE"""),2377.45)</f>
        <v>2377.45</v>
      </c>
      <c r="F20" s="5">
        <f>IFERROR(__xludf.DUMMYFUNCTION("""COMPUTED_VALUE"""),4004966.0)</f>
        <v>4004966</v>
      </c>
    </row>
    <row r="21">
      <c r="A21" s="6">
        <f>IFERROR(__xludf.DUMMYFUNCTION("""COMPUTED_VALUE"""),45303.64583333333)</f>
        <v>45303.64583</v>
      </c>
      <c r="B21" s="5">
        <f>IFERROR(__xludf.DUMMYFUNCTION("""COMPUTED_VALUE"""),2400.05)</f>
        <v>2400.05</v>
      </c>
      <c r="C21" s="5">
        <f>IFERROR(__xludf.DUMMYFUNCTION("""COMPUTED_VALUE"""),2407.1)</f>
        <v>2407.1</v>
      </c>
      <c r="D21" s="5">
        <f>IFERROR(__xludf.DUMMYFUNCTION("""COMPUTED_VALUE"""),2293.2)</f>
        <v>2293.2</v>
      </c>
      <c r="E21" s="5">
        <f>IFERROR(__xludf.DUMMYFUNCTION("""COMPUTED_VALUE"""),2332.4)</f>
        <v>2332.4</v>
      </c>
      <c r="F21" s="5">
        <f>IFERROR(__xludf.DUMMYFUNCTION("""COMPUTED_VALUE"""),1715711.0)</f>
        <v>1715711</v>
      </c>
    </row>
    <row r="22">
      <c r="A22" s="6">
        <f>IFERROR(__xludf.DUMMYFUNCTION("""COMPUTED_VALUE"""),45316.64583333333)</f>
        <v>45316.64583</v>
      </c>
      <c r="B22" s="5">
        <f>IFERROR(__xludf.DUMMYFUNCTION("""COMPUTED_VALUE"""),2309.0)</f>
        <v>2309</v>
      </c>
      <c r="C22" s="5">
        <f>IFERROR(__xludf.DUMMYFUNCTION("""COMPUTED_VALUE"""),2563.75)</f>
        <v>2563.75</v>
      </c>
      <c r="D22" s="5">
        <f>IFERROR(__xludf.DUMMYFUNCTION("""COMPUTED_VALUE"""),2190.0)</f>
        <v>2190</v>
      </c>
      <c r="E22" s="5">
        <f>IFERROR(__xludf.DUMMYFUNCTION("""COMPUTED_VALUE"""),2467.65)</f>
        <v>2467.65</v>
      </c>
      <c r="F22" s="5">
        <f>IFERROR(__xludf.DUMMYFUNCTION("""COMPUTED_VALUE"""),3499294.0)</f>
        <v>3499294</v>
      </c>
    </row>
    <row r="23">
      <c r="A23" s="6">
        <f>IFERROR(__xludf.DUMMYFUNCTION("""COMPUTED_VALUE"""),45324.64583333333)</f>
        <v>45324.64583</v>
      </c>
      <c r="B23" s="5">
        <f>IFERROR(__xludf.DUMMYFUNCTION("""COMPUTED_VALUE"""),2520.05)</f>
        <v>2520.05</v>
      </c>
      <c r="C23" s="5">
        <f>IFERROR(__xludf.DUMMYFUNCTION("""COMPUTED_VALUE"""),2584.0)</f>
        <v>2584</v>
      </c>
      <c r="D23" s="5">
        <f>IFERROR(__xludf.DUMMYFUNCTION("""COMPUTED_VALUE"""),2455.0)</f>
        <v>2455</v>
      </c>
      <c r="E23" s="5">
        <f>IFERROR(__xludf.DUMMYFUNCTION("""COMPUTED_VALUE"""),2499.45)</f>
        <v>2499.45</v>
      </c>
      <c r="F23" s="5">
        <f>IFERROR(__xludf.DUMMYFUNCTION("""COMPUTED_VALUE"""),4038575.0)</f>
        <v>4038575</v>
      </c>
    </row>
    <row r="24">
      <c r="A24" s="6">
        <f>IFERROR(__xludf.DUMMYFUNCTION("""COMPUTED_VALUE"""),45331.64583333333)</f>
        <v>45331.64583</v>
      </c>
      <c r="B24" s="5">
        <f>IFERROR(__xludf.DUMMYFUNCTION("""COMPUTED_VALUE"""),2510.0)</f>
        <v>2510</v>
      </c>
      <c r="C24" s="5">
        <f>IFERROR(__xludf.DUMMYFUNCTION("""COMPUTED_VALUE"""),2645.0)</f>
        <v>2645</v>
      </c>
      <c r="D24" s="5">
        <f>IFERROR(__xludf.DUMMYFUNCTION("""COMPUTED_VALUE"""),2469.25)</f>
        <v>2469.25</v>
      </c>
      <c r="E24" s="5">
        <f>IFERROR(__xludf.DUMMYFUNCTION("""COMPUTED_VALUE"""),2628.05)</f>
        <v>2628.05</v>
      </c>
      <c r="F24" s="5">
        <f>IFERROR(__xludf.DUMMYFUNCTION("""COMPUTED_VALUE"""),2701485.0)</f>
        <v>2701485</v>
      </c>
    </row>
    <row r="25">
      <c r="A25" s="6">
        <f>IFERROR(__xludf.DUMMYFUNCTION("""COMPUTED_VALUE"""),45338.64583333333)</f>
        <v>45338.64583</v>
      </c>
      <c r="B25" s="5">
        <f>IFERROR(__xludf.DUMMYFUNCTION("""COMPUTED_VALUE"""),2646.0)</f>
        <v>2646</v>
      </c>
      <c r="C25" s="5">
        <f>IFERROR(__xludf.DUMMYFUNCTION("""COMPUTED_VALUE"""),2746.4)</f>
        <v>2746.4</v>
      </c>
      <c r="D25" s="5">
        <f>IFERROR(__xludf.DUMMYFUNCTION("""COMPUTED_VALUE"""),2562.85)</f>
        <v>2562.85</v>
      </c>
      <c r="E25" s="5">
        <f>IFERROR(__xludf.DUMMYFUNCTION("""COMPUTED_VALUE"""),2720.4)</f>
        <v>2720.4</v>
      </c>
      <c r="F25" s="5">
        <f>IFERROR(__xludf.DUMMYFUNCTION("""COMPUTED_VALUE"""),3087324.0)</f>
        <v>3087324</v>
      </c>
    </row>
    <row r="26">
      <c r="A26" s="6">
        <f>IFERROR(__xludf.DUMMYFUNCTION("""COMPUTED_VALUE"""),45345.64583333333)</f>
        <v>45345.64583</v>
      </c>
      <c r="B26" s="5">
        <f>IFERROR(__xludf.DUMMYFUNCTION("""COMPUTED_VALUE"""),2744.0)</f>
        <v>2744</v>
      </c>
      <c r="C26" s="5">
        <f>IFERROR(__xludf.DUMMYFUNCTION("""COMPUTED_VALUE"""),2744.0)</f>
        <v>2744</v>
      </c>
      <c r="D26" s="5">
        <f>IFERROR(__xludf.DUMMYFUNCTION("""COMPUTED_VALUE"""),2636.0)</f>
        <v>2636</v>
      </c>
      <c r="E26" s="5">
        <f>IFERROR(__xludf.DUMMYFUNCTION("""COMPUTED_VALUE"""),2679.55)</f>
        <v>2679.55</v>
      </c>
      <c r="F26" s="5">
        <f>IFERROR(__xludf.DUMMYFUNCTION("""COMPUTED_VALUE"""),1797890.0)</f>
        <v>1797890</v>
      </c>
    </row>
    <row r="27">
      <c r="A27" s="6">
        <f>IFERROR(__xludf.DUMMYFUNCTION("""COMPUTED_VALUE"""),45358.64583333333)</f>
        <v>45358.64583</v>
      </c>
      <c r="B27" s="5">
        <f>IFERROR(__xludf.DUMMYFUNCTION("""COMPUTED_VALUE"""),2710.0)</f>
        <v>2710</v>
      </c>
      <c r="C27" s="5">
        <f>IFERROR(__xludf.DUMMYFUNCTION("""COMPUTED_VALUE"""),2723.15)</f>
        <v>2723.15</v>
      </c>
      <c r="D27" s="5">
        <f>IFERROR(__xludf.DUMMYFUNCTION("""COMPUTED_VALUE"""),2596.95)</f>
        <v>2596.95</v>
      </c>
      <c r="E27" s="5">
        <f>IFERROR(__xludf.DUMMYFUNCTION("""COMPUTED_VALUE"""),2638.8)</f>
        <v>2638.8</v>
      </c>
      <c r="F27" s="5">
        <f>IFERROR(__xludf.DUMMYFUNCTION("""COMPUTED_VALUE"""),762417.0)</f>
        <v>762417</v>
      </c>
    </row>
    <row r="28">
      <c r="A28" s="6">
        <f>IFERROR(__xludf.DUMMYFUNCTION("""COMPUTED_VALUE"""),45366.64583333333)</f>
        <v>45366.64583</v>
      </c>
      <c r="B28" s="5">
        <f>IFERROR(__xludf.DUMMYFUNCTION("""COMPUTED_VALUE"""),2645.0)</f>
        <v>2645</v>
      </c>
      <c r="C28" s="5">
        <f>IFERROR(__xludf.DUMMYFUNCTION("""COMPUTED_VALUE"""),2677.1)</f>
        <v>2677.1</v>
      </c>
      <c r="D28" s="5">
        <f>IFERROR(__xludf.DUMMYFUNCTION("""COMPUTED_VALUE"""),2347.2)</f>
        <v>2347.2</v>
      </c>
      <c r="E28" s="5">
        <f>IFERROR(__xludf.DUMMYFUNCTION("""COMPUTED_VALUE"""),2502.95)</f>
        <v>2502.95</v>
      </c>
      <c r="F28" s="5">
        <f>IFERROR(__xludf.DUMMYFUNCTION("""COMPUTED_VALUE"""),1701685.0)</f>
        <v>1701685</v>
      </c>
    </row>
    <row r="29">
      <c r="A29" s="6">
        <f>IFERROR(__xludf.DUMMYFUNCTION("""COMPUTED_VALUE"""),45373.64583333333)</f>
        <v>45373.64583</v>
      </c>
      <c r="B29" s="5">
        <f>IFERROR(__xludf.DUMMYFUNCTION("""COMPUTED_VALUE"""),2480.1)</f>
        <v>2480.1</v>
      </c>
      <c r="C29" s="5">
        <f>IFERROR(__xludf.DUMMYFUNCTION("""COMPUTED_VALUE"""),2480.1)</f>
        <v>2480.1</v>
      </c>
      <c r="D29" s="5">
        <f>IFERROR(__xludf.DUMMYFUNCTION("""COMPUTED_VALUE"""),2371.05)</f>
        <v>2371.05</v>
      </c>
      <c r="E29" s="5">
        <f>IFERROR(__xludf.DUMMYFUNCTION("""COMPUTED_VALUE"""),2443.25)</f>
        <v>2443.25</v>
      </c>
      <c r="F29" s="5">
        <f>IFERROR(__xludf.DUMMYFUNCTION("""COMPUTED_VALUE"""),1642436.0)</f>
        <v>1642436</v>
      </c>
    </row>
    <row r="30">
      <c r="A30" s="6">
        <f>IFERROR(__xludf.DUMMYFUNCTION("""COMPUTED_VALUE"""),45379.64583333333)</f>
        <v>45379.64583</v>
      </c>
      <c r="B30" s="5">
        <f>IFERROR(__xludf.DUMMYFUNCTION("""COMPUTED_VALUE"""),2430.0)</f>
        <v>2430</v>
      </c>
      <c r="C30" s="5">
        <f>IFERROR(__xludf.DUMMYFUNCTION("""COMPUTED_VALUE"""),2505.0)</f>
        <v>2505</v>
      </c>
      <c r="D30" s="5">
        <f>IFERROR(__xludf.DUMMYFUNCTION("""COMPUTED_VALUE"""),2429.6)</f>
        <v>2429.6</v>
      </c>
      <c r="E30" s="5">
        <f>IFERROR(__xludf.DUMMYFUNCTION("""COMPUTED_VALUE"""),2491.7)</f>
        <v>2491.7</v>
      </c>
      <c r="F30" s="5">
        <f>IFERROR(__xludf.DUMMYFUNCTION("""COMPUTED_VALUE"""),870646.0)</f>
        <v>870646</v>
      </c>
    </row>
    <row r="31">
      <c r="A31" s="6">
        <f>IFERROR(__xludf.DUMMYFUNCTION("""COMPUTED_VALUE"""),45387.64583333333)</f>
        <v>45387.64583</v>
      </c>
      <c r="B31" s="5">
        <f>IFERROR(__xludf.DUMMYFUNCTION("""COMPUTED_VALUE"""),2510.0)</f>
        <v>2510</v>
      </c>
      <c r="C31" s="5">
        <f>IFERROR(__xludf.DUMMYFUNCTION("""COMPUTED_VALUE"""),2666.7)</f>
        <v>2666.7</v>
      </c>
      <c r="D31" s="5">
        <f>IFERROR(__xludf.DUMMYFUNCTION("""COMPUTED_VALUE"""),2497.1)</f>
        <v>2497.1</v>
      </c>
      <c r="E31" s="5">
        <f>IFERROR(__xludf.DUMMYFUNCTION("""COMPUTED_VALUE"""),2575.1)</f>
        <v>2575.1</v>
      </c>
      <c r="F31" s="5">
        <f>IFERROR(__xludf.DUMMYFUNCTION("""COMPUTED_VALUE"""),1747758.0)</f>
        <v>1747758</v>
      </c>
    </row>
    <row r="32">
      <c r="A32" s="6">
        <f>IFERROR(__xludf.DUMMYFUNCTION("""COMPUTED_VALUE"""),45394.64583333333)</f>
        <v>45394.64583</v>
      </c>
      <c r="B32" s="5">
        <f>IFERROR(__xludf.DUMMYFUNCTION("""COMPUTED_VALUE"""),2595.9)</f>
        <v>2595.9</v>
      </c>
      <c r="C32" s="5">
        <f>IFERROR(__xludf.DUMMYFUNCTION("""COMPUTED_VALUE"""),2607.0)</f>
        <v>2607</v>
      </c>
      <c r="D32" s="5">
        <f>IFERROR(__xludf.DUMMYFUNCTION("""COMPUTED_VALUE"""),2460.0)</f>
        <v>2460</v>
      </c>
      <c r="E32" s="5">
        <f>IFERROR(__xludf.DUMMYFUNCTION("""COMPUTED_VALUE"""),2468.3)</f>
        <v>2468.3</v>
      </c>
      <c r="F32" s="5">
        <f>IFERROR(__xludf.DUMMYFUNCTION("""COMPUTED_VALUE"""),1184311.0)</f>
        <v>1184311</v>
      </c>
    </row>
    <row r="33">
      <c r="A33" s="6">
        <f>IFERROR(__xludf.DUMMYFUNCTION("""COMPUTED_VALUE"""),45401.64583333333)</f>
        <v>45401.64583</v>
      </c>
      <c r="B33" s="5">
        <f>IFERROR(__xludf.DUMMYFUNCTION("""COMPUTED_VALUE"""),2465.0)</f>
        <v>2465</v>
      </c>
      <c r="C33" s="5">
        <f>IFERROR(__xludf.DUMMYFUNCTION("""COMPUTED_VALUE"""),2484.05)</f>
        <v>2484.05</v>
      </c>
      <c r="D33" s="5">
        <f>IFERROR(__xludf.DUMMYFUNCTION("""COMPUTED_VALUE"""),2368.0)</f>
        <v>2368</v>
      </c>
      <c r="E33" s="5">
        <f>IFERROR(__xludf.DUMMYFUNCTION("""COMPUTED_VALUE"""),2405.15)</f>
        <v>2405.15</v>
      </c>
      <c r="F33" s="5">
        <f>IFERROR(__xludf.DUMMYFUNCTION("""COMPUTED_VALUE"""),1056803.0)</f>
        <v>1056803</v>
      </c>
    </row>
    <row r="34">
      <c r="A34" s="6">
        <f>IFERROR(__xludf.DUMMYFUNCTION("""COMPUTED_VALUE"""),45408.64583333333)</f>
        <v>45408.64583</v>
      </c>
      <c r="B34" s="5">
        <f>IFERROR(__xludf.DUMMYFUNCTION("""COMPUTED_VALUE"""),2427.45)</f>
        <v>2427.45</v>
      </c>
      <c r="C34" s="5">
        <f>IFERROR(__xludf.DUMMYFUNCTION("""COMPUTED_VALUE"""),2610.0)</f>
        <v>2610</v>
      </c>
      <c r="D34" s="5">
        <f>IFERROR(__xludf.DUMMYFUNCTION("""COMPUTED_VALUE"""),2370.2)</f>
        <v>2370.2</v>
      </c>
      <c r="E34" s="5">
        <f>IFERROR(__xludf.DUMMYFUNCTION("""COMPUTED_VALUE"""),2533.05)</f>
        <v>2533.05</v>
      </c>
      <c r="F34" s="5">
        <f>IFERROR(__xludf.DUMMYFUNCTION("""COMPUTED_VALUE"""),5408557.0)</f>
        <v>5408557</v>
      </c>
    </row>
    <row r="35">
      <c r="A35" s="6">
        <f>IFERROR(__xludf.DUMMYFUNCTION("""COMPUTED_VALUE"""),45415.64583333333)</f>
        <v>45415.64583</v>
      </c>
      <c r="B35" s="5">
        <f>IFERROR(__xludf.DUMMYFUNCTION("""COMPUTED_VALUE"""),2535.0)</f>
        <v>2535</v>
      </c>
      <c r="C35" s="5">
        <f>IFERROR(__xludf.DUMMYFUNCTION("""COMPUTED_VALUE"""),2564.0)</f>
        <v>2564</v>
      </c>
      <c r="D35" s="5">
        <f>IFERROR(__xludf.DUMMYFUNCTION("""COMPUTED_VALUE"""),2503.05)</f>
        <v>2503.05</v>
      </c>
      <c r="E35" s="5">
        <f>IFERROR(__xludf.DUMMYFUNCTION("""COMPUTED_VALUE"""),2531.4)</f>
        <v>2531.4</v>
      </c>
      <c r="F35" s="5">
        <f>IFERROR(__xludf.DUMMYFUNCTION("""COMPUTED_VALUE"""),2155967.0)</f>
        <v>2155967</v>
      </c>
    </row>
    <row r="36">
      <c r="A36" s="6">
        <f>IFERROR(__xludf.DUMMYFUNCTION("""COMPUTED_VALUE"""),45422.64583333333)</f>
        <v>45422.64583</v>
      </c>
      <c r="B36" s="5">
        <f>IFERROR(__xludf.DUMMYFUNCTION("""COMPUTED_VALUE"""),2546.0)</f>
        <v>2546</v>
      </c>
      <c r="C36" s="5">
        <f>IFERROR(__xludf.DUMMYFUNCTION("""COMPUTED_VALUE"""),2551.4)</f>
        <v>2551.4</v>
      </c>
      <c r="D36" s="5">
        <f>IFERROR(__xludf.DUMMYFUNCTION("""COMPUTED_VALUE"""),2355.45)</f>
        <v>2355.45</v>
      </c>
      <c r="E36" s="5">
        <f>IFERROR(__xludf.DUMMYFUNCTION("""COMPUTED_VALUE"""),2360.15)</f>
        <v>2360.15</v>
      </c>
      <c r="F36" s="5">
        <f>IFERROR(__xludf.DUMMYFUNCTION("""COMPUTED_VALUE"""),2325953.0)</f>
        <v>2325953</v>
      </c>
    </row>
    <row r="37">
      <c r="A37" s="6">
        <f>IFERROR(__xludf.DUMMYFUNCTION("""COMPUTED_VALUE"""),45436.64583333333)</f>
        <v>45436.64583</v>
      </c>
      <c r="B37" s="5">
        <f>IFERROR(__xludf.DUMMYFUNCTION("""COMPUTED_VALUE"""),2525.95)</f>
        <v>2525.95</v>
      </c>
      <c r="C37" s="5">
        <f>IFERROR(__xludf.DUMMYFUNCTION("""COMPUTED_VALUE"""),2662.8)</f>
        <v>2662.8</v>
      </c>
      <c r="D37" s="5">
        <f>IFERROR(__xludf.DUMMYFUNCTION("""COMPUTED_VALUE"""),2482.9)</f>
        <v>2482.9</v>
      </c>
      <c r="E37" s="5">
        <f>IFERROR(__xludf.DUMMYFUNCTION("""COMPUTED_VALUE"""),2609.25)</f>
        <v>2609.25</v>
      </c>
      <c r="F37" s="5">
        <f>IFERROR(__xludf.DUMMYFUNCTION("""COMPUTED_VALUE"""),2254716.0)</f>
        <v>2254716</v>
      </c>
    </row>
    <row r="38">
      <c r="A38" s="6">
        <f>IFERROR(__xludf.DUMMYFUNCTION("""COMPUTED_VALUE"""),45443.64583333333)</f>
        <v>45443.64583</v>
      </c>
      <c r="B38" s="5">
        <f>IFERROR(__xludf.DUMMYFUNCTION("""COMPUTED_VALUE"""),2615.0)</f>
        <v>2615</v>
      </c>
      <c r="C38" s="5">
        <f>IFERROR(__xludf.DUMMYFUNCTION("""COMPUTED_VALUE"""),2624.8)</f>
        <v>2624.8</v>
      </c>
      <c r="D38" s="5">
        <f>IFERROR(__xludf.DUMMYFUNCTION("""COMPUTED_VALUE"""),2485.05)</f>
        <v>2485.05</v>
      </c>
      <c r="E38" s="5">
        <f>IFERROR(__xludf.DUMMYFUNCTION("""COMPUTED_VALUE"""),2546.4)</f>
        <v>2546.4</v>
      </c>
      <c r="F38" s="5">
        <f>IFERROR(__xludf.DUMMYFUNCTION("""COMPUTED_VALUE"""),1962797.0)</f>
        <v>1962797</v>
      </c>
    </row>
    <row r="39">
      <c r="A39" s="6">
        <f>IFERROR(__xludf.DUMMYFUNCTION("""COMPUTED_VALUE"""),45450.64583333333)</f>
        <v>45450.64583</v>
      </c>
      <c r="B39" s="5">
        <f>IFERROR(__xludf.DUMMYFUNCTION("""COMPUTED_VALUE"""),2670.0)</f>
        <v>2670</v>
      </c>
      <c r="C39" s="5">
        <f>IFERROR(__xludf.DUMMYFUNCTION("""COMPUTED_VALUE"""),2702.7)</f>
        <v>2702.7</v>
      </c>
      <c r="D39" s="5">
        <f>IFERROR(__xludf.DUMMYFUNCTION("""COMPUTED_VALUE"""),2150.0)</f>
        <v>2150</v>
      </c>
      <c r="E39" s="5">
        <f>IFERROR(__xludf.DUMMYFUNCTION("""COMPUTED_VALUE"""),2499.1)</f>
        <v>2499.1</v>
      </c>
      <c r="F39" s="5">
        <f>IFERROR(__xludf.DUMMYFUNCTION("""COMPUTED_VALUE"""),3980439.0)</f>
        <v>3980439</v>
      </c>
    </row>
    <row r="40">
      <c r="A40" s="6">
        <f>IFERROR(__xludf.DUMMYFUNCTION("""COMPUTED_VALUE"""),45457.64583333333)</f>
        <v>45457.64583</v>
      </c>
      <c r="B40" s="5">
        <f>IFERROR(__xludf.DUMMYFUNCTION("""COMPUTED_VALUE"""),2519.45)</f>
        <v>2519.45</v>
      </c>
      <c r="C40" s="5">
        <f>IFERROR(__xludf.DUMMYFUNCTION("""COMPUTED_VALUE"""),2714.0)</f>
        <v>2714</v>
      </c>
      <c r="D40" s="5">
        <f>IFERROR(__xludf.DUMMYFUNCTION("""COMPUTED_VALUE"""),2499.1)</f>
        <v>2499.1</v>
      </c>
      <c r="E40" s="5">
        <f>IFERROR(__xludf.DUMMYFUNCTION("""COMPUTED_VALUE"""),2661.7)</f>
        <v>2661.7</v>
      </c>
      <c r="F40" s="5">
        <f>IFERROR(__xludf.DUMMYFUNCTION("""COMPUTED_VALUE"""),2724965.0)</f>
        <v>2724965</v>
      </c>
    </row>
    <row r="41">
      <c r="A41" s="6">
        <f>IFERROR(__xludf.DUMMYFUNCTION("""COMPUTED_VALUE"""),45464.64583333333)</f>
        <v>45464.64583</v>
      </c>
      <c r="B41" s="5">
        <f>IFERROR(__xludf.DUMMYFUNCTION("""COMPUTED_VALUE"""),2694.0)</f>
        <v>2694</v>
      </c>
      <c r="C41" s="5">
        <f>IFERROR(__xludf.DUMMYFUNCTION("""COMPUTED_VALUE"""),2694.55)</f>
        <v>2694.55</v>
      </c>
      <c r="D41" s="5">
        <f>IFERROR(__xludf.DUMMYFUNCTION("""COMPUTED_VALUE"""),2579.0)</f>
        <v>2579</v>
      </c>
      <c r="E41" s="5">
        <f>IFERROR(__xludf.DUMMYFUNCTION("""COMPUTED_VALUE"""),2590.2)</f>
        <v>2590.2</v>
      </c>
      <c r="F41" s="5">
        <f>IFERROR(__xludf.DUMMYFUNCTION("""COMPUTED_VALUE"""),1039533.0)</f>
        <v>1039533</v>
      </c>
    </row>
    <row r="42">
      <c r="A42" s="6">
        <f>IFERROR(__xludf.DUMMYFUNCTION("""COMPUTED_VALUE"""),45471.64583333333)</f>
        <v>45471.64583</v>
      </c>
      <c r="B42" s="5">
        <f>IFERROR(__xludf.DUMMYFUNCTION("""COMPUTED_VALUE"""),2585.0)</f>
        <v>2585</v>
      </c>
      <c r="C42" s="5">
        <f>IFERROR(__xludf.DUMMYFUNCTION("""COMPUTED_VALUE"""),2671.85)</f>
        <v>2671.85</v>
      </c>
      <c r="D42" s="5">
        <f>IFERROR(__xludf.DUMMYFUNCTION("""COMPUTED_VALUE"""),2519.05)</f>
        <v>2519.05</v>
      </c>
      <c r="E42" s="5">
        <f>IFERROR(__xludf.DUMMYFUNCTION("""COMPUTED_VALUE"""),2619.05)</f>
        <v>2619.05</v>
      </c>
      <c r="F42" s="5">
        <f>IFERROR(__xludf.DUMMYFUNCTION("""COMPUTED_VALUE"""),3341759.0)</f>
        <v>3341759</v>
      </c>
    </row>
    <row r="43">
      <c r="A43" s="6">
        <f>IFERROR(__xludf.DUMMYFUNCTION("""COMPUTED_VALUE"""),45478.64583333333)</f>
        <v>45478.64583</v>
      </c>
      <c r="B43" s="5">
        <f>IFERROR(__xludf.DUMMYFUNCTION("""COMPUTED_VALUE"""),2634.75)</f>
        <v>2634.75</v>
      </c>
      <c r="C43" s="5">
        <f>IFERROR(__xludf.DUMMYFUNCTION("""COMPUTED_VALUE"""),2844.0)</f>
        <v>2844</v>
      </c>
      <c r="D43" s="5">
        <f>IFERROR(__xludf.DUMMYFUNCTION("""COMPUTED_VALUE"""),2619.1)</f>
        <v>2619.1</v>
      </c>
      <c r="E43" s="5">
        <f>IFERROR(__xludf.DUMMYFUNCTION("""COMPUTED_VALUE"""),2669.5)</f>
        <v>2669.5</v>
      </c>
      <c r="F43" s="5">
        <f>IFERROR(__xludf.DUMMYFUNCTION("""COMPUTED_VALUE"""),3729039.0)</f>
        <v>3729039</v>
      </c>
    </row>
    <row r="44">
      <c r="A44" s="6">
        <f>IFERROR(__xludf.DUMMYFUNCTION("""COMPUTED_VALUE"""),45485.64583333333)</f>
        <v>45485.64583</v>
      </c>
      <c r="B44" s="5">
        <f>IFERROR(__xludf.DUMMYFUNCTION("""COMPUTED_VALUE"""),2670.1)</f>
        <v>2670.1</v>
      </c>
      <c r="C44" s="5">
        <f>IFERROR(__xludf.DUMMYFUNCTION("""COMPUTED_VALUE"""),2740.0)</f>
        <v>2740</v>
      </c>
      <c r="D44" s="5">
        <f>IFERROR(__xludf.DUMMYFUNCTION("""COMPUTED_VALUE"""),2586.5)</f>
        <v>2586.5</v>
      </c>
      <c r="E44" s="5">
        <f>IFERROR(__xludf.DUMMYFUNCTION("""COMPUTED_VALUE"""),2686.15)</f>
        <v>2686.15</v>
      </c>
      <c r="F44" s="5">
        <f>IFERROR(__xludf.DUMMYFUNCTION("""COMPUTED_VALUE"""),2172918.0)</f>
        <v>2172918</v>
      </c>
    </row>
    <row r="45">
      <c r="A45" s="6">
        <f>IFERROR(__xludf.DUMMYFUNCTION("""COMPUTED_VALUE"""),45492.64583333333)</f>
        <v>45492.64583</v>
      </c>
      <c r="B45" s="5">
        <f>IFERROR(__xludf.DUMMYFUNCTION("""COMPUTED_VALUE"""),2690.0)</f>
        <v>2690</v>
      </c>
      <c r="C45" s="5">
        <f>IFERROR(__xludf.DUMMYFUNCTION("""COMPUTED_VALUE"""),2744.25)</f>
        <v>2744.25</v>
      </c>
      <c r="D45" s="5">
        <f>IFERROR(__xludf.DUMMYFUNCTION("""COMPUTED_VALUE"""),2596.15)</f>
        <v>2596.15</v>
      </c>
      <c r="E45" s="5">
        <f>IFERROR(__xludf.DUMMYFUNCTION("""COMPUTED_VALUE"""),2619.8)</f>
        <v>2619.8</v>
      </c>
      <c r="F45" s="5">
        <f>IFERROR(__xludf.DUMMYFUNCTION("""COMPUTED_VALUE"""),1389155.0)</f>
        <v>1389155</v>
      </c>
    </row>
    <row r="46">
      <c r="A46" s="6">
        <f>IFERROR(__xludf.DUMMYFUNCTION("""COMPUTED_VALUE"""),45499.64583333333)</f>
        <v>45499.64583</v>
      </c>
      <c r="B46" s="5">
        <f>IFERROR(__xludf.DUMMYFUNCTION("""COMPUTED_VALUE"""),2621.0)</f>
        <v>2621</v>
      </c>
      <c r="C46" s="5">
        <f>IFERROR(__xludf.DUMMYFUNCTION("""COMPUTED_VALUE"""),2699.9)</f>
        <v>2699.9</v>
      </c>
      <c r="D46" s="5">
        <f>IFERROR(__xludf.DUMMYFUNCTION("""COMPUTED_VALUE"""),2556.8)</f>
        <v>2556.8</v>
      </c>
      <c r="E46" s="5">
        <f>IFERROR(__xludf.DUMMYFUNCTION("""COMPUTED_VALUE"""),2614.15)</f>
        <v>2614.15</v>
      </c>
      <c r="F46" s="5">
        <f>IFERROR(__xludf.DUMMYFUNCTION("""COMPUTED_VALUE"""),2036931.0)</f>
        <v>2036931</v>
      </c>
    </row>
    <row r="47">
      <c r="A47" s="6">
        <f>IFERROR(__xludf.DUMMYFUNCTION("""COMPUTED_VALUE"""),45506.64583333333)</f>
        <v>45506.64583</v>
      </c>
      <c r="B47" s="5">
        <f>IFERROR(__xludf.DUMMYFUNCTION("""COMPUTED_VALUE"""),2640.0)</f>
        <v>2640</v>
      </c>
      <c r="C47" s="5">
        <f>IFERROR(__xludf.DUMMYFUNCTION("""COMPUTED_VALUE"""),2691.9)</f>
        <v>2691.9</v>
      </c>
      <c r="D47" s="5">
        <f>IFERROR(__xludf.DUMMYFUNCTION("""COMPUTED_VALUE"""),2431.0)</f>
        <v>2431</v>
      </c>
      <c r="E47" s="5">
        <f>IFERROR(__xludf.DUMMYFUNCTION("""COMPUTED_VALUE"""),2435.3)</f>
        <v>2435.3</v>
      </c>
      <c r="F47" s="5">
        <f>IFERROR(__xludf.DUMMYFUNCTION("""COMPUTED_VALUE"""),4064642.0)</f>
        <v>4064642</v>
      </c>
    </row>
    <row r="48">
      <c r="A48" s="6">
        <f>IFERROR(__xludf.DUMMYFUNCTION("""COMPUTED_VALUE"""),45513.64583333333)</f>
        <v>45513.64583</v>
      </c>
      <c r="B48" s="5">
        <f>IFERROR(__xludf.DUMMYFUNCTION("""COMPUTED_VALUE"""),2415.0)</f>
        <v>2415</v>
      </c>
      <c r="C48" s="5">
        <f>IFERROR(__xludf.DUMMYFUNCTION("""COMPUTED_VALUE"""),2443.4)</f>
        <v>2443.4</v>
      </c>
      <c r="D48" s="5">
        <f>IFERROR(__xludf.DUMMYFUNCTION("""COMPUTED_VALUE"""),2336.0)</f>
        <v>2336</v>
      </c>
      <c r="E48" s="5">
        <f>IFERROR(__xludf.DUMMYFUNCTION("""COMPUTED_VALUE"""),2351.55)</f>
        <v>2351.55</v>
      </c>
      <c r="F48" s="5">
        <f>IFERROR(__xludf.DUMMYFUNCTION("""COMPUTED_VALUE"""),1863005.0)</f>
        <v>1863005</v>
      </c>
    </row>
    <row r="49">
      <c r="A49" s="6">
        <f>IFERROR(__xludf.DUMMYFUNCTION("""COMPUTED_VALUE"""),45520.64583333333)</f>
        <v>45520.64583</v>
      </c>
      <c r="B49" s="5">
        <f>IFERROR(__xludf.DUMMYFUNCTION("""COMPUTED_VALUE"""),2315.0)</f>
        <v>2315</v>
      </c>
      <c r="C49" s="5">
        <f>IFERROR(__xludf.DUMMYFUNCTION("""COMPUTED_VALUE"""),2366.2)</f>
        <v>2366.2</v>
      </c>
      <c r="D49" s="5">
        <f>IFERROR(__xludf.DUMMYFUNCTION("""COMPUTED_VALUE"""),2267.7)</f>
        <v>2267.7</v>
      </c>
      <c r="E49" s="5">
        <f>IFERROR(__xludf.DUMMYFUNCTION("""COMPUTED_VALUE"""),2337.9)</f>
        <v>2337.9</v>
      </c>
      <c r="F49" s="5">
        <f>IFERROR(__xludf.DUMMYFUNCTION("""COMPUTED_VALUE"""),1324799.0)</f>
        <v>1324799</v>
      </c>
    </row>
    <row r="50">
      <c r="A50" s="6">
        <f>IFERROR(__xludf.DUMMYFUNCTION("""COMPUTED_VALUE"""),45527.64583333333)</f>
        <v>45527.64583</v>
      </c>
      <c r="B50" s="5">
        <f>IFERROR(__xludf.DUMMYFUNCTION("""COMPUTED_VALUE"""),2349.0)</f>
        <v>2349</v>
      </c>
      <c r="C50" s="5">
        <f>IFERROR(__xludf.DUMMYFUNCTION("""COMPUTED_VALUE"""),2377.95)</f>
        <v>2377.95</v>
      </c>
      <c r="D50" s="5">
        <f>IFERROR(__xludf.DUMMYFUNCTION("""COMPUTED_VALUE"""),2312.65)</f>
        <v>2312.65</v>
      </c>
      <c r="E50" s="5">
        <f>IFERROR(__xludf.DUMMYFUNCTION("""COMPUTED_VALUE"""),2323.75)</f>
        <v>2323.75</v>
      </c>
      <c r="F50" s="5">
        <f>IFERROR(__xludf.DUMMYFUNCTION("""COMPUTED_VALUE"""),1500791.0)</f>
        <v>1500791</v>
      </c>
    </row>
    <row r="51">
      <c r="A51" s="6">
        <f>IFERROR(__xludf.DUMMYFUNCTION("""COMPUTED_VALUE"""),45534.64583333333)</f>
        <v>45534.64583</v>
      </c>
      <c r="B51" s="5">
        <f>IFERROR(__xludf.DUMMYFUNCTION("""COMPUTED_VALUE"""),2344.0)</f>
        <v>2344</v>
      </c>
      <c r="C51" s="5">
        <f>IFERROR(__xludf.DUMMYFUNCTION("""COMPUTED_VALUE"""),2358.0)</f>
        <v>2358</v>
      </c>
      <c r="D51" s="5">
        <f>IFERROR(__xludf.DUMMYFUNCTION("""COMPUTED_VALUE"""),2286.7)</f>
        <v>2286.7</v>
      </c>
      <c r="E51" s="5">
        <f>IFERROR(__xludf.DUMMYFUNCTION("""COMPUTED_VALUE"""),2329.15)</f>
        <v>2329.15</v>
      </c>
      <c r="F51" s="5">
        <f>IFERROR(__xludf.DUMMYFUNCTION("""COMPUTED_VALUE"""),1200993.0)</f>
        <v>1200993</v>
      </c>
    </row>
    <row r="52">
      <c r="A52" s="6">
        <f>IFERROR(__xludf.DUMMYFUNCTION("""COMPUTED_VALUE"""),45541.64583333333)</f>
        <v>45541.64583</v>
      </c>
      <c r="B52" s="5">
        <f>IFERROR(__xludf.DUMMYFUNCTION("""COMPUTED_VALUE"""),2338.8)</f>
        <v>2338.8</v>
      </c>
      <c r="C52" s="5">
        <f>IFERROR(__xludf.DUMMYFUNCTION("""COMPUTED_VALUE"""),2449.9)</f>
        <v>2449.9</v>
      </c>
      <c r="D52" s="5">
        <f>IFERROR(__xludf.DUMMYFUNCTION("""COMPUTED_VALUE"""),2318.0)</f>
        <v>2318</v>
      </c>
      <c r="E52" s="5">
        <f>IFERROR(__xludf.DUMMYFUNCTION("""COMPUTED_VALUE"""),2429.4)</f>
        <v>2429.4</v>
      </c>
      <c r="F52" s="5">
        <f>IFERROR(__xludf.DUMMYFUNCTION("""COMPUTED_VALUE"""),2864822.0)</f>
        <v>2864822</v>
      </c>
    </row>
    <row r="53">
      <c r="A53" s="6">
        <f>IFERROR(__xludf.DUMMYFUNCTION("""COMPUTED_VALUE"""),45548.64583333333)</f>
        <v>45548.64583</v>
      </c>
      <c r="B53" s="5">
        <f>IFERROR(__xludf.DUMMYFUNCTION("""COMPUTED_VALUE"""),2434.35)</f>
        <v>2434.35</v>
      </c>
      <c r="C53" s="5">
        <f>IFERROR(__xludf.DUMMYFUNCTION("""COMPUTED_VALUE"""),2524.95)</f>
        <v>2524.95</v>
      </c>
      <c r="D53" s="5">
        <f>IFERROR(__xludf.DUMMYFUNCTION("""COMPUTED_VALUE"""),2387.4)</f>
        <v>2387.4</v>
      </c>
      <c r="E53" s="5">
        <f>IFERROR(__xludf.DUMMYFUNCTION("""COMPUTED_VALUE"""),2517.45)</f>
        <v>2517.45</v>
      </c>
      <c r="F53" s="5">
        <f>IFERROR(__xludf.DUMMYFUNCTION("""COMPUTED_VALUE"""),1983455.0)</f>
        <v>1983455</v>
      </c>
    </row>
    <row r="54">
      <c r="A54" s="6">
        <f>IFERROR(__xludf.DUMMYFUNCTION("""COMPUTED_VALUE"""),45555.64583333333)</f>
        <v>45555.64583</v>
      </c>
      <c r="B54" s="5">
        <f>IFERROR(__xludf.DUMMYFUNCTION("""COMPUTED_VALUE"""),2517.45)</f>
        <v>2517.45</v>
      </c>
      <c r="C54" s="5">
        <f>IFERROR(__xludf.DUMMYFUNCTION("""COMPUTED_VALUE"""),2533.5)</f>
        <v>2533.5</v>
      </c>
      <c r="D54" s="5">
        <f>IFERROR(__xludf.DUMMYFUNCTION("""COMPUTED_VALUE"""),2413.4)</f>
        <v>2413.4</v>
      </c>
      <c r="E54" s="5">
        <f>IFERROR(__xludf.DUMMYFUNCTION("""COMPUTED_VALUE"""),2443.2)</f>
        <v>2443.2</v>
      </c>
      <c r="F54" s="5">
        <f>IFERROR(__xludf.DUMMYFUNCTION("""COMPUTED_VALUE"""),1486130.0)</f>
        <v>1486130</v>
      </c>
    </row>
    <row r="55">
      <c r="A55" s="6">
        <f>IFERROR(__xludf.DUMMYFUNCTION("""COMPUTED_VALUE"""),45562.64583333333)</f>
        <v>45562.64583</v>
      </c>
      <c r="B55" s="5">
        <f>IFERROR(__xludf.DUMMYFUNCTION("""COMPUTED_VALUE"""),2458.4)</f>
        <v>2458.4</v>
      </c>
      <c r="C55" s="5">
        <f>IFERROR(__xludf.DUMMYFUNCTION("""COMPUTED_VALUE"""),2514.85)</f>
        <v>2514.85</v>
      </c>
      <c r="D55" s="5">
        <f>IFERROR(__xludf.DUMMYFUNCTION("""COMPUTED_VALUE"""),2427.5)</f>
        <v>2427.5</v>
      </c>
      <c r="E55" s="5">
        <f>IFERROR(__xludf.DUMMYFUNCTION("""COMPUTED_VALUE"""),2483.3)</f>
        <v>2483.3</v>
      </c>
      <c r="F55" s="5">
        <f>IFERROR(__xludf.DUMMYFUNCTION("""COMPUTED_VALUE"""),1614353.0)</f>
        <v>1614353</v>
      </c>
    </row>
    <row r="56">
      <c r="A56" s="6">
        <f>IFERROR(__xludf.DUMMYFUNCTION("""COMPUTED_VALUE"""),45569.64583333333)</f>
        <v>45569.64583</v>
      </c>
      <c r="B56" s="5">
        <f>IFERROR(__xludf.DUMMYFUNCTION("""COMPUTED_VALUE"""),2483.0)</f>
        <v>2483</v>
      </c>
      <c r="C56" s="5">
        <f>IFERROR(__xludf.DUMMYFUNCTION("""COMPUTED_VALUE"""),2544.9)</f>
        <v>2544.9</v>
      </c>
      <c r="D56" s="5">
        <f>IFERROR(__xludf.DUMMYFUNCTION("""COMPUTED_VALUE"""),2415.05)</f>
        <v>2415.05</v>
      </c>
      <c r="E56" s="5">
        <f>IFERROR(__xludf.DUMMYFUNCTION("""COMPUTED_VALUE"""),2433.75)</f>
        <v>2433.75</v>
      </c>
      <c r="F56" s="5">
        <f>IFERROR(__xludf.DUMMYFUNCTION("""COMPUTED_VALUE"""),1205133.0)</f>
        <v>1205133</v>
      </c>
    </row>
    <row r="57">
      <c r="A57" s="6">
        <f>IFERROR(__xludf.DUMMYFUNCTION("""COMPUTED_VALUE"""),45576.64583333333)</f>
        <v>45576.64583</v>
      </c>
      <c r="B57" s="5">
        <f>IFERROR(__xludf.DUMMYFUNCTION("""COMPUTED_VALUE"""),2441.95)</f>
        <v>2441.95</v>
      </c>
      <c r="C57" s="5">
        <f>IFERROR(__xludf.DUMMYFUNCTION("""COMPUTED_VALUE"""),2449.5)</f>
        <v>2449.5</v>
      </c>
      <c r="D57" s="5">
        <f>IFERROR(__xludf.DUMMYFUNCTION("""COMPUTED_VALUE"""),2290.0)</f>
        <v>2290</v>
      </c>
      <c r="E57" s="5">
        <f>IFERROR(__xludf.DUMMYFUNCTION("""COMPUTED_VALUE"""),2312.45)</f>
        <v>2312.45</v>
      </c>
      <c r="F57" s="5">
        <f>IFERROR(__xludf.DUMMYFUNCTION("""COMPUTED_VALUE"""),1804782.0)</f>
        <v>1804782</v>
      </c>
    </row>
    <row r="58">
      <c r="A58" s="6">
        <f>IFERROR(__xludf.DUMMYFUNCTION("""COMPUTED_VALUE"""),45583.64583333333)</f>
        <v>45583.64583</v>
      </c>
      <c r="B58" s="5">
        <f>IFERROR(__xludf.DUMMYFUNCTION("""COMPUTED_VALUE"""),2317.05)</f>
        <v>2317.05</v>
      </c>
      <c r="C58" s="5">
        <f>IFERROR(__xludf.DUMMYFUNCTION("""COMPUTED_VALUE"""),2330.45)</f>
        <v>2330.45</v>
      </c>
      <c r="D58" s="5">
        <f>IFERROR(__xludf.DUMMYFUNCTION("""COMPUTED_VALUE"""),2236.15)</f>
        <v>2236.15</v>
      </c>
      <c r="E58" s="5">
        <f>IFERROR(__xludf.DUMMYFUNCTION("""COMPUTED_VALUE"""),2285.65)</f>
        <v>2285.65</v>
      </c>
      <c r="F58" s="5">
        <f>IFERROR(__xludf.DUMMYFUNCTION("""COMPUTED_VALUE"""),1195795.0)</f>
        <v>1195795</v>
      </c>
    </row>
    <row r="59">
      <c r="A59" s="6">
        <f>IFERROR(__xludf.DUMMYFUNCTION("""COMPUTED_VALUE"""),45590.64583333333)</f>
        <v>45590.64583</v>
      </c>
      <c r="B59" s="5">
        <f>IFERROR(__xludf.DUMMYFUNCTION("""COMPUTED_VALUE"""),2300.0)</f>
        <v>2300</v>
      </c>
      <c r="C59" s="5">
        <f>IFERROR(__xludf.DUMMYFUNCTION("""COMPUTED_VALUE"""),2329.9)</f>
        <v>2329.9</v>
      </c>
      <c r="D59" s="5">
        <f>IFERROR(__xludf.DUMMYFUNCTION("""COMPUTED_VALUE"""),2187.55)</f>
        <v>2187.55</v>
      </c>
      <c r="E59" s="5">
        <f>IFERROR(__xludf.DUMMYFUNCTION("""COMPUTED_VALUE"""),2237.8)</f>
        <v>2237.8</v>
      </c>
      <c r="F59" s="5">
        <f>IFERROR(__xludf.DUMMYFUNCTION("""COMPUTED_VALUE"""),2173818.0)</f>
        <v>2173818</v>
      </c>
    </row>
    <row r="60">
      <c r="A60" s="6">
        <f>IFERROR(__xludf.DUMMYFUNCTION("""COMPUTED_VALUE"""),45604.64583333333)</f>
        <v>45604.64583</v>
      </c>
      <c r="B60" s="5">
        <f>IFERROR(__xludf.DUMMYFUNCTION("""COMPUTED_VALUE"""),2327.9)</f>
        <v>2327.9</v>
      </c>
      <c r="C60" s="5">
        <f>IFERROR(__xludf.DUMMYFUNCTION("""COMPUTED_VALUE"""),2367.0)</f>
        <v>2367</v>
      </c>
      <c r="D60" s="5">
        <f>IFERROR(__xludf.DUMMYFUNCTION("""COMPUTED_VALUE"""),2276.0)</f>
        <v>2276</v>
      </c>
      <c r="E60" s="5">
        <f>IFERROR(__xludf.DUMMYFUNCTION("""COMPUTED_VALUE"""),2291.4)</f>
        <v>2291.4</v>
      </c>
      <c r="F60" s="5">
        <f>IFERROR(__xludf.DUMMYFUNCTION("""COMPUTED_VALUE"""),835991.0)</f>
        <v>835991</v>
      </c>
    </row>
    <row r="61">
      <c r="A61" s="6">
        <f>IFERROR(__xludf.DUMMYFUNCTION("""COMPUTED_VALUE"""),45610.64583333333)</f>
        <v>45610.64583</v>
      </c>
      <c r="B61" s="5">
        <f>IFERROR(__xludf.DUMMYFUNCTION("""COMPUTED_VALUE"""),2288.0)</f>
        <v>2288</v>
      </c>
      <c r="C61" s="5">
        <f>IFERROR(__xludf.DUMMYFUNCTION("""COMPUTED_VALUE"""),2295.85)</f>
        <v>2295.85</v>
      </c>
      <c r="D61" s="5">
        <f>IFERROR(__xludf.DUMMYFUNCTION("""COMPUTED_VALUE"""),2178.05)</f>
        <v>2178.05</v>
      </c>
      <c r="E61" s="5">
        <f>IFERROR(__xludf.DUMMYFUNCTION("""COMPUTED_VALUE"""),2188.15)</f>
        <v>2188.15</v>
      </c>
      <c r="F61" s="5">
        <f>IFERROR(__xludf.DUMMYFUNCTION("""COMPUTED_VALUE"""),563374.0)</f>
        <v>563374</v>
      </c>
    </row>
    <row r="62">
      <c r="A62" s="6">
        <f>IFERROR(__xludf.DUMMYFUNCTION("""COMPUTED_VALUE"""),45618.64583333333)</f>
        <v>45618.64583</v>
      </c>
      <c r="B62" s="5">
        <f>IFERROR(__xludf.DUMMYFUNCTION("""COMPUTED_VALUE"""),2200.0)</f>
        <v>2200</v>
      </c>
      <c r="C62" s="5">
        <f>IFERROR(__xludf.DUMMYFUNCTION("""COMPUTED_VALUE"""),2231.55)</f>
        <v>2231.55</v>
      </c>
      <c r="D62" s="5">
        <f>IFERROR(__xludf.DUMMYFUNCTION("""COMPUTED_VALUE"""),1868.2)</f>
        <v>1868.2</v>
      </c>
      <c r="E62" s="5">
        <f>IFERROR(__xludf.DUMMYFUNCTION("""COMPUTED_VALUE"""),2089.6)</f>
        <v>2089.6</v>
      </c>
      <c r="F62" s="5">
        <f>IFERROR(__xludf.DUMMYFUNCTION("""COMPUTED_VALUE"""),4897502.0)</f>
        <v>4897502</v>
      </c>
    </row>
    <row r="63">
      <c r="A63" s="6">
        <f>IFERROR(__xludf.DUMMYFUNCTION("""COMPUTED_VALUE"""),45625.64583333333)</f>
        <v>45625.64583</v>
      </c>
      <c r="B63" s="5">
        <f>IFERROR(__xludf.DUMMYFUNCTION("""COMPUTED_VALUE"""),2130.05)</f>
        <v>2130.05</v>
      </c>
      <c r="C63" s="5">
        <f>IFERROR(__xludf.DUMMYFUNCTION("""COMPUTED_VALUE"""),2238.4)</f>
        <v>2238.4</v>
      </c>
      <c r="D63" s="5">
        <f>IFERROR(__xludf.DUMMYFUNCTION("""COMPUTED_VALUE"""),2094.95)</f>
        <v>2094.95</v>
      </c>
      <c r="E63" s="5">
        <f>IFERROR(__xludf.DUMMYFUNCTION("""COMPUTED_VALUE"""),2222.55)</f>
        <v>2222.55</v>
      </c>
      <c r="F63" s="5">
        <f>IFERROR(__xludf.DUMMYFUNCTION("""COMPUTED_VALUE"""),2755199.0)</f>
        <v>2755199</v>
      </c>
    </row>
    <row r="64">
      <c r="A64" s="6">
        <f>IFERROR(__xludf.DUMMYFUNCTION("""COMPUTED_VALUE"""),45632.64583333333)</f>
        <v>45632.64583</v>
      </c>
      <c r="B64" s="5">
        <f>IFERROR(__xludf.DUMMYFUNCTION("""COMPUTED_VALUE"""),2239.9)</f>
        <v>2239.9</v>
      </c>
      <c r="C64" s="5">
        <f>IFERROR(__xludf.DUMMYFUNCTION("""COMPUTED_VALUE"""),2314.9)</f>
        <v>2314.9</v>
      </c>
      <c r="D64" s="5">
        <f>IFERROR(__xludf.DUMMYFUNCTION("""COMPUTED_VALUE"""),2212.35)</f>
        <v>2212.35</v>
      </c>
      <c r="E64" s="5">
        <f>IFERROR(__xludf.DUMMYFUNCTION("""COMPUTED_VALUE"""),2258.35)</f>
        <v>2258.35</v>
      </c>
      <c r="F64" s="5">
        <f>IFERROR(__xludf.DUMMYFUNCTION("""COMPUTED_VALUE"""),2200677.0)</f>
        <v>2200677</v>
      </c>
    </row>
    <row r="65">
      <c r="A65" s="6">
        <f>IFERROR(__xludf.DUMMYFUNCTION("""COMPUTED_VALUE"""),45639.64583333333)</f>
        <v>45639.64583</v>
      </c>
      <c r="B65" s="5">
        <f>IFERROR(__xludf.DUMMYFUNCTION("""COMPUTED_VALUE"""),2258.35)</f>
        <v>2258.35</v>
      </c>
      <c r="C65" s="5">
        <f>IFERROR(__xludf.DUMMYFUNCTION("""COMPUTED_VALUE"""),2295.0)</f>
        <v>2295</v>
      </c>
      <c r="D65" s="5">
        <f>IFERROR(__xludf.DUMMYFUNCTION("""COMPUTED_VALUE"""),2195.0)</f>
        <v>2195</v>
      </c>
      <c r="E65" s="5">
        <f>IFERROR(__xludf.DUMMYFUNCTION("""COMPUTED_VALUE"""),2248.05)</f>
        <v>2248.05</v>
      </c>
      <c r="F65" s="5">
        <f>IFERROR(__xludf.DUMMYFUNCTION("""COMPUTED_VALUE"""),1385148.0)</f>
        <v>1385148</v>
      </c>
    </row>
    <row r="66">
      <c r="A66" s="6">
        <f>IFERROR(__xludf.DUMMYFUNCTION("""COMPUTED_VALUE"""),45646.64583333333)</f>
        <v>45646.64583</v>
      </c>
      <c r="B66" s="5">
        <f>IFERROR(__xludf.DUMMYFUNCTION("""COMPUTED_VALUE"""),2253.0)</f>
        <v>2253</v>
      </c>
      <c r="C66" s="5">
        <f>IFERROR(__xludf.DUMMYFUNCTION("""COMPUTED_VALUE"""),2268.9)</f>
        <v>2268.9</v>
      </c>
      <c r="D66" s="5">
        <f>IFERROR(__xludf.DUMMYFUNCTION("""COMPUTED_VALUE"""),2051.2)</f>
        <v>2051.2</v>
      </c>
      <c r="E66" s="5">
        <f>IFERROR(__xludf.DUMMYFUNCTION("""COMPUTED_VALUE"""),2063.65)</f>
        <v>2063.65</v>
      </c>
      <c r="F66" s="5">
        <f>IFERROR(__xludf.DUMMYFUNCTION("""COMPUTED_VALUE"""),1353226.0)</f>
        <v>1353226</v>
      </c>
    </row>
    <row r="67">
      <c r="A67" s="6">
        <f>IFERROR(__xludf.DUMMYFUNCTION("""COMPUTED_VALUE"""),45653.64583333333)</f>
        <v>45653.64583</v>
      </c>
      <c r="B67" s="5">
        <f>IFERROR(__xludf.DUMMYFUNCTION("""COMPUTED_VALUE"""),2080.0)</f>
        <v>2080</v>
      </c>
      <c r="C67" s="5">
        <f>IFERROR(__xludf.DUMMYFUNCTION("""COMPUTED_VALUE"""),2109.8)</f>
        <v>2109.8</v>
      </c>
      <c r="D67" s="5">
        <f>IFERROR(__xludf.DUMMYFUNCTION("""COMPUTED_VALUE"""),2051.05)</f>
        <v>2051.05</v>
      </c>
      <c r="E67" s="5">
        <f>IFERROR(__xludf.DUMMYFUNCTION("""COMPUTED_VALUE"""),2065.6)</f>
        <v>2065.6</v>
      </c>
      <c r="F67" s="5">
        <f>IFERROR(__xludf.DUMMYFUNCTION("""COMPUTED_VALUE"""),603463.0)</f>
        <v>603463</v>
      </c>
    </row>
    <row r="68">
      <c r="A68" s="6">
        <f>IFERROR(__xludf.DUMMYFUNCTION("""COMPUTED_VALUE"""),45660.64583333333)</f>
        <v>45660.64583</v>
      </c>
      <c r="B68" s="5">
        <f>IFERROR(__xludf.DUMMYFUNCTION("""COMPUTED_VALUE"""),2065.6)</f>
        <v>2065.6</v>
      </c>
      <c r="C68" s="5">
        <f>IFERROR(__xludf.DUMMYFUNCTION("""COMPUTED_VALUE"""),2106.95)</f>
        <v>2106.95</v>
      </c>
      <c r="D68" s="5">
        <f>IFERROR(__xludf.DUMMYFUNCTION("""COMPUTED_VALUE"""),2030.4)</f>
        <v>2030.4</v>
      </c>
      <c r="E68" s="5">
        <f>IFERROR(__xludf.DUMMYFUNCTION("""COMPUTED_VALUE"""),2054.95)</f>
        <v>2054.95</v>
      </c>
      <c r="F68" s="5">
        <f>IFERROR(__xludf.DUMMYFUNCTION("""COMPUTED_VALUE"""),1036672.0)</f>
        <v>1036672</v>
      </c>
    </row>
    <row r="69">
      <c r="A69" s="6">
        <f>IFERROR(__xludf.DUMMYFUNCTION("""COMPUTED_VALUE"""),45667.64583333333)</f>
        <v>45667.64583</v>
      </c>
      <c r="B69" s="5">
        <f>IFERROR(__xludf.DUMMYFUNCTION("""COMPUTED_VALUE"""),2060.3)</f>
        <v>2060.3</v>
      </c>
      <c r="C69" s="5">
        <f>IFERROR(__xludf.DUMMYFUNCTION("""COMPUTED_VALUE"""),2060.85)</f>
        <v>2060.85</v>
      </c>
      <c r="D69" s="5">
        <f>IFERROR(__xludf.DUMMYFUNCTION("""COMPUTED_VALUE"""),1924.15)</f>
        <v>1924.15</v>
      </c>
      <c r="E69" s="5">
        <f>IFERROR(__xludf.DUMMYFUNCTION("""COMPUTED_VALUE"""),1931.05)</f>
        <v>1931.05</v>
      </c>
      <c r="F69" s="5">
        <f>IFERROR(__xludf.DUMMYFUNCTION("""COMPUTED_VALUE"""),1401449.0)</f>
        <v>1401449</v>
      </c>
    </row>
    <row r="70">
      <c r="A70" s="6">
        <f>IFERROR(__xludf.DUMMYFUNCTION("""COMPUTED_VALUE"""),45674.64583333333)</f>
        <v>45674.64583</v>
      </c>
      <c r="B70" s="5">
        <f>IFERROR(__xludf.DUMMYFUNCTION("""COMPUTED_VALUE"""),1925.0)</f>
        <v>1925</v>
      </c>
      <c r="C70" s="5">
        <f>IFERROR(__xludf.DUMMYFUNCTION("""COMPUTED_VALUE"""),2054.65)</f>
        <v>2054.65</v>
      </c>
      <c r="D70" s="5">
        <f>IFERROR(__xludf.DUMMYFUNCTION("""COMPUTED_VALUE"""),1838.6)</f>
        <v>1838.6</v>
      </c>
      <c r="E70" s="5">
        <f>IFERROR(__xludf.DUMMYFUNCTION("""COMPUTED_VALUE"""),2014.9)</f>
        <v>2014.9</v>
      </c>
      <c r="F70" s="5">
        <f>IFERROR(__xludf.DUMMYFUNCTION("""COMPUTED_VALUE"""),1750375.0)</f>
        <v>1750375</v>
      </c>
    </row>
    <row r="71">
      <c r="A71" s="6">
        <f>IFERROR(__xludf.DUMMYFUNCTION("""COMPUTED_VALUE"""),45681.64583333333)</f>
        <v>45681.64583</v>
      </c>
      <c r="B71" s="5">
        <f>IFERROR(__xludf.DUMMYFUNCTION("""COMPUTED_VALUE"""),2015.9)</f>
        <v>2015.9</v>
      </c>
      <c r="C71" s="5">
        <f>IFERROR(__xludf.DUMMYFUNCTION("""COMPUTED_VALUE"""),2065.5)</f>
        <v>2065.5</v>
      </c>
      <c r="D71" s="5">
        <f>IFERROR(__xludf.DUMMYFUNCTION("""COMPUTED_VALUE"""),1970.0)</f>
        <v>1970</v>
      </c>
      <c r="E71" s="5">
        <f>IFERROR(__xludf.DUMMYFUNCTION("""COMPUTED_VALUE"""),2058.95)</f>
        <v>2058.95</v>
      </c>
      <c r="F71" s="5">
        <f>IFERROR(__xludf.DUMMYFUNCTION("""COMPUTED_VALUE"""),1244968.0)</f>
        <v>1244968</v>
      </c>
    </row>
    <row r="72">
      <c r="A72" s="6">
        <f>IFERROR(__xludf.DUMMYFUNCTION("""COMPUTED_VALUE"""),45695.64583333333)</f>
        <v>45695.64583</v>
      </c>
      <c r="B72" s="5">
        <f>IFERROR(__xludf.DUMMYFUNCTION("""COMPUTED_VALUE"""),1990.0)</f>
        <v>1990</v>
      </c>
      <c r="C72" s="5">
        <f>IFERROR(__xludf.DUMMYFUNCTION("""COMPUTED_VALUE"""),2064.65)</f>
        <v>2064.65</v>
      </c>
      <c r="D72" s="5">
        <f>IFERROR(__xludf.DUMMYFUNCTION("""COMPUTED_VALUE"""),1954.55)</f>
        <v>1954.55</v>
      </c>
      <c r="E72" s="5">
        <f>IFERROR(__xludf.DUMMYFUNCTION("""COMPUTED_VALUE"""),1999.1)</f>
        <v>1999.1</v>
      </c>
      <c r="F72" s="5">
        <f>IFERROR(__xludf.DUMMYFUNCTION("""COMPUTED_VALUE"""),1335247.0)</f>
        <v>1335247</v>
      </c>
    </row>
    <row r="73">
      <c r="A73" s="6">
        <f>IFERROR(__xludf.DUMMYFUNCTION("""COMPUTED_VALUE"""),45702.64583333333)</f>
        <v>45702.64583</v>
      </c>
      <c r="B73" s="5">
        <f>IFERROR(__xludf.DUMMYFUNCTION("""COMPUTED_VALUE"""),2007.0)</f>
        <v>2007</v>
      </c>
      <c r="C73" s="5">
        <f>IFERROR(__xludf.DUMMYFUNCTION("""COMPUTED_VALUE"""),2008.9)</f>
        <v>2008.9</v>
      </c>
      <c r="D73" s="5">
        <f>IFERROR(__xludf.DUMMYFUNCTION("""COMPUTED_VALUE"""),1854.05)</f>
        <v>1854.05</v>
      </c>
      <c r="E73" s="5">
        <f>IFERROR(__xludf.DUMMYFUNCTION("""COMPUTED_VALUE"""),1873.95)</f>
        <v>1873.95</v>
      </c>
      <c r="F73" s="5">
        <f>IFERROR(__xludf.DUMMYFUNCTION("""COMPUTED_VALUE"""),830267.0)</f>
        <v>830267</v>
      </c>
    </row>
    <row r="74">
      <c r="A74" s="6">
        <f>IFERROR(__xludf.DUMMYFUNCTION("""COMPUTED_VALUE"""),45709.64583333333)</f>
        <v>45709.64583</v>
      </c>
      <c r="B74" s="5">
        <f>IFERROR(__xludf.DUMMYFUNCTION("""COMPUTED_VALUE"""),1873.95)</f>
        <v>1873.95</v>
      </c>
      <c r="C74" s="5">
        <f>IFERROR(__xludf.DUMMYFUNCTION("""COMPUTED_VALUE"""),1916.0)</f>
        <v>1916</v>
      </c>
      <c r="D74" s="5">
        <f>IFERROR(__xludf.DUMMYFUNCTION("""COMPUTED_VALUE"""),1820.6)</f>
        <v>1820.6</v>
      </c>
      <c r="E74" s="5">
        <f>IFERROR(__xludf.DUMMYFUNCTION("""COMPUTED_VALUE"""),1884.0)</f>
        <v>1884</v>
      </c>
      <c r="F74" s="5">
        <f>IFERROR(__xludf.DUMMYFUNCTION("""COMPUTED_VALUE"""),1883280.0)</f>
        <v>1883280</v>
      </c>
    </row>
    <row r="75">
      <c r="A75" s="6">
        <f>IFERROR(__xludf.DUMMYFUNCTION("""COMPUTED_VALUE"""),45716.64583333333)</f>
        <v>45716.64583</v>
      </c>
      <c r="B75" s="5">
        <f>IFERROR(__xludf.DUMMYFUNCTION("""COMPUTED_VALUE"""),1881.0)</f>
        <v>1881</v>
      </c>
      <c r="C75" s="5">
        <f>IFERROR(__xludf.DUMMYFUNCTION("""COMPUTED_VALUE"""),1886.45)</f>
        <v>1886.45</v>
      </c>
      <c r="D75" s="5">
        <f>IFERROR(__xludf.DUMMYFUNCTION("""COMPUTED_VALUE"""),1796.0)</f>
        <v>1796</v>
      </c>
      <c r="E75" s="5">
        <f>IFERROR(__xludf.DUMMYFUNCTION("""COMPUTED_VALUE"""),1818.55)</f>
        <v>1818.55</v>
      </c>
      <c r="F75" s="5">
        <f>IFERROR(__xludf.DUMMYFUNCTION("""COMPUTED_VALUE"""),809439.0)</f>
        <v>809439</v>
      </c>
    </row>
    <row r="76">
      <c r="A76" s="6">
        <f>IFERROR(__xludf.DUMMYFUNCTION("""COMPUTED_VALUE"""),45723.64583333333)</f>
        <v>45723.64583</v>
      </c>
      <c r="B76" s="5">
        <f>IFERROR(__xludf.DUMMYFUNCTION("""COMPUTED_VALUE"""),1818.55)</f>
        <v>1818.55</v>
      </c>
      <c r="C76" s="5">
        <f>IFERROR(__xludf.DUMMYFUNCTION("""COMPUTED_VALUE"""),1898.7)</f>
        <v>1898.7</v>
      </c>
      <c r="D76" s="5">
        <f>IFERROR(__xludf.DUMMYFUNCTION("""COMPUTED_VALUE"""),1778.45)</f>
        <v>1778.45</v>
      </c>
      <c r="E76" s="5">
        <f>IFERROR(__xludf.DUMMYFUNCTION("""COMPUTED_VALUE"""),1885.75)</f>
        <v>1885.75</v>
      </c>
      <c r="F76" s="5">
        <f>IFERROR(__xludf.DUMMYFUNCTION("""COMPUTED_VALUE"""),1308674.0)</f>
        <v>1308674</v>
      </c>
    </row>
    <row r="77">
      <c r="A77" s="6">
        <f>IFERROR(__xludf.DUMMYFUNCTION("""COMPUTED_VALUE"""),45729.64583333333)</f>
        <v>45729.64583</v>
      </c>
      <c r="B77" s="5">
        <f>IFERROR(__xludf.DUMMYFUNCTION("""COMPUTED_VALUE"""),1887.95)</f>
        <v>1887.95</v>
      </c>
      <c r="C77" s="5">
        <f>IFERROR(__xludf.DUMMYFUNCTION("""COMPUTED_VALUE"""),1918.0)</f>
        <v>1918</v>
      </c>
      <c r="D77" s="5">
        <f>IFERROR(__xludf.DUMMYFUNCTION("""COMPUTED_VALUE"""),1826.0)</f>
        <v>1826</v>
      </c>
      <c r="E77" s="5">
        <f>IFERROR(__xludf.DUMMYFUNCTION("""COMPUTED_VALUE"""),1854.0)</f>
        <v>1854</v>
      </c>
      <c r="F77" s="5">
        <f>IFERROR(__xludf.DUMMYFUNCTION("""COMPUTED_VALUE"""),1363473.0)</f>
        <v>1363473</v>
      </c>
    </row>
    <row r="78">
      <c r="A78" s="6">
        <f>IFERROR(__xludf.DUMMYFUNCTION("""COMPUTED_VALUE"""),45737.64583333333)</f>
        <v>45737.64583</v>
      </c>
      <c r="B78" s="5">
        <f>IFERROR(__xludf.DUMMYFUNCTION("""COMPUTED_VALUE"""),1856.95)</f>
        <v>1856.95</v>
      </c>
      <c r="C78" s="5">
        <f>IFERROR(__xludf.DUMMYFUNCTION("""COMPUTED_VALUE"""),1921.0)</f>
        <v>1921</v>
      </c>
      <c r="D78" s="5">
        <f>IFERROR(__xludf.DUMMYFUNCTION("""COMPUTED_VALUE"""),1856.0)</f>
        <v>1856</v>
      </c>
      <c r="E78" s="5">
        <f>IFERROR(__xludf.DUMMYFUNCTION("""COMPUTED_VALUE"""),1915.65)</f>
        <v>1915.65</v>
      </c>
      <c r="F78" s="5">
        <f>IFERROR(__xludf.DUMMYFUNCTION("""COMPUTED_VALUE"""),1572865.0)</f>
        <v>1572865</v>
      </c>
    </row>
    <row r="79">
      <c r="A79" s="6">
        <f>IFERROR(__xludf.DUMMYFUNCTION("""COMPUTED_VALUE"""),45744.64583333333)</f>
        <v>45744.64583</v>
      </c>
      <c r="B79" s="5">
        <f>IFERROR(__xludf.DUMMYFUNCTION("""COMPUTED_VALUE"""),1924.0)</f>
        <v>1924</v>
      </c>
      <c r="C79" s="5">
        <f>IFERROR(__xludf.DUMMYFUNCTION("""COMPUTED_VALUE"""),1987.3)</f>
        <v>1987.3</v>
      </c>
      <c r="D79" s="5">
        <f>IFERROR(__xludf.DUMMYFUNCTION("""COMPUTED_VALUE"""),1911.05)</f>
        <v>1911.05</v>
      </c>
      <c r="E79" s="5">
        <f>IFERROR(__xludf.DUMMYFUNCTION("""COMPUTED_VALUE"""),1942.65)</f>
        <v>1942.65</v>
      </c>
      <c r="F79" s="5">
        <f>IFERROR(__xludf.DUMMYFUNCTION("""COMPUTED_VALUE"""),1636175.0)</f>
        <v>1636175</v>
      </c>
    </row>
    <row r="80">
      <c r="A80" s="6">
        <f>IFERROR(__xludf.DUMMYFUNCTION("""COMPUTED_VALUE"""),45751.64583333333)</f>
        <v>45751.64583</v>
      </c>
      <c r="B80" s="5">
        <f>IFERROR(__xludf.DUMMYFUNCTION("""COMPUTED_VALUE"""),1943.95)</f>
        <v>1943.95</v>
      </c>
      <c r="C80" s="5">
        <f>IFERROR(__xludf.DUMMYFUNCTION("""COMPUTED_VALUE"""),1999.0)</f>
        <v>1999</v>
      </c>
      <c r="D80" s="5">
        <f>IFERROR(__xludf.DUMMYFUNCTION("""COMPUTED_VALUE"""),1929.0)</f>
        <v>1929</v>
      </c>
      <c r="E80" s="5">
        <f>IFERROR(__xludf.DUMMYFUNCTION("""COMPUTED_VALUE"""),1966.3)</f>
        <v>1966.3</v>
      </c>
      <c r="F80" s="5">
        <f>IFERROR(__xludf.DUMMYFUNCTION("""COMPUTED_VALUE"""),599690.0)</f>
        <v>599690</v>
      </c>
    </row>
    <row r="81">
      <c r="A81" s="6">
        <f>IFERROR(__xludf.DUMMYFUNCTION("""COMPUTED_VALUE"""),45758.64583333333)</f>
        <v>45758.64583</v>
      </c>
      <c r="B81" s="5">
        <f>IFERROR(__xludf.DUMMYFUNCTION("""COMPUTED_VALUE"""),1900.0)</f>
        <v>1900</v>
      </c>
      <c r="C81" s="5">
        <f>IFERROR(__xludf.DUMMYFUNCTION("""COMPUTED_VALUE"""),2049.0)</f>
        <v>2049</v>
      </c>
      <c r="D81" s="5">
        <f>IFERROR(__xludf.DUMMYFUNCTION("""COMPUTED_VALUE"""),1874.05)</f>
        <v>1874.05</v>
      </c>
      <c r="E81" s="5">
        <f>IFERROR(__xludf.DUMMYFUNCTION("""COMPUTED_VALUE"""),2007.35)</f>
        <v>2007.35</v>
      </c>
      <c r="F81" s="5">
        <f>IFERROR(__xludf.DUMMYFUNCTION("""COMPUTED_VALUE"""),641003.0)</f>
        <v>641003</v>
      </c>
    </row>
    <row r="82">
      <c r="A82" s="6">
        <f>IFERROR(__xludf.DUMMYFUNCTION("""COMPUTED_VALUE"""),45764.64583333333)</f>
        <v>45764.64583</v>
      </c>
      <c r="B82" s="5">
        <f>IFERROR(__xludf.DUMMYFUNCTION("""COMPUTED_VALUE"""),2017.4)</f>
        <v>2017.4</v>
      </c>
      <c r="C82" s="5">
        <f>IFERROR(__xludf.DUMMYFUNCTION("""COMPUTED_VALUE"""),2066.0)</f>
        <v>2066</v>
      </c>
      <c r="D82" s="5">
        <f>IFERROR(__xludf.DUMMYFUNCTION("""COMPUTED_VALUE"""),2008.8)</f>
        <v>2008.8</v>
      </c>
      <c r="E82" s="5">
        <f>IFERROR(__xludf.DUMMYFUNCTION("""COMPUTED_VALUE"""),2061.7)</f>
        <v>2061.7</v>
      </c>
      <c r="F82" s="5">
        <f>IFERROR(__xludf.DUMMYFUNCTION("""COMPUTED_VALUE"""),483512.0)</f>
        <v>483512</v>
      </c>
    </row>
    <row r="83">
      <c r="A83" s="6">
        <f>IFERROR(__xludf.DUMMYFUNCTION("""COMPUTED_VALUE"""),45772.64583333333)</f>
        <v>45772.64583</v>
      </c>
      <c r="B83" s="5">
        <f>IFERROR(__xludf.DUMMYFUNCTION("""COMPUTED_VALUE"""),2061.7)</f>
        <v>2061.7</v>
      </c>
      <c r="C83" s="5">
        <f>IFERROR(__xludf.DUMMYFUNCTION("""COMPUTED_VALUE"""),2119.9)</f>
        <v>2119.9</v>
      </c>
      <c r="D83" s="5">
        <f>IFERROR(__xludf.DUMMYFUNCTION("""COMPUTED_VALUE"""),1931.0)</f>
        <v>1931</v>
      </c>
      <c r="E83" s="5">
        <f>IFERROR(__xludf.DUMMYFUNCTION("""COMPUTED_VALUE"""),1938.0)</f>
        <v>1938</v>
      </c>
      <c r="F83" s="5">
        <f>IFERROR(__xludf.DUMMYFUNCTION("""COMPUTED_VALUE"""),3456992.0)</f>
        <v>3456992</v>
      </c>
    </row>
    <row r="84">
      <c r="A84" s="6">
        <f>IFERROR(__xludf.DUMMYFUNCTION("""COMPUTED_VALUE"""),45779.64583333333)</f>
        <v>45779.64583</v>
      </c>
      <c r="B84" s="5">
        <f>IFERROR(__xludf.DUMMYFUNCTION("""COMPUTED_VALUE"""),1940.0)</f>
        <v>1940</v>
      </c>
      <c r="C84" s="5">
        <f>IFERROR(__xludf.DUMMYFUNCTION("""COMPUTED_VALUE"""),1948.9)</f>
        <v>1948.9</v>
      </c>
      <c r="D84" s="5">
        <f>IFERROR(__xludf.DUMMYFUNCTION("""COMPUTED_VALUE"""),1860.5)</f>
        <v>1860.5</v>
      </c>
      <c r="E84" s="5">
        <f>IFERROR(__xludf.DUMMYFUNCTION("""COMPUTED_VALUE"""),1864.1)</f>
        <v>1864.1</v>
      </c>
      <c r="F84" s="5">
        <f>IFERROR(__xludf.DUMMYFUNCTION("""COMPUTED_VALUE"""),2208888.0)</f>
        <v>2208888</v>
      </c>
    </row>
    <row r="85">
      <c r="A85" s="6">
        <f>IFERROR(__xludf.DUMMYFUNCTION("""COMPUTED_VALUE"""),45786.64583333333)</f>
        <v>45786.64583</v>
      </c>
      <c r="B85" s="5">
        <f>IFERROR(__xludf.DUMMYFUNCTION("""COMPUTED_VALUE"""),1868.0)</f>
        <v>1868</v>
      </c>
      <c r="C85" s="5">
        <f>IFERROR(__xludf.DUMMYFUNCTION("""COMPUTED_VALUE"""),1910.0)</f>
        <v>1910</v>
      </c>
      <c r="D85" s="5">
        <f>IFERROR(__xludf.DUMMYFUNCTION("""COMPUTED_VALUE"""),1779.0)</f>
        <v>1779</v>
      </c>
      <c r="E85" s="5">
        <f>IFERROR(__xludf.DUMMYFUNCTION("""COMPUTED_VALUE"""),1811.6)</f>
        <v>1811.6</v>
      </c>
      <c r="F85" s="5">
        <f>IFERROR(__xludf.DUMMYFUNCTION("""COMPUTED_VALUE"""),3599178.0)</f>
        <v>3599178</v>
      </c>
    </row>
    <row r="86">
      <c r="A86" s="6">
        <f>IFERROR(__xludf.DUMMYFUNCTION("""COMPUTED_VALUE"""),45793.64583333333)</f>
        <v>45793.64583</v>
      </c>
      <c r="B86" s="5">
        <f>IFERROR(__xludf.DUMMYFUNCTION("""COMPUTED_VALUE"""),1849.0)</f>
        <v>1849</v>
      </c>
      <c r="C86" s="5">
        <f>IFERROR(__xludf.DUMMYFUNCTION("""COMPUTED_VALUE"""),1933.5)</f>
        <v>1933.5</v>
      </c>
      <c r="D86" s="5">
        <f>IFERROR(__xludf.DUMMYFUNCTION("""COMPUTED_VALUE"""),1841.1)</f>
        <v>1841.1</v>
      </c>
      <c r="E86" s="5">
        <f>IFERROR(__xludf.DUMMYFUNCTION("""COMPUTED_VALUE"""),1928.4)</f>
        <v>1928.4</v>
      </c>
      <c r="F86" s="5">
        <f>IFERROR(__xludf.DUMMYFUNCTION("""COMPUTED_VALUE"""),2851430.0)</f>
        <v>2851430</v>
      </c>
    </row>
    <row r="87">
      <c r="A87" s="6">
        <f>IFERROR(__xludf.DUMMYFUNCTION("""COMPUTED_VALUE"""),45800.64583333333)</f>
        <v>45800.64583</v>
      </c>
      <c r="B87" s="5">
        <f>IFERROR(__xludf.DUMMYFUNCTION("""COMPUTED_VALUE"""),1936.0)</f>
        <v>1936</v>
      </c>
      <c r="C87" s="5">
        <f>IFERROR(__xludf.DUMMYFUNCTION("""COMPUTED_VALUE"""),1967.5)</f>
        <v>1967.5</v>
      </c>
      <c r="D87" s="5">
        <f>IFERROR(__xludf.DUMMYFUNCTION("""COMPUTED_VALUE"""),1910.0)</f>
        <v>1910</v>
      </c>
      <c r="E87" s="5">
        <f>IFERROR(__xludf.DUMMYFUNCTION("""COMPUTED_VALUE"""),1959.4)</f>
        <v>1959.4</v>
      </c>
      <c r="F87" s="5">
        <f>IFERROR(__xludf.DUMMYFUNCTION("""COMPUTED_VALUE"""),1571093.0)</f>
        <v>1571093</v>
      </c>
    </row>
    <row r="88">
      <c r="A88" s="6">
        <f>IFERROR(__xludf.DUMMYFUNCTION("""COMPUTED_VALUE"""),45807.64583333333)</f>
        <v>45807.64583</v>
      </c>
      <c r="B88" s="5">
        <f>IFERROR(__xludf.DUMMYFUNCTION("""COMPUTED_VALUE"""),1968.0)</f>
        <v>1968</v>
      </c>
      <c r="C88" s="5">
        <f>IFERROR(__xludf.DUMMYFUNCTION("""COMPUTED_VALUE"""),1972.9)</f>
        <v>1972.9</v>
      </c>
      <c r="D88" s="5">
        <f>IFERROR(__xludf.DUMMYFUNCTION("""COMPUTED_VALUE"""),1873.0)</f>
        <v>1873</v>
      </c>
      <c r="E88" s="5">
        <f>IFERROR(__xludf.DUMMYFUNCTION("""COMPUTED_VALUE"""),1882.8)</f>
        <v>1882.8</v>
      </c>
      <c r="F88" s="5">
        <f>IFERROR(__xludf.DUMMYFUNCTION("""COMPUTED_VALUE"""),1108799.0)</f>
        <v>1108799</v>
      </c>
    </row>
    <row r="89">
      <c r="A89" s="6">
        <f>IFERROR(__xludf.DUMMYFUNCTION("""COMPUTED_VALUE"""),45814.64583333333)</f>
        <v>45814.64583</v>
      </c>
      <c r="B89" s="5">
        <f>IFERROR(__xludf.DUMMYFUNCTION("""COMPUTED_VALUE"""),1893.9)</f>
        <v>1893.9</v>
      </c>
      <c r="C89" s="5">
        <f>IFERROR(__xludf.DUMMYFUNCTION("""COMPUTED_VALUE"""),1913.0)</f>
        <v>1913</v>
      </c>
      <c r="D89" s="5">
        <f>IFERROR(__xludf.DUMMYFUNCTION("""COMPUTED_VALUE"""),1860.4)</f>
        <v>1860.4</v>
      </c>
      <c r="E89" s="5">
        <f>IFERROR(__xludf.DUMMYFUNCTION("""COMPUTED_VALUE"""),1904.3)</f>
        <v>1904.3</v>
      </c>
      <c r="F89" s="5">
        <f>IFERROR(__xludf.DUMMYFUNCTION("""COMPUTED_VALUE"""),1159249.0)</f>
        <v>1159249</v>
      </c>
    </row>
    <row r="90">
      <c r="A90" s="6">
        <f>IFERROR(__xludf.DUMMYFUNCTION("""COMPUTED_VALUE"""),45821.64583333333)</f>
        <v>45821.64583</v>
      </c>
      <c r="B90" s="5">
        <f>IFERROR(__xludf.DUMMYFUNCTION("""COMPUTED_VALUE"""),1905.5)</f>
        <v>1905.5</v>
      </c>
      <c r="C90" s="5">
        <f>IFERROR(__xludf.DUMMYFUNCTION("""COMPUTED_VALUE"""),1927.0)</f>
        <v>1927</v>
      </c>
      <c r="D90" s="5">
        <f>IFERROR(__xludf.DUMMYFUNCTION("""COMPUTED_VALUE"""),1829.0)</f>
        <v>1829</v>
      </c>
      <c r="E90" s="5">
        <f>IFERROR(__xludf.DUMMYFUNCTION("""COMPUTED_VALUE"""),1846.2)</f>
        <v>1846.2</v>
      </c>
      <c r="F90" s="5">
        <f>IFERROR(__xludf.DUMMYFUNCTION("""COMPUTED_VALUE"""),1666383.0)</f>
        <v>1666383</v>
      </c>
    </row>
    <row r="91">
      <c r="A91" s="6">
        <f>IFERROR(__xludf.DUMMYFUNCTION("""COMPUTED_VALUE"""),45828.64583333333)</f>
        <v>45828.64583</v>
      </c>
      <c r="B91" s="5">
        <f>IFERROR(__xludf.DUMMYFUNCTION("""COMPUTED_VALUE"""),1849.0)</f>
        <v>1849</v>
      </c>
      <c r="C91" s="5">
        <f>IFERROR(__xludf.DUMMYFUNCTION("""COMPUTED_VALUE"""),1876.9)</f>
        <v>1876.9</v>
      </c>
      <c r="D91" s="5">
        <f>IFERROR(__xludf.DUMMYFUNCTION("""COMPUTED_VALUE"""),1813.4)</f>
        <v>1813.4</v>
      </c>
      <c r="E91" s="5">
        <f>IFERROR(__xludf.DUMMYFUNCTION("""COMPUTED_VALUE"""),1823.0)</f>
        <v>1823</v>
      </c>
      <c r="F91" s="5">
        <f>IFERROR(__xludf.DUMMYFUNCTION("""COMPUTED_VALUE"""),1899642.0)</f>
        <v>1899642</v>
      </c>
    </row>
    <row r="92">
      <c r="A92" s="6">
        <f>IFERROR(__xludf.DUMMYFUNCTION("""COMPUTED_VALUE"""),45835.64583333333)</f>
        <v>45835.64583</v>
      </c>
      <c r="B92" s="5">
        <f>IFERROR(__xludf.DUMMYFUNCTION("""COMPUTED_VALUE"""),1822.0)</f>
        <v>1822</v>
      </c>
      <c r="C92" s="5">
        <f>IFERROR(__xludf.DUMMYFUNCTION("""COMPUTED_VALUE"""),1935.1)</f>
        <v>1935.1</v>
      </c>
      <c r="D92" s="5">
        <f>IFERROR(__xludf.DUMMYFUNCTION("""COMPUTED_VALUE"""),1814.0)</f>
        <v>1814</v>
      </c>
      <c r="E92" s="5">
        <f>IFERROR(__xludf.DUMMYFUNCTION("""COMPUTED_VALUE"""),1920.2)</f>
        <v>1920.2</v>
      </c>
      <c r="F92" s="5">
        <f>IFERROR(__xludf.DUMMYFUNCTION("""COMPUTED_VALUE"""),2763716.0)</f>
        <v>2763716</v>
      </c>
    </row>
    <row r="93">
      <c r="A93" s="6">
        <f>IFERROR(__xludf.DUMMYFUNCTION("""COMPUTED_VALUE"""),45842.64583333333)</f>
        <v>45842.64583</v>
      </c>
      <c r="B93" s="5">
        <f>IFERROR(__xludf.DUMMYFUNCTION("""COMPUTED_VALUE"""),1924.0)</f>
        <v>1924</v>
      </c>
      <c r="C93" s="5">
        <f>IFERROR(__xludf.DUMMYFUNCTION("""COMPUTED_VALUE"""),1991.0)</f>
        <v>1991</v>
      </c>
      <c r="D93" s="5">
        <f>IFERROR(__xludf.DUMMYFUNCTION("""COMPUTED_VALUE"""),1906.9)</f>
        <v>1906.9</v>
      </c>
      <c r="E93" s="5">
        <f>IFERROR(__xludf.DUMMYFUNCTION("""COMPUTED_VALUE"""),1965.0)</f>
        <v>1965</v>
      </c>
      <c r="F93" s="5">
        <f>IFERROR(__xludf.DUMMYFUNCTION("""COMPUTED_VALUE"""),2088270.0)</f>
        <v>2088270</v>
      </c>
    </row>
    <row r="94">
      <c r="A94" s="6">
        <f>IFERROR(__xludf.DUMMYFUNCTION("""COMPUTED_VALUE"""),45849.64583333333)</f>
        <v>45849.64583</v>
      </c>
      <c r="B94" s="5">
        <f>IFERROR(__xludf.DUMMYFUNCTION("""COMPUTED_VALUE"""),1965.0)</f>
        <v>1965</v>
      </c>
      <c r="C94" s="5">
        <f>IFERROR(__xludf.DUMMYFUNCTION("""COMPUTED_VALUE"""),2028.8)</f>
        <v>2028.8</v>
      </c>
      <c r="D94" s="5">
        <f>IFERROR(__xludf.DUMMYFUNCTION("""COMPUTED_VALUE"""),1942.5)</f>
        <v>1942.5</v>
      </c>
      <c r="E94" s="5">
        <f>IFERROR(__xludf.DUMMYFUNCTION("""COMPUTED_VALUE"""),1982.5)</f>
        <v>1982.5</v>
      </c>
      <c r="F94" s="5">
        <f>IFERROR(__xludf.DUMMYFUNCTION("""COMPUTED_VALUE"""),1542624.0)</f>
        <v>1542624</v>
      </c>
    </row>
    <row r="95">
      <c r="A95" s="6">
        <f>IFERROR(__xludf.DUMMYFUNCTION("""COMPUTED_VALUE"""),45856.64583333333)</f>
        <v>45856.64583</v>
      </c>
      <c r="B95" s="5">
        <f>IFERROR(__xludf.DUMMYFUNCTION("""COMPUTED_VALUE"""),1974.0)</f>
        <v>1974</v>
      </c>
      <c r="C95" s="5">
        <f>IFERROR(__xludf.DUMMYFUNCTION("""COMPUTED_VALUE"""),1998.0)</f>
        <v>1998</v>
      </c>
      <c r="D95" s="5">
        <f>IFERROR(__xludf.DUMMYFUNCTION("""COMPUTED_VALUE"""),1960.1)</f>
        <v>1960.1</v>
      </c>
      <c r="E95" s="5">
        <f>IFERROR(__xludf.DUMMYFUNCTION("""COMPUTED_VALUE"""),1969.9)</f>
        <v>1969.9</v>
      </c>
      <c r="F95" s="5">
        <f>IFERROR(__xludf.DUMMYFUNCTION("""COMPUTED_VALUE"""),1199429.0)</f>
        <v>1199429</v>
      </c>
    </row>
    <row r="96">
      <c r="A96" s="6">
        <f>IFERROR(__xludf.DUMMYFUNCTION("""COMPUTED_VALUE"""),45863.64583333333)</f>
        <v>45863.64583</v>
      </c>
      <c r="B96" s="5">
        <f>IFERROR(__xludf.DUMMYFUNCTION("""COMPUTED_VALUE"""),1973.9)</f>
        <v>1973.9</v>
      </c>
      <c r="C96" s="5">
        <f>IFERROR(__xludf.DUMMYFUNCTION("""COMPUTED_VALUE"""),1993.6)</f>
        <v>1993.6</v>
      </c>
      <c r="D96" s="5">
        <f>IFERROR(__xludf.DUMMYFUNCTION("""COMPUTED_VALUE"""),1845.0)</f>
        <v>1845</v>
      </c>
      <c r="E96" s="5">
        <f>IFERROR(__xludf.DUMMYFUNCTION("""COMPUTED_VALUE"""),1847.7)</f>
        <v>1847.7</v>
      </c>
      <c r="F96" s="5">
        <f>IFERROR(__xludf.DUMMYFUNCTION("""COMPUTED_VALUE"""),2934020.0)</f>
        <v>2934020</v>
      </c>
    </row>
    <row r="97">
      <c r="A97" s="6">
        <f>IFERROR(__xludf.DUMMYFUNCTION("""COMPUTED_VALUE"""),45870.64583333333)</f>
        <v>45870.64583</v>
      </c>
      <c r="B97" s="5">
        <f>IFERROR(__xludf.DUMMYFUNCTION("""COMPUTED_VALUE"""),1847.7)</f>
        <v>1847.7</v>
      </c>
      <c r="C97" s="5">
        <f>IFERROR(__xludf.DUMMYFUNCTION("""COMPUTED_VALUE"""),1857.7)</f>
        <v>1857.7</v>
      </c>
      <c r="D97" s="5">
        <f>IFERROR(__xludf.DUMMYFUNCTION("""COMPUTED_VALUE"""),1782.0)</f>
        <v>1782</v>
      </c>
      <c r="E97" s="5">
        <f>IFERROR(__xludf.DUMMYFUNCTION("""COMPUTED_VALUE"""),1794.6)</f>
        <v>1794.6</v>
      </c>
      <c r="F97" s="5">
        <f>IFERROR(__xludf.DUMMYFUNCTION("""COMPUTED_VALUE"""),3734302.0)</f>
        <v>3734302</v>
      </c>
    </row>
    <row r="98">
      <c r="A98" s="6">
        <f>IFERROR(__xludf.DUMMYFUNCTION("""COMPUTED_VALUE"""),45877.64583333333)</f>
        <v>45877.64583</v>
      </c>
      <c r="B98" s="5">
        <f>IFERROR(__xludf.DUMMYFUNCTION("""COMPUTED_VALUE"""),1815.0)</f>
        <v>1815</v>
      </c>
      <c r="C98" s="5">
        <f>IFERROR(__xludf.DUMMYFUNCTION("""COMPUTED_VALUE"""),1838.8)</f>
        <v>1838.8</v>
      </c>
      <c r="D98" s="5">
        <f>IFERROR(__xludf.DUMMYFUNCTION("""COMPUTED_VALUE"""),1780.0)</f>
        <v>1780</v>
      </c>
      <c r="E98" s="5">
        <f>IFERROR(__xludf.DUMMYFUNCTION("""COMPUTED_VALUE"""),1788.2)</f>
        <v>1788.2</v>
      </c>
      <c r="F98" s="5">
        <f>IFERROR(__xludf.DUMMYFUNCTION("""COMPUTED_VALUE"""),2205876.0)</f>
        <v>2205876</v>
      </c>
    </row>
    <row r="99">
      <c r="A99" s="6">
        <f>IFERROR(__xludf.DUMMYFUNCTION("""COMPUTED_VALUE"""),45883.64583333333)</f>
        <v>45883.64583</v>
      </c>
      <c r="B99" s="5">
        <f>IFERROR(__xludf.DUMMYFUNCTION("""COMPUTED_VALUE"""),1794.0)</f>
        <v>1794</v>
      </c>
      <c r="C99" s="5">
        <f>IFERROR(__xludf.DUMMYFUNCTION("""COMPUTED_VALUE"""),1803.0)</f>
        <v>1803</v>
      </c>
      <c r="D99" s="5">
        <f>IFERROR(__xludf.DUMMYFUNCTION("""COMPUTED_VALUE"""),1780.6)</f>
        <v>1780.6</v>
      </c>
      <c r="E99" s="5">
        <f>IFERROR(__xludf.DUMMYFUNCTION("""COMPUTED_VALUE"""),1782.7)</f>
        <v>1782.7</v>
      </c>
      <c r="F99" s="5">
        <f>IFERROR(__xludf.DUMMYFUNCTION("""COMPUTED_VALUE"""),588626.0)</f>
        <v>588626</v>
      </c>
    </row>
    <row r="100">
      <c r="A100" s="6">
        <f>IFERROR(__xludf.DUMMYFUNCTION("""COMPUTED_VALUE"""),45891.64583333333)</f>
        <v>45891.64583</v>
      </c>
      <c r="B100" s="5">
        <f>IFERROR(__xludf.DUMMYFUNCTION("""COMPUTED_VALUE"""),1829.0)</f>
        <v>1829</v>
      </c>
      <c r="C100" s="5">
        <f>IFERROR(__xludf.DUMMYFUNCTION("""COMPUTED_VALUE"""),1873.5)</f>
        <v>1873.5</v>
      </c>
      <c r="D100" s="5">
        <f>IFERROR(__xludf.DUMMYFUNCTION("""COMPUTED_VALUE"""),1811.0)</f>
        <v>1811</v>
      </c>
      <c r="E100" s="5">
        <f>IFERROR(__xludf.DUMMYFUNCTION("""COMPUTED_VALUE"""),1821.1)</f>
        <v>1821.1</v>
      </c>
      <c r="F100" s="5">
        <f>IFERROR(__xludf.DUMMYFUNCTION("""COMPUTED_VALUE"""),1415381.0)</f>
        <v>1415381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IFERROR(__xludf.DUMMYFUNCTION("GOOGLEFINANCE(""NSE:CONCOR"", ""all"",ConfigSheet!B2 -ConfigSheet!B1,ConfigSheet!B2,ConfigSheet!B3)"),"#N/A")</f>
        <v>#N/A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IFERROR(__xludf.DUMMYFUNCTION("GOOGLEFINANCE(""NSE:CUMMINSIND"", ""all"",ConfigSheet!B2 -ConfigSheet!B1,ConfigSheet!B2,ConfigSheet!B3)"),"#N/A")</f>
        <v>#N/A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IFERROR(__xludf.DUMMYFUNCTION("GOOGLEFINANCE(""NSE:DABUR"", ""all"",ConfigSheet!B2 -ConfigSheet!B1,ConfigSheet!B2,ConfigSheet!B3)"),"#N/A")</f>
        <v>#N/A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IFERROR(__xludf.DUMMYFUNCTION("GOOGLEFINANCE(""NSE:DIVISLAB"", ""all"",ConfigSheet!B2 -ConfigSheet!B1,ConfigSheet!B2,ConfigSheet!B3)"),"#N/A")</f>
        <v>#N/A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IFERROR(__xludf.DUMMYFUNCTION("GOOGLEFINANCE(""NSE:DIXON"", ""all"",ConfigSheet!B2 -ConfigSheet!B1,ConfigSheet!B2,ConfigSheet!B3)"),"#N/A")</f>
        <v>#N/A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IFERROR(__xludf.DUMMYFUNCTION("GOOGLEFINANCE(""NSE:DLF"", ""all"",ConfigSheet!B2 -ConfigSheet!B1,ConfigSheet!B2,ConfigSheet!B3)"),"#N/A")</f>
        <v>#N/A</v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IFERROR(__xludf.DUMMYFUNCTION("GOOGLEFINANCE(""NSE:DMART"", ""all"",ConfigSheet!B2 -ConfigSheet!B1,ConfigSheet!B2,ConfigSheet!B3)"),"#N/A")</f>
        <v>#N/A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IFERROR(__xludf.DUMMYFUNCTION("GOOGLEFINANCE(""NSE:DRREDDY"", ""all"",ConfigSheet!B2 -ConfigSheet!B1,ConfigSheet!B2,ConfigSheet!B3)"),"#N/A")</f>
        <v>#N/A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IFERROR(__xludf.DUMMYFUNCTION("GOOGLEFINANCE(""NSE:EICHERMOT"", ""all"",ConfigSheet!B2 -ConfigSheet!B1,ConfigSheet!B2,ConfigSheet!B3)"),"#N/A")</f>
        <v>#N/A</v>
      </c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IFERROR(__xludf.DUMMYFUNCTION("GOOGLEFINANCE(""NSE:ESCORTS"", ""all"",ConfigSheet!B2 -ConfigSheet!B1,ConfigSheet!B2,ConfigSheet!B3)"),"#N/A")</f>
        <v>#N/A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IFERROR(__xludf.DUMMYFUNCTION("GOOGLEFINANCE(""NSE:ADANIENSOL"", ""all"",ConfigSheet!B2 -ConfigSheet!B1,ConfigSheet!B2,ConfigSheet!B3)"),"Date")</f>
        <v>Date</v>
      </c>
      <c r="B1" s="5" t="str">
        <f>IFERROR(__xludf.DUMMYFUNCTION("""COMPUTED_VALUE"""),"Open")</f>
        <v>Open</v>
      </c>
      <c r="C1" s="5" t="str">
        <f>IFERROR(__xludf.DUMMYFUNCTION("""COMPUTED_VALUE"""),"High")</f>
        <v>High</v>
      </c>
      <c r="D1" s="5" t="str">
        <f>IFERROR(__xludf.DUMMYFUNCTION("""COMPUTED_VALUE"""),"Low")</f>
        <v>Low</v>
      </c>
      <c r="E1" s="5" t="str">
        <f>IFERROR(__xludf.DUMMYFUNCTION("""COMPUTED_VALUE"""),"Close")</f>
        <v>Close</v>
      </c>
      <c r="F1" s="5" t="str">
        <f>IFERROR(__xludf.DUMMYFUNCTION("""COMPUTED_VALUE"""),"Volume")</f>
        <v>Volume</v>
      </c>
    </row>
    <row r="2">
      <c r="A2" s="6">
        <f>IFERROR(__xludf.DUMMYFUNCTION("""COMPUTED_VALUE"""),45170.64583333333)</f>
        <v>45170.64583</v>
      </c>
      <c r="B2" s="5">
        <f>IFERROR(__xludf.DUMMYFUNCTION("""COMPUTED_VALUE"""),895.0)</f>
        <v>895</v>
      </c>
      <c r="C2" s="5">
        <f>IFERROR(__xludf.DUMMYFUNCTION("""COMPUTED_VALUE"""),899.0)</f>
        <v>899</v>
      </c>
      <c r="D2" s="5">
        <f>IFERROR(__xludf.DUMMYFUNCTION("""COMPUTED_VALUE"""),791.05)</f>
        <v>791.05</v>
      </c>
      <c r="E2" s="5">
        <f>IFERROR(__xludf.DUMMYFUNCTION("""COMPUTED_VALUE"""),824.9)</f>
        <v>824.9</v>
      </c>
      <c r="F2" s="5">
        <f>IFERROR(__xludf.DUMMYFUNCTION("""COMPUTED_VALUE"""),5910970.0)</f>
        <v>5910970</v>
      </c>
    </row>
    <row r="3">
      <c r="A3" s="6">
        <f>IFERROR(__xludf.DUMMYFUNCTION("""COMPUTED_VALUE"""),45177.64583333333)</f>
        <v>45177.64583</v>
      </c>
      <c r="B3" s="5">
        <f>IFERROR(__xludf.DUMMYFUNCTION("""COMPUTED_VALUE"""),830.0)</f>
        <v>830</v>
      </c>
      <c r="C3" s="5">
        <f>IFERROR(__xludf.DUMMYFUNCTION("""COMPUTED_VALUE"""),859.45)</f>
        <v>859.45</v>
      </c>
      <c r="D3" s="5">
        <f>IFERROR(__xludf.DUMMYFUNCTION("""COMPUTED_VALUE"""),809.0)</f>
        <v>809</v>
      </c>
      <c r="E3" s="5">
        <f>IFERROR(__xludf.DUMMYFUNCTION("""COMPUTED_VALUE"""),833.0)</f>
        <v>833</v>
      </c>
      <c r="F3" s="5">
        <f>IFERROR(__xludf.DUMMYFUNCTION("""COMPUTED_VALUE"""),1.7193646E7)</f>
        <v>17193646</v>
      </c>
    </row>
    <row r="4">
      <c r="A4" s="6">
        <f>IFERROR(__xludf.DUMMYFUNCTION("""COMPUTED_VALUE"""),45184.64583333333)</f>
        <v>45184.64583</v>
      </c>
      <c r="B4" s="5">
        <f>IFERROR(__xludf.DUMMYFUNCTION("""COMPUTED_VALUE"""),843.4)</f>
        <v>843.4</v>
      </c>
      <c r="C4" s="5">
        <f>IFERROR(__xludf.DUMMYFUNCTION("""COMPUTED_VALUE"""),888.75)</f>
        <v>888.75</v>
      </c>
      <c r="D4" s="5">
        <f>IFERROR(__xludf.DUMMYFUNCTION("""COMPUTED_VALUE"""),832.0)</f>
        <v>832</v>
      </c>
      <c r="E4" s="5">
        <f>IFERROR(__xludf.DUMMYFUNCTION("""COMPUTED_VALUE"""),846.1)</f>
        <v>846.1</v>
      </c>
      <c r="F4" s="5">
        <f>IFERROR(__xludf.DUMMYFUNCTION("""COMPUTED_VALUE"""),2.5021624E7)</f>
        <v>25021624</v>
      </c>
    </row>
    <row r="5">
      <c r="A5" s="6">
        <f>IFERROR(__xludf.DUMMYFUNCTION("""COMPUTED_VALUE"""),45191.64583333333)</f>
        <v>45191.64583</v>
      </c>
      <c r="B5" s="5">
        <f>IFERROR(__xludf.DUMMYFUNCTION("""COMPUTED_VALUE"""),873.85)</f>
        <v>873.85</v>
      </c>
      <c r="C5" s="5">
        <f>IFERROR(__xludf.DUMMYFUNCTION("""COMPUTED_VALUE"""),873.85)</f>
        <v>873.85</v>
      </c>
      <c r="D5" s="5">
        <f>IFERROR(__xludf.DUMMYFUNCTION("""COMPUTED_VALUE"""),835.0)</f>
        <v>835</v>
      </c>
      <c r="E5" s="5">
        <f>IFERROR(__xludf.DUMMYFUNCTION("""COMPUTED_VALUE"""),839.1)</f>
        <v>839.1</v>
      </c>
      <c r="F5" s="5">
        <f>IFERROR(__xludf.DUMMYFUNCTION("""COMPUTED_VALUE"""),1.2332199E7)</f>
        <v>12332199</v>
      </c>
    </row>
    <row r="6">
      <c r="A6" s="6">
        <f>IFERROR(__xludf.DUMMYFUNCTION("""COMPUTED_VALUE"""),45198.64583333333)</f>
        <v>45198.64583</v>
      </c>
      <c r="B6" s="5">
        <f>IFERROR(__xludf.DUMMYFUNCTION("""COMPUTED_VALUE"""),838.0)</f>
        <v>838</v>
      </c>
      <c r="C6" s="5">
        <f>IFERROR(__xludf.DUMMYFUNCTION("""COMPUTED_VALUE"""),844.0)</f>
        <v>844</v>
      </c>
      <c r="D6" s="5">
        <f>IFERROR(__xludf.DUMMYFUNCTION("""COMPUTED_VALUE"""),807.2)</f>
        <v>807.2</v>
      </c>
      <c r="E6" s="5">
        <f>IFERROR(__xludf.DUMMYFUNCTION("""COMPUTED_VALUE"""),810.25)</f>
        <v>810.25</v>
      </c>
      <c r="F6" s="5">
        <f>IFERROR(__xludf.DUMMYFUNCTION("""COMPUTED_VALUE"""),3400551.0)</f>
        <v>3400551</v>
      </c>
    </row>
    <row r="7">
      <c r="A7" s="6">
        <f>IFERROR(__xludf.DUMMYFUNCTION("""COMPUTED_VALUE"""),45205.64583333333)</f>
        <v>45205.64583</v>
      </c>
      <c r="B7" s="5">
        <f>IFERROR(__xludf.DUMMYFUNCTION("""COMPUTED_VALUE"""),815.9)</f>
        <v>815.9</v>
      </c>
      <c r="C7" s="5">
        <f>IFERROR(__xludf.DUMMYFUNCTION("""COMPUTED_VALUE"""),826.95)</f>
        <v>826.95</v>
      </c>
      <c r="D7" s="5">
        <f>IFERROR(__xludf.DUMMYFUNCTION("""COMPUTED_VALUE"""),801.05)</f>
        <v>801.05</v>
      </c>
      <c r="E7" s="5">
        <f>IFERROR(__xludf.DUMMYFUNCTION("""COMPUTED_VALUE"""),806.0)</f>
        <v>806</v>
      </c>
      <c r="F7" s="5">
        <f>IFERROR(__xludf.DUMMYFUNCTION("""COMPUTED_VALUE"""),1736219.0)</f>
        <v>1736219</v>
      </c>
    </row>
    <row r="8">
      <c r="A8" s="6">
        <f>IFERROR(__xludf.DUMMYFUNCTION("""COMPUTED_VALUE"""),45212.64583333333)</f>
        <v>45212.64583</v>
      </c>
      <c r="B8" s="5">
        <f>IFERROR(__xludf.DUMMYFUNCTION("""COMPUTED_VALUE"""),806.0)</f>
        <v>806</v>
      </c>
      <c r="C8" s="5">
        <f>IFERROR(__xludf.DUMMYFUNCTION("""COMPUTED_VALUE"""),807.0)</f>
        <v>807</v>
      </c>
      <c r="D8" s="5">
        <f>IFERROR(__xludf.DUMMYFUNCTION("""COMPUTED_VALUE"""),772.4)</f>
        <v>772.4</v>
      </c>
      <c r="E8" s="5">
        <f>IFERROR(__xludf.DUMMYFUNCTION("""COMPUTED_VALUE"""),785.2)</f>
        <v>785.2</v>
      </c>
      <c r="F8" s="5">
        <f>IFERROR(__xludf.DUMMYFUNCTION("""COMPUTED_VALUE"""),2075673.0)</f>
        <v>2075673</v>
      </c>
    </row>
    <row r="9">
      <c r="A9" s="6">
        <f>IFERROR(__xludf.DUMMYFUNCTION("""COMPUTED_VALUE"""),45219.64583333333)</f>
        <v>45219.64583</v>
      </c>
      <c r="B9" s="5">
        <f>IFERROR(__xludf.DUMMYFUNCTION("""COMPUTED_VALUE"""),786.0)</f>
        <v>786</v>
      </c>
      <c r="C9" s="5">
        <f>IFERROR(__xludf.DUMMYFUNCTION("""COMPUTED_VALUE"""),787.0)</f>
        <v>787</v>
      </c>
      <c r="D9" s="5">
        <f>IFERROR(__xludf.DUMMYFUNCTION("""COMPUTED_VALUE"""),755.55)</f>
        <v>755.55</v>
      </c>
      <c r="E9" s="5">
        <f>IFERROR(__xludf.DUMMYFUNCTION("""COMPUTED_VALUE"""),764.35)</f>
        <v>764.35</v>
      </c>
      <c r="F9" s="5">
        <f>IFERROR(__xludf.DUMMYFUNCTION("""COMPUTED_VALUE"""),1884501.0)</f>
        <v>1884501</v>
      </c>
    </row>
    <row r="10">
      <c r="A10" s="6">
        <f>IFERROR(__xludf.DUMMYFUNCTION("""COMPUTED_VALUE"""),45226.64583333333)</f>
        <v>45226.64583</v>
      </c>
      <c r="B10" s="5">
        <f>IFERROR(__xludf.DUMMYFUNCTION("""COMPUTED_VALUE"""),768.7)</f>
        <v>768.7</v>
      </c>
      <c r="C10" s="5">
        <f>IFERROR(__xludf.DUMMYFUNCTION("""COMPUTED_VALUE"""),772.9)</f>
        <v>772.9</v>
      </c>
      <c r="D10" s="5">
        <f>IFERROR(__xludf.DUMMYFUNCTION("""COMPUTED_VALUE"""),686.0)</f>
        <v>686</v>
      </c>
      <c r="E10" s="5">
        <f>IFERROR(__xludf.DUMMYFUNCTION("""COMPUTED_VALUE"""),764.5)</f>
        <v>764.5</v>
      </c>
      <c r="F10" s="5">
        <f>IFERROR(__xludf.DUMMYFUNCTION("""COMPUTED_VALUE"""),2816553.0)</f>
        <v>2816553</v>
      </c>
    </row>
    <row r="11">
      <c r="A11" s="6">
        <f>IFERROR(__xludf.DUMMYFUNCTION("""COMPUTED_VALUE"""),45233.64583333333)</f>
        <v>45233.64583</v>
      </c>
      <c r="B11" s="5">
        <f>IFERROR(__xludf.DUMMYFUNCTION("""COMPUTED_VALUE"""),764.5)</f>
        <v>764.5</v>
      </c>
      <c r="C11" s="5">
        <f>IFERROR(__xludf.DUMMYFUNCTION("""COMPUTED_VALUE"""),773.35)</f>
        <v>773.35</v>
      </c>
      <c r="D11" s="5">
        <f>IFERROR(__xludf.DUMMYFUNCTION("""COMPUTED_VALUE"""),742.0)</f>
        <v>742</v>
      </c>
      <c r="E11" s="5">
        <f>IFERROR(__xludf.DUMMYFUNCTION("""COMPUTED_VALUE"""),765.5)</f>
        <v>765.5</v>
      </c>
      <c r="F11" s="5">
        <f>IFERROR(__xludf.DUMMYFUNCTION("""COMPUTED_VALUE"""),1746181.0)</f>
        <v>1746181</v>
      </c>
    </row>
    <row r="12">
      <c r="A12" s="6">
        <f>IFERROR(__xludf.DUMMYFUNCTION("""COMPUTED_VALUE"""),45240.64583333333)</f>
        <v>45240.64583</v>
      </c>
      <c r="B12" s="5">
        <f>IFERROR(__xludf.DUMMYFUNCTION("""COMPUTED_VALUE"""),777.05)</f>
        <v>777.05</v>
      </c>
      <c r="C12" s="5">
        <f>IFERROR(__xludf.DUMMYFUNCTION("""COMPUTED_VALUE"""),785.0)</f>
        <v>785</v>
      </c>
      <c r="D12" s="5">
        <f>IFERROR(__xludf.DUMMYFUNCTION("""COMPUTED_VALUE"""),744.1)</f>
        <v>744.1</v>
      </c>
      <c r="E12" s="5">
        <f>IFERROR(__xludf.DUMMYFUNCTION("""COMPUTED_VALUE"""),760.45)</f>
        <v>760.45</v>
      </c>
      <c r="F12" s="5">
        <f>IFERROR(__xludf.DUMMYFUNCTION("""COMPUTED_VALUE"""),1657454.0)</f>
        <v>1657454</v>
      </c>
    </row>
    <row r="13">
      <c r="A13" s="6">
        <f>IFERROR(__xludf.DUMMYFUNCTION("""COMPUTED_VALUE"""),45247.64583333333)</f>
        <v>45247.64583</v>
      </c>
      <c r="B13" s="5">
        <f>IFERROR(__xludf.DUMMYFUNCTION("""COMPUTED_VALUE"""),772.45)</f>
        <v>772.45</v>
      </c>
      <c r="C13" s="5">
        <f>IFERROR(__xludf.DUMMYFUNCTION("""COMPUTED_VALUE"""),774.1)</f>
        <v>774.1</v>
      </c>
      <c r="D13" s="5">
        <f>IFERROR(__xludf.DUMMYFUNCTION("""COMPUTED_VALUE"""),737.85)</f>
        <v>737.85</v>
      </c>
      <c r="E13" s="5">
        <f>IFERROR(__xludf.DUMMYFUNCTION("""COMPUTED_VALUE"""),741.2)</f>
        <v>741.2</v>
      </c>
      <c r="F13" s="5">
        <f>IFERROR(__xludf.DUMMYFUNCTION("""COMPUTED_VALUE"""),1246020.0)</f>
        <v>1246020</v>
      </c>
    </row>
    <row r="14">
      <c r="A14" s="6">
        <f>IFERROR(__xludf.DUMMYFUNCTION("""COMPUTED_VALUE"""),45254.64583333333)</f>
        <v>45254.64583</v>
      </c>
      <c r="B14" s="5">
        <f>IFERROR(__xludf.DUMMYFUNCTION("""COMPUTED_VALUE"""),741.05)</f>
        <v>741.05</v>
      </c>
      <c r="C14" s="5">
        <f>IFERROR(__xludf.DUMMYFUNCTION("""COMPUTED_VALUE"""),744.95)</f>
        <v>744.95</v>
      </c>
      <c r="D14" s="5">
        <f>IFERROR(__xludf.DUMMYFUNCTION("""COMPUTED_VALUE"""),720.0)</f>
        <v>720</v>
      </c>
      <c r="E14" s="5">
        <f>IFERROR(__xludf.DUMMYFUNCTION("""COMPUTED_VALUE"""),729.1)</f>
        <v>729.1</v>
      </c>
      <c r="F14" s="5">
        <f>IFERROR(__xludf.DUMMYFUNCTION("""COMPUTED_VALUE"""),1601589.0)</f>
        <v>1601589</v>
      </c>
    </row>
    <row r="15">
      <c r="A15" s="6">
        <f>IFERROR(__xludf.DUMMYFUNCTION("""COMPUTED_VALUE"""),45261.64583333333)</f>
        <v>45261.64583</v>
      </c>
      <c r="B15" s="5">
        <f>IFERROR(__xludf.DUMMYFUNCTION("""COMPUTED_VALUE"""),748.0)</f>
        <v>748</v>
      </c>
      <c r="C15" s="5">
        <f>IFERROR(__xludf.DUMMYFUNCTION("""COMPUTED_VALUE"""),954.9)</f>
        <v>954.9</v>
      </c>
      <c r="D15" s="5">
        <f>IFERROR(__xludf.DUMMYFUNCTION("""COMPUTED_VALUE"""),746.0)</f>
        <v>746</v>
      </c>
      <c r="E15" s="5">
        <f>IFERROR(__xludf.DUMMYFUNCTION("""COMPUTED_VALUE"""),854.7)</f>
        <v>854.7</v>
      </c>
      <c r="F15" s="5">
        <f>IFERROR(__xludf.DUMMYFUNCTION("""COMPUTED_VALUE"""),2.8926178E7)</f>
        <v>28926178</v>
      </c>
    </row>
    <row r="16">
      <c r="A16" s="6">
        <f>IFERROR(__xludf.DUMMYFUNCTION("""COMPUTED_VALUE"""),45268.64583333333)</f>
        <v>45268.64583</v>
      </c>
      <c r="B16" s="5">
        <f>IFERROR(__xludf.DUMMYFUNCTION("""COMPUTED_VALUE"""),969.0)</f>
        <v>969</v>
      </c>
      <c r="C16" s="5">
        <f>IFERROR(__xludf.DUMMYFUNCTION("""COMPUTED_VALUE"""),1246.0)</f>
        <v>1246</v>
      </c>
      <c r="D16" s="5">
        <f>IFERROR(__xludf.DUMMYFUNCTION("""COMPUTED_VALUE"""),882.5)</f>
        <v>882.5</v>
      </c>
      <c r="E16" s="5">
        <f>IFERROR(__xludf.DUMMYFUNCTION("""COMPUTED_VALUE"""),1131.5)</f>
        <v>1131.5</v>
      </c>
      <c r="F16" s="5">
        <f>IFERROR(__xludf.DUMMYFUNCTION("""COMPUTED_VALUE"""),8.2133587E7)</f>
        <v>82133587</v>
      </c>
    </row>
    <row r="17">
      <c r="A17" s="6">
        <f>IFERROR(__xludf.DUMMYFUNCTION("""COMPUTED_VALUE"""),45275.64583333333)</f>
        <v>45275.64583</v>
      </c>
      <c r="B17" s="5">
        <f>IFERROR(__xludf.DUMMYFUNCTION("""COMPUTED_VALUE"""),1137.95)</f>
        <v>1137.95</v>
      </c>
      <c r="C17" s="5">
        <f>IFERROR(__xludf.DUMMYFUNCTION("""COMPUTED_VALUE"""),1158.0)</f>
        <v>1158</v>
      </c>
      <c r="D17" s="5">
        <f>IFERROR(__xludf.DUMMYFUNCTION("""COMPUTED_VALUE"""),1008.1)</f>
        <v>1008.1</v>
      </c>
      <c r="E17" s="5">
        <f>IFERROR(__xludf.DUMMYFUNCTION("""COMPUTED_VALUE"""),1047.25)</f>
        <v>1047.25</v>
      </c>
      <c r="F17" s="5">
        <f>IFERROR(__xludf.DUMMYFUNCTION("""COMPUTED_VALUE"""),1.6726937E7)</f>
        <v>16726937</v>
      </c>
    </row>
    <row r="18">
      <c r="A18" s="6">
        <f>IFERROR(__xludf.DUMMYFUNCTION("""COMPUTED_VALUE"""),45282.64583333333)</f>
        <v>45282.64583</v>
      </c>
      <c r="B18" s="5">
        <f>IFERROR(__xludf.DUMMYFUNCTION("""COMPUTED_VALUE"""),1060.0)</f>
        <v>1060</v>
      </c>
      <c r="C18" s="5">
        <f>IFERROR(__xludf.DUMMYFUNCTION("""COMPUTED_VALUE"""),1128.0)</f>
        <v>1128</v>
      </c>
      <c r="D18" s="5">
        <f>IFERROR(__xludf.DUMMYFUNCTION("""COMPUTED_VALUE"""),981.0)</f>
        <v>981</v>
      </c>
      <c r="E18" s="5">
        <f>IFERROR(__xludf.DUMMYFUNCTION("""COMPUTED_VALUE"""),1027.9)</f>
        <v>1027.9</v>
      </c>
      <c r="F18" s="5">
        <f>IFERROR(__xludf.DUMMYFUNCTION("""COMPUTED_VALUE"""),1.4404347E7)</f>
        <v>14404347</v>
      </c>
    </row>
    <row r="19">
      <c r="A19" s="6">
        <f>IFERROR(__xludf.DUMMYFUNCTION("""COMPUTED_VALUE"""),45289.64583333333)</f>
        <v>45289.64583</v>
      </c>
      <c r="B19" s="5">
        <f>IFERROR(__xludf.DUMMYFUNCTION("""COMPUTED_VALUE"""),1035.5)</f>
        <v>1035.5</v>
      </c>
      <c r="C19" s="5">
        <f>IFERROR(__xludf.DUMMYFUNCTION("""COMPUTED_VALUE"""),1083.0)</f>
        <v>1083</v>
      </c>
      <c r="D19" s="5">
        <f>IFERROR(__xludf.DUMMYFUNCTION("""COMPUTED_VALUE"""),1011.55)</f>
        <v>1011.55</v>
      </c>
      <c r="E19" s="5">
        <f>IFERROR(__xludf.DUMMYFUNCTION("""COMPUTED_VALUE"""),1045.75)</f>
        <v>1045.75</v>
      </c>
      <c r="F19" s="5">
        <f>IFERROR(__xludf.DUMMYFUNCTION("""COMPUTED_VALUE"""),1.0563706E7)</f>
        <v>10563706</v>
      </c>
    </row>
    <row r="20">
      <c r="A20" s="6">
        <f>IFERROR(__xludf.DUMMYFUNCTION("""COMPUTED_VALUE"""),45296.64583333333)</f>
        <v>45296.64583</v>
      </c>
      <c r="B20" s="5">
        <f>IFERROR(__xludf.DUMMYFUNCTION("""COMPUTED_VALUE"""),1040.0)</f>
        <v>1040</v>
      </c>
      <c r="C20" s="5">
        <f>IFERROR(__xludf.DUMMYFUNCTION("""COMPUTED_VALUE"""),1250.0)</f>
        <v>1250</v>
      </c>
      <c r="D20" s="5">
        <f>IFERROR(__xludf.DUMMYFUNCTION("""COMPUTED_VALUE"""),1034.0)</f>
        <v>1034</v>
      </c>
      <c r="E20" s="5">
        <f>IFERROR(__xludf.DUMMYFUNCTION("""COMPUTED_VALUE"""),1164.0)</f>
        <v>1164</v>
      </c>
      <c r="F20" s="5">
        <f>IFERROR(__xludf.DUMMYFUNCTION("""COMPUTED_VALUE"""),2.0923945E7)</f>
        <v>20923945</v>
      </c>
    </row>
    <row r="21">
      <c r="A21" s="6">
        <f>IFERROR(__xludf.DUMMYFUNCTION("""COMPUTED_VALUE"""),45303.64583333333)</f>
        <v>45303.64583</v>
      </c>
      <c r="B21" s="5">
        <f>IFERROR(__xludf.DUMMYFUNCTION("""COMPUTED_VALUE"""),1170.85)</f>
        <v>1170.85</v>
      </c>
      <c r="C21" s="5">
        <f>IFERROR(__xludf.DUMMYFUNCTION("""COMPUTED_VALUE"""),1199.0)</f>
        <v>1199</v>
      </c>
      <c r="D21" s="5">
        <f>IFERROR(__xludf.DUMMYFUNCTION("""COMPUTED_VALUE"""),1140.0)</f>
        <v>1140</v>
      </c>
      <c r="E21" s="5">
        <f>IFERROR(__xludf.DUMMYFUNCTION("""COMPUTED_VALUE"""),1152.2)</f>
        <v>1152.2</v>
      </c>
      <c r="F21" s="5">
        <f>IFERROR(__xludf.DUMMYFUNCTION("""COMPUTED_VALUE"""),4965741.0)</f>
        <v>4965741</v>
      </c>
    </row>
    <row r="22">
      <c r="A22" s="6">
        <f>IFERROR(__xludf.DUMMYFUNCTION("""COMPUTED_VALUE"""),45316.64583333333)</f>
        <v>45316.64583</v>
      </c>
      <c r="B22" s="5">
        <f>IFERROR(__xludf.DUMMYFUNCTION("""COMPUTED_VALUE"""),1138.0)</f>
        <v>1138</v>
      </c>
      <c r="C22" s="5">
        <f>IFERROR(__xludf.DUMMYFUNCTION("""COMPUTED_VALUE"""),1145.65)</f>
        <v>1145.65</v>
      </c>
      <c r="D22" s="5">
        <f>IFERROR(__xludf.DUMMYFUNCTION("""COMPUTED_VALUE"""),1028.5)</f>
        <v>1028.5</v>
      </c>
      <c r="E22" s="5">
        <f>IFERROR(__xludf.DUMMYFUNCTION("""COMPUTED_VALUE"""),1061.8)</f>
        <v>1061.8</v>
      </c>
      <c r="F22" s="5">
        <f>IFERROR(__xludf.DUMMYFUNCTION("""COMPUTED_VALUE"""),8803118.0)</f>
        <v>8803118</v>
      </c>
    </row>
    <row r="23">
      <c r="A23" s="6">
        <f>IFERROR(__xludf.DUMMYFUNCTION("""COMPUTED_VALUE"""),45324.64583333333)</f>
        <v>45324.64583</v>
      </c>
      <c r="B23" s="5">
        <f>IFERROR(__xludf.DUMMYFUNCTION("""COMPUTED_VALUE"""),1085.0)</f>
        <v>1085</v>
      </c>
      <c r="C23" s="5">
        <f>IFERROR(__xludf.DUMMYFUNCTION("""COMPUTED_VALUE"""),1136.0)</f>
        <v>1136</v>
      </c>
      <c r="D23" s="5">
        <f>IFERROR(__xludf.DUMMYFUNCTION("""COMPUTED_VALUE"""),1046.0)</f>
        <v>1046</v>
      </c>
      <c r="E23" s="5">
        <f>IFERROR(__xludf.DUMMYFUNCTION("""COMPUTED_VALUE"""),1052.05)</f>
        <v>1052.05</v>
      </c>
      <c r="F23" s="5">
        <f>IFERROR(__xludf.DUMMYFUNCTION("""COMPUTED_VALUE"""),8196736.0)</f>
        <v>8196736</v>
      </c>
    </row>
    <row r="24">
      <c r="A24" s="6">
        <f>IFERROR(__xludf.DUMMYFUNCTION("""COMPUTED_VALUE"""),45331.64583333333)</f>
        <v>45331.64583</v>
      </c>
      <c r="B24" s="5">
        <f>IFERROR(__xludf.DUMMYFUNCTION("""COMPUTED_VALUE"""),1051.05)</f>
        <v>1051.05</v>
      </c>
      <c r="C24" s="5">
        <f>IFERROR(__xludf.DUMMYFUNCTION("""COMPUTED_VALUE"""),1113.95)</f>
        <v>1113.95</v>
      </c>
      <c r="D24" s="5">
        <f>IFERROR(__xludf.DUMMYFUNCTION("""COMPUTED_VALUE"""),1001.2)</f>
        <v>1001.2</v>
      </c>
      <c r="E24" s="5">
        <f>IFERROR(__xludf.DUMMYFUNCTION("""COMPUTED_VALUE"""),1054.7)</f>
        <v>1054.7</v>
      </c>
      <c r="F24" s="5">
        <f>IFERROR(__xludf.DUMMYFUNCTION("""COMPUTED_VALUE"""),1.1558492E7)</f>
        <v>11558492</v>
      </c>
    </row>
    <row r="25">
      <c r="A25" s="6">
        <f>IFERROR(__xludf.DUMMYFUNCTION("""COMPUTED_VALUE"""),45338.64583333333)</f>
        <v>45338.64583</v>
      </c>
      <c r="B25" s="5">
        <f>IFERROR(__xludf.DUMMYFUNCTION("""COMPUTED_VALUE"""),1059.0)</f>
        <v>1059</v>
      </c>
      <c r="C25" s="5">
        <f>IFERROR(__xludf.DUMMYFUNCTION("""COMPUTED_VALUE"""),1096.2)</f>
        <v>1096.2</v>
      </c>
      <c r="D25" s="5">
        <f>IFERROR(__xludf.DUMMYFUNCTION("""COMPUTED_VALUE"""),1025.0)</f>
        <v>1025</v>
      </c>
      <c r="E25" s="5">
        <f>IFERROR(__xludf.DUMMYFUNCTION("""COMPUTED_VALUE"""),1061.6)</f>
        <v>1061.6</v>
      </c>
      <c r="F25" s="5">
        <f>IFERROR(__xludf.DUMMYFUNCTION("""COMPUTED_VALUE"""),1.7722272E7)</f>
        <v>17722272</v>
      </c>
    </row>
    <row r="26">
      <c r="A26" s="6">
        <f>IFERROR(__xludf.DUMMYFUNCTION("""COMPUTED_VALUE"""),45345.64583333333)</f>
        <v>45345.64583</v>
      </c>
      <c r="B26" s="5">
        <f>IFERROR(__xludf.DUMMYFUNCTION("""COMPUTED_VALUE"""),1065.0)</f>
        <v>1065</v>
      </c>
      <c r="C26" s="5">
        <f>IFERROR(__xludf.DUMMYFUNCTION("""COMPUTED_VALUE"""),1094.75)</f>
        <v>1094.75</v>
      </c>
      <c r="D26" s="5">
        <f>IFERROR(__xludf.DUMMYFUNCTION("""COMPUTED_VALUE"""),1052.55)</f>
        <v>1052.55</v>
      </c>
      <c r="E26" s="5">
        <f>IFERROR(__xludf.DUMMYFUNCTION("""COMPUTED_VALUE"""),1081.8)</f>
        <v>1081.8</v>
      </c>
      <c r="F26" s="5">
        <f>IFERROR(__xludf.DUMMYFUNCTION("""COMPUTED_VALUE"""),1.3937244E7)</f>
        <v>13937244</v>
      </c>
    </row>
    <row r="27">
      <c r="A27" s="6">
        <f>IFERROR(__xludf.DUMMYFUNCTION("""COMPUTED_VALUE"""),45358.64583333333)</f>
        <v>45358.64583</v>
      </c>
      <c r="B27" s="5">
        <f>IFERROR(__xludf.DUMMYFUNCTION("""COMPUTED_VALUE"""),1084.0)</f>
        <v>1084</v>
      </c>
      <c r="C27" s="5">
        <f>IFERROR(__xludf.DUMMYFUNCTION("""COMPUTED_VALUE"""),1085.65)</f>
        <v>1085.65</v>
      </c>
      <c r="D27" s="5">
        <f>IFERROR(__xludf.DUMMYFUNCTION("""COMPUTED_VALUE"""),1045.5)</f>
        <v>1045.5</v>
      </c>
      <c r="E27" s="5">
        <f>IFERROR(__xludf.DUMMYFUNCTION("""COMPUTED_VALUE"""),1069.6)</f>
        <v>1069.6</v>
      </c>
      <c r="F27" s="5">
        <f>IFERROR(__xludf.DUMMYFUNCTION("""COMPUTED_VALUE"""),6759087.0)</f>
        <v>6759087</v>
      </c>
    </row>
    <row r="28">
      <c r="A28" s="6">
        <f>IFERROR(__xludf.DUMMYFUNCTION("""COMPUTED_VALUE"""),45366.64583333333)</f>
        <v>45366.64583</v>
      </c>
      <c r="B28" s="5">
        <f>IFERROR(__xludf.DUMMYFUNCTION("""COMPUTED_VALUE"""),1077.0)</f>
        <v>1077</v>
      </c>
      <c r="C28" s="5">
        <f>IFERROR(__xludf.DUMMYFUNCTION("""COMPUTED_VALUE"""),1087.3)</f>
        <v>1087.3</v>
      </c>
      <c r="D28" s="5">
        <f>IFERROR(__xludf.DUMMYFUNCTION("""COMPUTED_VALUE"""),915.3)</f>
        <v>915.3</v>
      </c>
      <c r="E28" s="5">
        <f>IFERROR(__xludf.DUMMYFUNCTION("""COMPUTED_VALUE"""),1045.85)</f>
        <v>1045.85</v>
      </c>
      <c r="F28" s="5">
        <f>IFERROR(__xludf.DUMMYFUNCTION("""COMPUTED_VALUE"""),1.8723351E7)</f>
        <v>18723351</v>
      </c>
    </row>
    <row r="29">
      <c r="A29" s="6">
        <f>IFERROR(__xludf.DUMMYFUNCTION("""COMPUTED_VALUE"""),45373.64583333333)</f>
        <v>45373.64583</v>
      </c>
      <c r="B29" s="5">
        <f>IFERROR(__xludf.DUMMYFUNCTION("""COMPUTED_VALUE"""),1008.0)</f>
        <v>1008</v>
      </c>
      <c r="C29" s="5">
        <f>IFERROR(__xludf.DUMMYFUNCTION("""COMPUTED_VALUE"""),1039.2)</f>
        <v>1039.2</v>
      </c>
      <c r="D29" s="5">
        <f>IFERROR(__xludf.DUMMYFUNCTION("""COMPUTED_VALUE"""),971.5)</f>
        <v>971.5</v>
      </c>
      <c r="E29" s="5">
        <f>IFERROR(__xludf.DUMMYFUNCTION("""COMPUTED_VALUE"""),1015.6)</f>
        <v>1015.6</v>
      </c>
      <c r="F29" s="5">
        <f>IFERROR(__xludf.DUMMYFUNCTION("""COMPUTED_VALUE"""),1.3702633E7)</f>
        <v>13702633</v>
      </c>
    </row>
    <row r="30">
      <c r="A30" s="6">
        <f>IFERROR(__xludf.DUMMYFUNCTION("""COMPUTED_VALUE"""),45379.64583333333)</f>
        <v>45379.64583</v>
      </c>
      <c r="B30" s="5">
        <f>IFERROR(__xludf.DUMMYFUNCTION("""COMPUTED_VALUE"""),1003.0)</f>
        <v>1003</v>
      </c>
      <c r="C30" s="5">
        <f>IFERROR(__xludf.DUMMYFUNCTION("""COMPUTED_VALUE"""),1064.5)</f>
        <v>1064.5</v>
      </c>
      <c r="D30" s="5">
        <f>IFERROR(__xludf.DUMMYFUNCTION("""COMPUTED_VALUE"""),1002.6)</f>
        <v>1002.6</v>
      </c>
      <c r="E30" s="5">
        <f>IFERROR(__xludf.DUMMYFUNCTION("""COMPUTED_VALUE"""),1026.7)</f>
        <v>1026.7</v>
      </c>
      <c r="F30" s="5">
        <f>IFERROR(__xludf.DUMMYFUNCTION("""COMPUTED_VALUE"""),1.1062168E7)</f>
        <v>11062168</v>
      </c>
    </row>
    <row r="31">
      <c r="A31" s="6">
        <f>IFERROR(__xludf.DUMMYFUNCTION("""COMPUTED_VALUE"""),45387.64583333333)</f>
        <v>45387.64583</v>
      </c>
      <c r="B31" s="5">
        <f>IFERROR(__xludf.DUMMYFUNCTION("""COMPUTED_VALUE"""),1047.1)</f>
        <v>1047.1</v>
      </c>
      <c r="C31" s="5">
        <f>IFERROR(__xludf.DUMMYFUNCTION("""COMPUTED_VALUE"""),1128.85)</f>
        <v>1128.85</v>
      </c>
      <c r="D31" s="5">
        <f>IFERROR(__xludf.DUMMYFUNCTION("""COMPUTED_VALUE"""),1036.15)</f>
        <v>1036.15</v>
      </c>
      <c r="E31" s="5">
        <f>IFERROR(__xludf.DUMMYFUNCTION("""COMPUTED_VALUE"""),1096.3)</f>
        <v>1096.3</v>
      </c>
      <c r="F31" s="5">
        <f>IFERROR(__xludf.DUMMYFUNCTION("""COMPUTED_VALUE"""),9358092.0)</f>
        <v>9358092</v>
      </c>
    </row>
    <row r="32">
      <c r="A32" s="6">
        <f>IFERROR(__xludf.DUMMYFUNCTION("""COMPUTED_VALUE"""),45394.64583333333)</f>
        <v>45394.64583</v>
      </c>
      <c r="B32" s="5">
        <f>IFERROR(__xludf.DUMMYFUNCTION("""COMPUTED_VALUE"""),1105.0)</f>
        <v>1105</v>
      </c>
      <c r="C32" s="5">
        <f>IFERROR(__xludf.DUMMYFUNCTION("""COMPUTED_VALUE"""),1117.75)</f>
        <v>1117.75</v>
      </c>
      <c r="D32" s="5">
        <f>IFERROR(__xludf.DUMMYFUNCTION("""COMPUTED_VALUE"""),1053.0)</f>
        <v>1053</v>
      </c>
      <c r="E32" s="5">
        <f>IFERROR(__xludf.DUMMYFUNCTION("""COMPUTED_VALUE"""),1068.9)</f>
        <v>1068.9</v>
      </c>
      <c r="F32" s="5">
        <f>IFERROR(__xludf.DUMMYFUNCTION("""COMPUTED_VALUE"""),2961317.0)</f>
        <v>2961317</v>
      </c>
    </row>
    <row r="33">
      <c r="A33" s="6">
        <f>IFERROR(__xludf.DUMMYFUNCTION("""COMPUTED_VALUE"""),45401.64583333333)</f>
        <v>45401.64583</v>
      </c>
      <c r="B33" s="5">
        <f>IFERROR(__xludf.DUMMYFUNCTION("""COMPUTED_VALUE"""),1036.4)</f>
        <v>1036.4</v>
      </c>
      <c r="C33" s="5">
        <f>IFERROR(__xludf.DUMMYFUNCTION("""COMPUTED_VALUE"""),1068.9)</f>
        <v>1068.9</v>
      </c>
      <c r="D33" s="5">
        <f>IFERROR(__xludf.DUMMYFUNCTION("""COMPUTED_VALUE"""),1011.4)</f>
        <v>1011.4</v>
      </c>
      <c r="E33" s="5">
        <f>IFERROR(__xludf.DUMMYFUNCTION("""COMPUTED_VALUE"""),1040.6)</f>
        <v>1040.6</v>
      </c>
      <c r="F33" s="5">
        <f>IFERROR(__xludf.DUMMYFUNCTION("""COMPUTED_VALUE"""),3001876.0)</f>
        <v>3001876</v>
      </c>
    </row>
    <row r="34">
      <c r="A34" s="6">
        <f>IFERROR(__xludf.DUMMYFUNCTION("""COMPUTED_VALUE"""),45408.64583333333)</f>
        <v>45408.64583</v>
      </c>
      <c r="B34" s="5">
        <f>IFERROR(__xludf.DUMMYFUNCTION("""COMPUTED_VALUE"""),1054.0)</f>
        <v>1054</v>
      </c>
      <c r="C34" s="5">
        <f>IFERROR(__xludf.DUMMYFUNCTION("""COMPUTED_VALUE"""),1080.0)</f>
        <v>1080</v>
      </c>
      <c r="D34" s="5">
        <f>IFERROR(__xludf.DUMMYFUNCTION("""COMPUTED_VALUE"""),1040.0)</f>
        <v>1040</v>
      </c>
      <c r="E34" s="5">
        <f>IFERROR(__xludf.DUMMYFUNCTION("""COMPUTED_VALUE"""),1062.85)</f>
        <v>1062.85</v>
      </c>
      <c r="F34" s="5">
        <f>IFERROR(__xludf.DUMMYFUNCTION("""COMPUTED_VALUE"""),4304940.0)</f>
        <v>4304940</v>
      </c>
    </row>
    <row r="35">
      <c r="A35" s="6">
        <f>IFERROR(__xludf.DUMMYFUNCTION("""COMPUTED_VALUE"""),45415.64583333333)</f>
        <v>45415.64583</v>
      </c>
      <c r="B35" s="5">
        <f>IFERROR(__xludf.DUMMYFUNCTION("""COMPUTED_VALUE"""),1072.85)</f>
        <v>1072.85</v>
      </c>
      <c r="C35" s="5">
        <f>IFERROR(__xludf.DUMMYFUNCTION("""COMPUTED_VALUE"""),1087.3)</f>
        <v>1087.3</v>
      </c>
      <c r="D35" s="5">
        <f>IFERROR(__xludf.DUMMYFUNCTION("""COMPUTED_VALUE"""),1044.0)</f>
        <v>1044</v>
      </c>
      <c r="E35" s="5">
        <f>IFERROR(__xludf.DUMMYFUNCTION("""COMPUTED_VALUE"""),1061.55)</f>
        <v>1061.55</v>
      </c>
      <c r="F35" s="5">
        <f>IFERROR(__xludf.DUMMYFUNCTION("""COMPUTED_VALUE"""),1.2135392E7)</f>
        <v>12135392</v>
      </c>
    </row>
    <row r="36">
      <c r="A36" s="6">
        <f>IFERROR(__xludf.DUMMYFUNCTION("""COMPUTED_VALUE"""),45422.64583333333)</f>
        <v>45422.64583</v>
      </c>
      <c r="B36" s="5">
        <f>IFERROR(__xludf.DUMMYFUNCTION("""COMPUTED_VALUE"""),1060.35)</f>
        <v>1060.35</v>
      </c>
      <c r="C36" s="5">
        <f>IFERROR(__xludf.DUMMYFUNCTION("""COMPUTED_VALUE"""),1065.95)</f>
        <v>1065.95</v>
      </c>
      <c r="D36" s="5">
        <f>IFERROR(__xludf.DUMMYFUNCTION("""COMPUTED_VALUE"""),970.5)</f>
        <v>970.5</v>
      </c>
      <c r="E36" s="5">
        <f>IFERROR(__xludf.DUMMYFUNCTION("""COMPUTED_VALUE"""),990.55)</f>
        <v>990.55</v>
      </c>
      <c r="F36" s="5">
        <f>IFERROR(__xludf.DUMMYFUNCTION("""COMPUTED_VALUE"""),8864425.0)</f>
        <v>8864425</v>
      </c>
    </row>
    <row r="37">
      <c r="A37" s="6">
        <f>IFERROR(__xludf.DUMMYFUNCTION("""COMPUTED_VALUE"""),45436.64583333333)</f>
        <v>45436.64583</v>
      </c>
      <c r="B37" s="5">
        <f>IFERROR(__xludf.DUMMYFUNCTION("""COMPUTED_VALUE"""),1044.6)</f>
        <v>1044.6</v>
      </c>
      <c r="C37" s="5">
        <f>IFERROR(__xludf.DUMMYFUNCTION("""COMPUTED_VALUE"""),1154.8)</f>
        <v>1154.8</v>
      </c>
      <c r="D37" s="5">
        <f>IFERROR(__xludf.DUMMYFUNCTION("""COMPUTED_VALUE"""),1033.35)</f>
        <v>1033.35</v>
      </c>
      <c r="E37" s="5">
        <f>IFERROR(__xludf.DUMMYFUNCTION("""COMPUTED_VALUE"""),1106.7)</f>
        <v>1106.7</v>
      </c>
      <c r="F37" s="5">
        <f>IFERROR(__xludf.DUMMYFUNCTION("""COMPUTED_VALUE"""),7358034.0)</f>
        <v>7358034</v>
      </c>
    </row>
    <row r="38">
      <c r="A38" s="6">
        <f>IFERROR(__xludf.DUMMYFUNCTION("""COMPUTED_VALUE"""),45443.64583333333)</f>
        <v>45443.64583</v>
      </c>
      <c r="B38" s="5">
        <f>IFERROR(__xludf.DUMMYFUNCTION("""COMPUTED_VALUE"""),1124.95)</f>
        <v>1124.95</v>
      </c>
      <c r="C38" s="5">
        <f>IFERROR(__xludf.DUMMYFUNCTION("""COMPUTED_VALUE"""),1150.1)</f>
        <v>1150.1</v>
      </c>
      <c r="D38" s="5">
        <f>IFERROR(__xludf.DUMMYFUNCTION("""COMPUTED_VALUE"""),1081.0)</f>
        <v>1081</v>
      </c>
      <c r="E38" s="5">
        <f>IFERROR(__xludf.DUMMYFUNCTION("""COMPUTED_VALUE"""),1122.8)</f>
        <v>1122.8</v>
      </c>
      <c r="F38" s="5">
        <f>IFERROR(__xludf.DUMMYFUNCTION("""COMPUTED_VALUE"""),1.6921193E7)</f>
        <v>16921193</v>
      </c>
    </row>
    <row r="39">
      <c r="A39" s="6">
        <f>IFERROR(__xludf.DUMMYFUNCTION("""COMPUTED_VALUE"""),45450.64583333333)</f>
        <v>45450.64583</v>
      </c>
      <c r="B39" s="5">
        <f>IFERROR(__xludf.DUMMYFUNCTION("""COMPUTED_VALUE"""),1249.0)</f>
        <v>1249</v>
      </c>
      <c r="C39" s="5">
        <f>IFERROR(__xludf.DUMMYFUNCTION("""COMPUTED_VALUE"""),1249.4)</f>
        <v>1249.4</v>
      </c>
      <c r="D39" s="5">
        <f>IFERROR(__xludf.DUMMYFUNCTION("""COMPUTED_VALUE"""),831.5)</f>
        <v>831.5</v>
      </c>
      <c r="E39" s="5">
        <f>IFERROR(__xludf.DUMMYFUNCTION("""COMPUTED_VALUE"""),1020.05)</f>
        <v>1020.05</v>
      </c>
      <c r="F39" s="5">
        <f>IFERROR(__xludf.DUMMYFUNCTION("""COMPUTED_VALUE"""),4.656585E7)</f>
        <v>46565850</v>
      </c>
    </row>
    <row r="40">
      <c r="A40" s="6">
        <f>IFERROR(__xludf.DUMMYFUNCTION("""COMPUTED_VALUE"""),45457.64583333333)</f>
        <v>45457.64583</v>
      </c>
      <c r="B40" s="5">
        <f>IFERROR(__xludf.DUMMYFUNCTION("""COMPUTED_VALUE"""),1054.9)</f>
        <v>1054.9</v>
      </c>
      <c r="C40" s="5">
        <f>IFERROR(__xludf.DUMMYFUNCTION("""COMPUTED_VALUE"""),1074.0)</f>
        <v>1074</v>
      </c>
      <c r="D40" s="5">
        <f>IFERROR(__xludf.DUMMYFUNCTION("""COMPUTED_VALUE"""),1014.05)</f>
        <v>1014.05</v>
      </c>
      <c r="E40" s="5">
        <f>IFERROR(__xludf.DUMMYFUNCTION("""COMPUTED_VALUE"""),1019.8)</f>
        <v>1019.8</v>
      </c>
      <c r="F40" s="5">
        <f>IFERROR(__xludf.DUMMYFUNCTION("""COMPUTED_VALUE"""),4997296.0)</f>
        <v>4997296</v>
      </c>
    </row>
    <row r="41">
      <c r="A41" s="6">
        <f>IFERROR(__xludf.DUMMYFUNCTION("""COMPUTED_VALUE"""),45464.64583333333)</f>
        <v>45464.64583</v>
      </c>
      <c r="B41" s="5">
        <f>IFERROR(__xludf.DUMMYFUNCTION("""COMPUTED_VALUE"""),1025.65)</f>
        <v>1025.65</v>
      </c>
      <c r="C41" s="5">
        <f>IFERROR(__xludf.DUMMYFUNCTION("""COMPUTED_VALUE"""),1034.7)</f>
        <v>1034.7</v>
      </c>
      <c r="D41" s="5">
        <f>IFERROR(__xludf.DUMMYFUNCTION("""COMPUTED_VALUE"""),1001.05)</f>
        <v>1001.05</v>
      </c>
      <c r="E41" s="5">
        <f>IFERROR(__xludf.DUMMYFUNCTION("""COMPUTED_VALUE"""),1010.55)</f>
        <v>1010.55</v>
      </c>
      <c r="F41" s="5">
        <f>IFERROR(__xludf.DUMMYFUNCTION("""COMPUTED_VALUE"""),3482479.0)</f>
        <v>3482479</v>
      </c>
    </row>
    <row r="42">
      <c r="A42" s="6">
        <f>IFERROR(__xludf.DUMMYFUNCTION("""COMPUTED_VALUE"""),45471.64583333333)</f>
        <v>45471.64583</v>
      </c>
      <c r="B42" s="5">
        <f>IFERROR(__xludf.DUMMYFUNCTION("""COMPUTED_VALUE"""),1005.0)</f>
        <v>1005</v>
      </c>
      <c r="C42" s="5">
        <f>IFERROR(__xludf.DUMMYFUNCTION("""COMPUTED_VALUE"""),1029.25)</f>
        <v>1029.25</v>
      </c>
      <c r="D42" s="5">
        <f>IFERROR(__xludf.DUMMYFUNCTION("""COMPUTED_VALUE"""),990.0)</f>
        <v>990</v>
      </c>
      <c r="E42" s="5">
        <f>IFERROR(__xludf.DUMMYFUNCTION("""COMPUTED_VALUE"""),997.35)</f>
        <v>997.35</v>
      </c>
      <c r="F42" s="5">
        <f>IFERROR(__xludf.DUMMYFUNCTION("""COMPUTED_VALUE"""),1.1311495E7)</f>
        <v>11311495</v>
      </c>
    </row>
    <row r="43">
      <c r="A43" s="6">
        <f>IFERROR(__xludf.DUMMYFUNCTION("""COMPUTED_VALUE"""),45478.64583333333)</f>
        <v>45478.64583</v>
      </c>
      <c r="B43" s="5">
        <f>IFERROR(__xludf.DUMMYFUNCTION("""COMPUTED_VALUE"""),1003.65)</f>
        <v>1003.65</v>
      </c>
      <c r="C43" s="5">
        <f>IFERROR(__xludf.DUMMYFUNCTION("""COMPUTED_VALUE"""),1063.35)</f>
        <v>1063.35</v>
      </c>
      <c r="D43" s="5">
        <f>IFERROR(__xludf.DUMMYFUNCTION("""COMPUTED_VALUE"""),996.05)</f>
        <v>996.05</v>
      </c>
      <c r="E43" s="5">
        <f>IFERROR(__xludf.DUMMYFUNCTION("""COMPUTED_VALUE"""),1012.65)</f>
        <v>1012.65</v>
      </c>
      <c r="F43" s="5">
        <f>IFERROR(__xludf.DUMMYFUNCTION("""COMPUTED_VALUE"""),5665904.0)</f>
        <v>5665904</v>
      </c>
    </row>
    <row r="44">
      <c r="A44" s="6">
        <f>IFERROR(__xludf.DUMMYFUNCTION("""COMPUTED_VALUE"""),45485.64583333333)</f>
        <v>45485.64583</v>
      </c>
      <c r="B44" s="5">
        <f>IFERROR(__xludf.DUMMYFUNCTION("""COMPUTED_VALUE"""),1010.0)</f>
        <v>1010</v>
      </c>
      <c r="C44" s="5">
        <f>IFERROR(__xludf.DUMMYFUNCTION("""COMPUTED_VALUE"""),1033.2)</f>
        <v>1033.2</v>
      </c>
      <c r="D44" s="5">
        <f>IFERROR(__xludf.DUMMYFUNCTION("""COMPUTED_VALUE"""),985.4)</f>
        <v>985.4</v>
      </c>
      <c r="E44" s="5">
        <f>IFERROR(__xludf.DUMMYFUNCTION("""COMPUTED_VALUE"""),1004.8)</f>
        <v>1004.8</v>
      </c>
      <c r="F44" s="5">
        <f>IFERROR(__xludf.DUMMYFUNCTION("""COMPUTED_VALUE"""),3159643.0)</f>
        <v>3159643</v>
      </c>
    </row>
    <row r="45">
      <c r="A45" s="6">
        <f>IFERROR(__xludf.DUMMYFUNCTION("""COMPUTED_VALUE"""),45492.64583333333)</f>
        <v>45492.64583</v>
      </c>
      <c r="B45" s="5">
        <f>IFERROR(__xludf.DUMMYFUNCTION("""COMPUTED_VALUE"""),1006.5)</f>
        <v>1006.5</v>
      </c>
      <c r="C45" s="5">
        <f>IFERROR(__xludf.DUMMYFUNCTION("""COMPUTED_VALUE"""),1047.95)</f>
        <v>1047.95</v>
      </c>
      <c r="D45" s="5">
        <f>IFERROR(__xludf.DUMMYFUNCTION("""COMPUTED_VALUE"""),998.5)</f>
        <v>998.5</v>
      </c>
      <c r="E45" s="5">
        <f>IFERROR(__xludf.DUMMYFUNCTION("""COMPUTED_VALUE"""),1010.7)</f>
        <v>1010.7</v>
      </c>
      <c r="F45" s="5">
        <f>IFERROR(__xludf.DUMMYFUNCTION("""COMPUTED_VALUE"""),3631455.0)</f>
        <v>3631455</v>
      </c>
    </row>
    <row r="46">
      <c r="A46" s="6">
        <f>IFERROR(__xludf.DUMMYFUNCTION("""COMPUTED_VALUE"""),45499.64583333333)</f>
        <v>45499.64583</v>
      </c>
      <c r="B46" s="5">
        <f>IFERROR(__xludf.DUMMYFUNCTION("""COMPUTED_VALUE"""),1004.95)</f>
        <v>1004.95</v>
      </c>
      <c r="C46" s="5">
        <f>IFERROR(__xludf.DUMMYFUNCTION("""COMPUTED_VALUE"""),1149.7)</f>
        <v>1149.7</v>
      </c>
      <c r="D46" s="5">
        <f>IFERROR(__xludf.DUMMYFUNCTION("""COMPUTED_VALUE"""),975.0)</f>
        <v>975</v>
      </c>
      <c r="E46" s="5">
        <f>IFERROR(__xludf.DUMMYFUNCTION("""COMPUTED_VALUE"""),1051.95)</f>
        <v>1051.95</v>
      </c>
      <c r="F46" s="5">
        <f>IFERROR(__xludf.DUMMYFUNCTION("""COMPUTED_VALUE"""),1.2467766E7)</f>
        <v>12467766</v>
      </c>
    </row>
    <row r="47">
      <c r="A47" s="6">
        <f>IFERROR(__xludf.DUMMYFUNCTION("""COMPUTED_VALUE"""),45506.64583333333)</f>
        <v>45506.64583</v>
      </c>
      <c r="B47" s="5">
        <f>IFERROR(__xludf.DUMMYFUNCTION("""COMPUTED_VALUE"""),1059.15)</f>
        <v>1059.15</v>
      </c>
      <c r="C47" s="5">
        <f>IFERROR(__xludf.DUMMYFUNCTION("""COMPUTED_VALUE"""),1348.0)</f>
        <v>1348</v>
      </c>
      <c r="D47" s="5">
        <f>IFERROR(__xludf.DUMMYFUNCTION("""COMPUTED_VALUE"""),1047.85)</f>
        <v>1047.85</v>
      </c>
      <c r="E47" s="5">
        <f>IFERROR(__xludf.DUMMYFUNCTION("""COMPUTED_VALUE"""),1261.8)</f>
        <v>1261.8</v>
      </c>
      <c r="F47" s="5">
        <f>IFERROR(__xludf.DUMMYFUNCTION("""COMPUTED_VALUE"""),5.8300867E7)</f>
        <v>58300867</v>
      </c>
    </row>
    <row r="48">
      <c r="A48" s="6">
        <f>IFERROR(__xludf.DUMMYFUNCTION("""COMPUTED_VALUE"""),45513.64583333333)</f>
        <v>45513.64583</v>
      </c>
      <c r="B48" s="5">
        <f>IFERROR(__xludf.DUMMYFUNCTION("""COMPUTED_VALUE"""),1200.0)</f>
        <v>1200</v>
      </c>
      <c r="C48" s="5">
        <f>IFERROR(__xludf.DUMMYFUNCTION("""COMPUTED_VALUE"""),1231.95)</f>
        <v>1231.95</v>
      </c>
      <c r="D48" s="5">
        <f>IFERROR(__xludf.DUMMYFUNCTION("""COMPUTED_VALUE"""),1094.3)</f>
        <v>1094.3</v>
      </c>
      <c r="E48" s="5">
        <f>IFERROR(__xludf.DUMMYFUNCTION("""COMPUTED_VALUE"""),1103.8)</f>
        <v>1103.8</v>
      </c>
      <c r="F48" s="5">
        <f>IFERROR(__xludf.DUMMYFUNCTION("""COMPUTED_VALUE"""),2.7769923E7)</f>
        <v>27769923</v>
      </c>
    </row>
    <row r="49">
      <c r="A49" s="6">
        <f>IFERROR(__xludf.DUMMYFUNCTION("""COMPUTED_VALUE"""),45520.64583333333)</f>
        <v>45520.64583</v>
      </c>
      <c r="B49" s="5">
        <f>IFERROR(__xludf.DUMMYFUNCTION("""COMPUTED_VALUE"""),1072.0)</f>
        <v>1072</v>
      </c>
      <c r="C49" s="5">
        <f>IFERROR(__xludf.DUMMYFUNCTION("""COMPUTED_VALUE"""),1138.0)</f>
        <v>1138</v>
      </c>
      <c r="D49" s="5">
        <f>IFERROR(__xludf.DUMMYFUNCTION("""COMPUTED_VALUE"""),1036.05)</f>
        <v>1036.05</v>
      </c>
      <c r="E49" s="5">
        <f>IFERROR(__xludf.DUMMYFUNCTION("""COMPUTED_VALUE"""),1085.3)</f>
        <v>1085.3</v>
      </c>
      <c r="F49" s="5">
        <f>IFERROR(__xludf.DUMMYFUNCTION("""COMPUTED_VALUE"""),1.9210757E7)</f>
        <v>19210757</v>
      </c>
    </row>
    <row r="50">
      <c r="A50" s="6">
        <f>IFERROR(__xludf.DUMMYFUNCTION("""COMPUTED_VALUE"""),45527.64583333333)</f>
        <v>45527.64583</v>
      </c>
      <c r="B50" s="5">
        <f>IFERROR(__xludf.DUMMYFUNCTION("""COMPUTED_VALUE"""),1089.8)</f>
        <v>1089.8</v>
      </c>
      <c r="C50" s="5">
        <f>IFERROR(__xludf.DUMMYFUNCTION("""COMPUTED_VALUE"""),1115.5)</f>
        <v>1115.5</v>
      </c>
      <c r="D50" s="5">
        <f>IFERROR(__xludf.DUMMYFUNCTION("""COMPUTED_VALUE"""),1060.0)</f>
        <v>1060</v>
      </c>
      <c r="E50" s="5">
        <f>IFERROR(__xludf.DUMMYFUNCTION("""COMPUTED_VALUE"""),1065.65)</f>
        <v>1065.65</v>
      </c>
      <c r="F50" s="5">
        <f>IFERROR(__xludf.DUMMYFUNCTION("""COMPUTED_VALUE"""),8338037.0)</f>
        <v>8338037</v>
      </c>
    </row>
    <row r="51">
      <c r="A51" s="6">
        <f>IFERROR(__xludf.DUMMYFUNCTION("""COMPUTED_VALUE"""),45534.64583333333)</f>
        <v>45534.64583</v>
      </c>
      <c r="B51" s="5">
        <f>IFERROR(__xludf.DUMMYFUNCTION("""COMPUTED_VALUE"""),1066.55)</f>
        <v>1066.55</v>
      </c>
      <c r="C51" s="5">
        <f>IFERROR(__xludf.DUMMYFUNCTION("""COMPUTED_VALUE"""),1076.0)</f>
        <v>1076</v>
      </c>
      <c r="D51" s="5">
        <f>IFERROR(__xludf.DUMMYFUNCTION("""COMPUTED_VALUE"""),984.0)</f>
        <v>984</v>
      </c>
      <c r="E51" s="5">
        <f>IFERROR(__xludf.DUMMYFUNCTION("""COMPUTED_VALUE"""),1007.4)</f>
        <v>1007.4</v>
      </c>
      <c r="F51" s="5">
        <f>IFERROR(__xludf.DUMMYFUNCTION("""COMPUTED_VALUE"""),1.3501427E7)</f>
        <v>13501427</v>
      </c>
    </row>
    <row r="52">
      <c r="A52" s="6">
        <f>IFERROR(__xludf.DUMMYFUNCTION("""COMPUTED_VALUE"""),45541.64583333333)</f>
        <v>45541.64583</v>
      </c>
      <c r="B52" s="5">
        <f>IFERROR(__xludf.DUMMYFUNCTION("""COMPUTED_VALUE"""),1017.0)</f>
        <v>1017</v>
      </c>
      <c r="C52" s="5">
        <f>IFERROR(__xludf.DUMMYFUNCTION("""COMPUTED_VALUE"""),1049.0)</f>
        <v>1049</v>
      </c>
      <c r="D52" s="5">
        <f>IFERROR(__xludf.DUMMYFUNCTION("""COMPUTED_VALUE"""),983.0)</f>
        <v>983</v>
      </c>
      <c r="E52" s="5">
        <f>IFERROR(__xludf.DUMMYFUNCTION("""COMPUTED_VALUE"""),985.35)</f>
        <v>985.35</v>
      </c>
      <c r="F52" s="5">
        <f>IFERROR(__xludf.DUMMYFUNCTION("""COMPUTED_VALUE"""),8068349.0)</f>
        <v>8068349</v>
      </c>
    </row>
    <row r="53">
      <c r="A53" s="6">
        <f>IFERROR(__xludf.DUMMYFUNCTION("""COMPUTED_VALUE"""),45548.64583333333)</f>
        <v>45548.64583</v>
      </c>
      <c r="B53" s="5">
        <f>IFERROR(__xludf.DUMMYFUNCTION("""COMPUTED_VALUE"""),985.3)</f>
        <v>985.3</v>
      </c>
      <c r="C53" s="5">
        <f>IFERROR(__xludf.DUMMYFUNCTION("""COMPUTED_VALUE"""),1020.0)</f>
        <v>1020</v>
      </c>
      <c r="D53" s="5">
        <f>IFERROR(__xludf.DUMMYFUNCTION("""COMPUTED_VALUE"""),968.3)</f>
        <v>968.3</v>
      </c>
      <c r="E53" s="5">
        <f>IFERROR(__xludf.DUMMYFUNCTION("""COMPUTED_VALUE"""),983.3)</f>
        <v>983.3</v>
      </c>
      <c r="F53" s="5">
        <f>IFERROR(__xludf.DUMMYFUNCTION("""COMPUTED_VALUE"""),6951647.0)</f>
        <v>6951647</v>
      </c>
    </row>
    <row r="54">
      <c r="A54" s="6">
        <f>IFERROR(__xludf.DUMMYFUNCTION("""COMPUTED_VALUE"""),45555.64583333333)</f>
        <v>45555.64583</v>
      </c>
      <c r="B54" s="5">
        <f>IFERROR(__xludf.DUMMYFUNCTION("""COMPUTED_VALUE"""),990.5)</f>
        <v>990.5</v>
      </c>
      <c r="C54" s="5">
        <f>IFERROR(__xludf.DUMMYFUNCTION("""COMPUTED_VALUE"""),1019.9)</f>
        <v>1019.9</v>
      </c>
      <c r="D54" s="5">
        <f>IFERROR(__xludf.DUMMYFUNCTION("""COMPUTED_VALUE"""),967.05)</f>
        <v>967.05</v>
      </c>
      <c r="E54" s="5">
        <f>IFERROR(__xludf.DUMMYFUNCTION("""COMPUTED_VALUE"""),1007.15)</f>
        <v>1007.15</v>
      </c>
      <c r="F54" s="5">
        <f>IFERROR(__xludf.DUMMYFUNCTION("""COMPUTED_VALUE"""),1.4159284E7)</f>
        <v>14159284</v>
      </c>
    </row>
    <row r="55">
      <c r="A55" s="6">
        <f>IFERROR(__xludf.DUMMYFUNCTION("""COMPUTED_VALUE"""),45562.64583333333)</f>
        <v>45562.64583</v>
      </c>
      <c r="B55" s="5">
        <f>IFERROR(__xludf.DUMMYFUNCTION("""COMPUTED_VALUE"""),1025.2)</f>
        <v>1025.2</v>
      </c>
      <c r="C55" s="5">
        <f>IFERROR(__xludf.DUMMYFUNCTION("""COMPUTED_VALUE"""),1068.0)</f>
        <v>1068</v>
      </c>
      <c r="D55" s="5">
        <f>IFERROR(__xludf.DUMMYFUNCTION("""COMPUTED_VALUE"""),1001.05)</f>
        <v>1001.05</v>
      </c>
      <c r="E55" s="5">
        <f>IFERROR(__xludf.DUMMYFUNCTION("""COMPUTED_VALUE"""),1010.2)</f>
        <v>1010.2</v>
      </c>
      <c r="F55" s="5">
        <f>IFERROR(__xludf.DUMMYFUNCTION("""COMPUTED_VALUE"""),9725871.0)</f>
        <v>9725871</v>
      </c>
    </row>
    <row r="56">
      <c r="A56" s="6">
        <f>IFERROR(__xludf.DUMMYFUNCTION("""COMPUTED_VALUE"""),45569.64583333333)</f>
        <v>45569.64583</v>
      </c>
      <c r="B56" s="5">
        <f>IFERROR(__xludf.DUMMYFUNCTION("""COMPUTED_VALUE"""),1009.9)</f>
        <v>1009.9</v>
      </c>
      <c r="C56" s="5">
        <f>IFERROR(__xludf.DUMMYFUNCTION("""COMPUTED_VALUE"""),1053.45)</f>
        <v>1053.45</v>
      </c>
      <c r="D56" s="5">
        <f>IFERROR(__xludf.DUMMYFUNCTION("""COMPUTED_VALUE"""),955.0)</f>
        <v>955</v>
      </c>
      <c r="E56" s="5">
        <f>IFERROR(__xludf.DUMMYFUNCTION("""COMPUTED_VALUE"""),962.75)</f>
        <v>962.75</v>
      </c>
      <c r="F56" s="5">
        <f>IFERROR(__xludf.DUMMYFUNCTION("""COMPUTED_VALUE"""),1.1388322E7)</f>
        <v>11388322</v>
      </c>
    </row>
    <row r="57">
      <c r="A57" s="6">
        <f>IFERROR(__xludf.DUMMYFUNCTION("""COMPUTED_VALUE"""),45576.64583333333)</f>
        <v>45576.64583</v>
      </c>
      <c r="B57" s="5">
        <f>IFERROR(__xludf.DUMMYFUNCTION("""COMPUTED_VALUE"""),976.0)</f>
        <v>976</v>
      </c>
      <c r="C57" s="5">
        <f>IFERROR(__xludf.DUMMYFUNCTION("""COMPUTED_VALUE"""),1017.45)</f>
        <v>1017.45</v>
      </c>
      <c r="D57" s="5">
        <f>IFERROR(__xludf.DUMMYFUNCTION("""COMPUTED_VALUE"""),915.0)</f>
        <v>915</v>
      </c>
      <c r="E57" s="5">
        <f>IFERROR(__xludf.DUMMYFUNCTION("""COMPUTED_VALUE"""),976.8)</f>
        <v>976.8</v>
      </c>
      <c r="F57" s="5">
        <f>IFERROR(__xludf.DUMMYFUNCTION("""COMPUTED_VALUE"""),1.4093009E7)</f>
        <v>14093009</v>
      </c>
    </row>
    <row r="58">
      <c r="A58" s="6">
        <f>IFERROR(__xludf.DUMMYFUNCTION("""COMPUTED_VALUE"""),45583.64583333333)</f>
        <v>45583.64583</v>
      </c>
      <c r="B58" s="5">
        <f>IFERROR(__xludf.DUMMYFUNCTION("""COMPUTED_VALUE"""),994.0)</f>
        <v>994</v>
      </c>
      <c r="C58" s="5">
        <f>IFERROR(__xludf.DUMMYFUNCTION("""COMPUTED_VALUE"""),1046.0)</f>
        <v>1046</v>
      </c>
      <c r="D58" s="5">
        <f>IFERROR(__xludf.DUMMYFUNCTION("""COMPUTED_VALUE"""),974.05)</f>
        <v>974.05</v>
      </c>
      <c r="E58" s="5">
        <f>IFERROR(__xludf.DUMMYFUNCTION("""COMPUTED_VALUE"""),1043.3)</f>
        <v>1043.3</v>
      </c>
      <c r="F58" s="5">
        <f>IFERROR(__xludf.DUMMYFUNCTION("""COMPUTED_VALUE"""),1.053271E7)</f>
        <v>10532710</v>
      </c>
    </row>
    <row r="59">
      <c r="A59" s="6">
        <f>IFERROR(__xludf.DUMMYFUNCTION("""COMPUTED_VALUE"""),45590.64583333333)</f>
        <v>45590.64583</v>
      </c>
      <c r="B59" s="5">
        <f>IFERROR(__xludf.DUMMYFUNCTION("""COMPUTED_VALUE"""),1043.3)</f>
        <v>1043.3</v>
      </c>
      <c r="C59" s="5">
        <f>IFERROR(__xludf.DUMMYFUNCTION("""COMPUTED_VALUE"""),1048.7)</f>
        <v>1048.7</v>
      </c>
      <c r="D59" s="5">
        <f>IFERROR(__xludf.DUMMYFUNCTION("""COMPUTED_VALUE"""),905.1)</f>
        <v>905.1</v>
      </c>
      <c r="E59" s="5">
        <f>IFERROR(__xludf.DUMMYFUNCTION("""COMPUTED_VALUE"""),919.35)</f>
        <v>919.35</v>
      </c>
      <c r="F59" s="5">
        <f>IFERROR(__xludf.DUMMYFUNCTION("""COMPUTED_VALUE"""),1.1448149E7)</f>
        <v>11448149</v>
      </c>
    </row>
    <row r="60">
      <c r="A60" s="6">
        <f>IFERROR(__xludf.DUMMYFUNCTION("""COMPUTED_VALUE"""),45604.64583333333)</f>
        <v>45604.64583</v>
      </c>
      <c r="B60" s="5">
        <f>IFERROR(__xludf.DUMMYFUNCTION("""COMPUTED_VALUE"""),978.95)</f>
        <v>978.95</v>
      </c>
      <c r="C60" s="5">
        <f>IFERROR(__xludf.DUMMYFUNCTION("""COMPUTED_VALUE"""),1090.95)</f>
        <v>1090.95</v>
      </c>
      <c r="D60" s="5">
        <f>IFERROR(__xludf.DUMMYFUNCTION("""COMPUTED_VALUE"""),934.0)</f>
        <v>934</v>
      </c>
      <c r="E60" s="5">
        <f>IFERROR(__xludf.DUMMYFUNCTION("""COMPUTED_VALUE"""),936.25)</f>
        <v>936.25</v>
      </c>
      <c r="F60" s="5">
        <f>IFERROR(__xludf.DUMMYFUNCTION("""COMPUTED_VALUE"""),2.0778663E7)</f>
        <v>20778663</v>
      </c>
    </row>
    <row r="61">
      <c r="A61" s="6">
        <f>IFERROR(__xludf.DUMMYFUNCTION("""COMPUTED_VALUE"""),45610.64583333333)</f>
        <v>45610.64583</v>
      </c>
      <c r="B61" s="5">
        <f>IFERROR(__xludf.DUMMYFUNCTION("""COMPUTED_VALUE"""),936.25)</f>
        <v>936.25</v>
      </c>
      <c r="C61" s="5">
        <f>IFERROR(__xludf.DUMMYFUNCTION("""COMPUTED_VALUE"""),937.95)</f>
        <v>937.95</v>
      </c>
      <c r="D61" s="5">
        <f>IFERROR(__xludf.DUMMYFUNCTION("""COMPUTED_VALUE"""),875.85)</f>
        <v>875.85</v>
      </c>
      <c r="E61" s="5">
        <f>IFERROR(__xludf.DUMMYFUNCTION("""COMPUTED_VALUE"""),879.7)</f>
        <v>879.7</v>
      </c>
      <c r="F61" s="5">
        <f>IFERROR(__xludf.DUMMYFUNCTION("""COMPUTED_VALUE"""),1.1799539E7)</f>
        <v>11799539</v>
      </c>
    </row>
    <row r="62">
      <c r="A62" s="6">
        <f>IFERROR(__xludf.DUMMYFUNCTION("""COMPUTED_VALUE"""),45618.64583333333)</f>
        <v>45618.64583</v>
      </c>
      <c r="B62" s="5">
        <f>IFERROR(__xludf.DUMMYFUNCTION("""COMPUTED_VALUE"""),888.0)</f>
        <v>888</v>
      </c>
      <c r="C62" s="5">
        <f>IFERROR(__xludf.DUMMYFUNCTION("""COMPUTED_VALUE"""),889.0)</f>
        <v>889</v>
      </c>
      <c r="D62" s="5">
        <f>IFERROR(__xludf.DUMMYFUNCTION("""COMPUTED_VALUE"""),627.5)</f>
        <v>627.5</v>
      </c>
      <c r="E62" s="5">
        <f>IFERROR(__xludf.DUMMYFUNCTION("""COMPUTED_VALUE"""),648.95)</f>
        <v>648.95</v>
      </c>
      <c r="F62" s="5">
        <f>IFERROR(__xludf.DUMMYFUNCTION("""COMPUTED_VALUE"""),4.759817E7)</f>
        <v>47598170</v>
      </c>
    </row>
    <row r="63">
      <c r="A63" s="6">
        <f>IFERROR(__xludf.DUMMYFUNCTION("""COMPUTED_VALUE"""),45625.64583333333)</f>
        <v>45625.64583</v>
      </c>
      <c r="B63" s="5">
        <f>IFERROR(__xludf.DUMMYFUNCTION("""COMPUTED_VALUE"""),678.0)</f>
        <v>678</v>
      </c>
      <c r="C63" s="5">
        <f>IFERROR(__xludf.DUMMYFUNCTION("""COMPUTED_VALUE"""),869.75)</f>
        <v>869.75</v>
      </c>
      <c r="D63" s="5">
        <f>IFERROR(__xludf.DUMMYFUNCTION("""COMPUTED_VALUE"""),588.0)</f>
        <v>588</v>
      </c>
      <c r="E63" s="5">
        <f>IFERROR(__xludf.DUMMYFUNCTION("""COMPUTED_VALUE"""),840.5)</f>
        <v>840.5</v>
      </c>
      <c r="F63" s="5">
        <f>IFERROR(__xludf.DUMMYFUNCTION("""COMPUTED_VALUE"""),7.0074167E7)</f>
        <v>70074167</v>
      </c>
    </row>
    <row r="64">
      <c r="A64" s="6">
        <f>IFERROR(__xludf.DUMMYFUNCTION("""COMPUTED_VALUE"""),45632.64583333333)</f>
        <v>45632.64583</v>
      </c>
      <c r="B64" s="5">
        <f>IFERROR(__xludf.DUMMYFUNCTION("""COMPUTED_VALUE"""),844.9)</f>
        <v>844.9</v>
      </c>
      <c r="C64" s="5">
        <f>IFERROR(__xludf.DUMMYFUNCTION("""COMPUTED_VALUE"""),855.85)</f>
        <v>855.85</v>
      </c>
      <c r="D64" s="5">
        <f>IFERROR(__xludf.DUMMYFUNCTION("""COMPUTED_VALUE"""),797.0)</f>
        <v>797</v>
      </c>
      <c r="E64" s="5">
        <f>IFERROR(__xludf.DUMMYFUNCTION("""COMPUTED_VALUE"""),808.35)</f>
        <v>808.35</v>
      </c>
      <c r="F64" s="5">
        <f>IFERROR(__xludf.DUMMYFUNCTION("""COMPUTED_VALUE"""),2.1713159E7)</f>
        <v>21713159</v>
      </c>
    </row>
    <row r="65">
      <c r="A65" s="6">
        <f>IFERROR(__xludf.DUMMYFUNCTION("""COMPUTED_VALUE"""),45639.64583333333)</f>
        <v>45639.64583</v>
      </c>
      <c r="B65" s="5">
        <f>IFERROR(__xludf.DUMMYFUNCTION("""COMPUTED_VALUE"""),808.35)</f>
        <v>808.35</v>
      </c>
      <c r="C65" s="5">
        <f>IFERROR(__xludf.DUMMYFUNCTION("""COMPUTED_VALUE"""),837.5)</f>
        <v>837.5</v>
      </c>
      <c r="D65" s="5">
        <f>IFERROR(__xludf.DUMMYFUNCTION("""COMPUTED_VALUE"""),773.0)</f>
        <v>773</v>
      </c>
      <c r="E65" s="5">
        <f>IFERROR(__xludf.DUMMYFUNCTION("""COMPUTED_VALUE"""),832.4)</f>
        <v>832.4</v>
      </c>
      <c r="F65" s="5">
        <f>IFERROR(__xludf.DUMMYFUNCTION("""COMPUTED_VALUE"""),1.6449003E7)</f>
        <v>16449003</v>
      </c>
    </row>
    <row r="66">
      <c r="A66" s="6">
        <f>IFERROR(__xludf.DUMMYFUNCTION("""COMPUTED_VALUE"""),45646.64583333333)</f>
        <v>45646.64583</v>
      </c>
      <c r="B66" s="5">
        <f>IFERROR(__xludf.DUMMYFUNCTION("""COMPUTED_VALUE"""),830.0)</f>
        <v>830</v>
      </c>
      <c r="C66" s="5">
        <f>IFERROR(__xludf.DUMMYFUNCTION("""COMPUTED_VALUE"""),830.9)</f>
        <v>830.9</v>
      </c>
      <c r="D66" s="5">
        <f>IFERROR(__xludf.DUMMYFUNCTION("""COMPUTED_VALUE"""),761.85)</f>
        <v>761.85</v>
      </c>
      <c r="E66" s="5">
        <f>IFERROR(__xludf.DUMMYFUNCTION("""COMPUTED_VALUE"""),767.55)</f>
        <v>767.55</v>
      </c>
      <c r="F66" s="5">
        <f>IFERROR(__xludf.DUMMYFUNCTION("""COMPUTED_VALUE"""),7222109.0)</f>
        <v>7222109</v>
      </c>
    </row>
    <row r="67">
      <c r="A67" s="6">
        <f>IFERROR(__xludf.DUMMYFUNCTION("""COMPUTED_VALUE"""),45653.64583333333)</f>
        <v>45653.64583</v>
      </c>
      <c r="B67" s="5">
        <f>IFERROR(__xludf.DUMMYFUNCTION("""COMPUTED_VALUE"""),781.35)</f>
        <v>781.35</v>
      </c>
      <c r="C67" s="5">
        <f>IFERROR(__xludf.DUMMYFUNCTION("""COMPUTED_VALUE"""),814.95)</f>
        <v>814.95</v>
      </c>
      <c r="D67" s="5">
        <f>IFERROR(__xludf.DUMMYFUNCTION("""COMPUTED_VALUE"""),765.3)</f>
        <v>765.3</v>
      </c>
      <c r="E67" s="5">
        <f>IFERROR(__xludf.DUMMYFUNCTION("""COMPUTED_VALUE"""),805.95)</f>
        <v>805.95</v>
      </c>
      <c r="F67" s="5">
        <f>IFERROR(__xludf.DUMMYFUNCTION("""COMPUTED_VALUE"""),5600012.0)</f>
        <v>5600012</v>
      </c>
    </row>
    <row r="68">
      <c r="A68" s="6">
        <f>IFERROR(__xludf.DUMMYFUNCTION("""COMPUTED_VALUE"""),45660.64583333333)</f>
        <v>45660.64583</v>
      </c>
      <c r="B68" s="5">
        <f>IFERROR(__xludf.DUMMYFUNCTION("""COMPUTED_VALUE"""),808.55)</f>
        <v>808.55</v>
      </c>
      <c r="C68" s="5">
        <f>IFERROR(__xludf.DUMMYFUNCTION("""COMPUTED_VALUE"""),831.0)</f>
        <v>831</v>
      </c>
      <c r="D68" s="5">
        <f>IFERROR(__xludf.DUMMYFUNCTION("""COMPUTED_VALUE"""),793.5)</f>
        <v>793.5</v>
      </c>
      <c r="E68" s="5">
        <f>IFERROR(__xludf.DUMMYFUNCTION("""COMPUTED_VALUE"""),821.25)</f>
        <v>821.25</v>
      </c>
      <c r="F68" s="5">
        <f>IFERROR(__xludf.DUMMYFUNCTION("""COMPUTED_VALUE"""),1.1713166E7)</f>
        <v>11713166</v>
      </c>
    </row>
    <row r="69">
      <c r="A69" s="6">
        <f>IFERROR(__xludf.DUMMYFUNCTION("""COMPUTED_VALUE"""),45667.64583333333)</f>
        <v>45667.64583</v>
      </c>
      <c r="B69" s="5">
        <f>IFERROR(__xludf.DUMMYFUNCTION("""COMPUTED_VALUE"""),815.05)</f>
        <v>815.05</v>
      </c>
      <c r="C69" s="5">
        <f>IFERROR(__xludf.DUMMYFUNCTION("""COMPUTED_VALUE"""),819.0)</f>
        <v>819</v>
      </c>
      <c r="D69" s="5">
        <f>IFERROR(__xludf.DUMMYFUNCTION("""COMPUTED_VALUE"""),726.35)</f>
        <v>726.35</v>
      </c>
      <c r="E69" s="5">
        <f>IFERROR(__xludf.DUMMYFUNCTION("""COMPUTED_VALUE"""),729.25)</f>
        <v>729.25</v>
      </c>
      <c r="F69" s="5">
        <f>IFERROR(__xludf.DUMMYFUNCTION("""COMPUTED_VALUE"""),6743127.0)</f>
        <v>6743127</v>
      </c>
    </row>
    <row r="70">
      <c r="A70" s="6">
        <f>IFERROR(__xludf.DUMMYFUNCTION("""COMPUTED_VALUE"""),45674.64583333333)</f>
        <v>45674.64583</v>
      </c>
      <c r="B70" s="5">
        <f>IFERROR(__xludf.DUMMYFUNCTION("""COMPUTED_VALUE"""),719.0)</f>
        <v>719</v>
      </c>
      <c r="C70" s="5">
        <f>IFERROR(__xludf.DUMMYFUNCTION("""COMPUTED_VALUE"""),833.15)</f>
        <v>833.15</v>
      </c>
      <c r="D70" s="5">
        <f>IFERROR(__xludf.DUMMYFUNCTION("""COMPUTED_VALUE"""),682.45)</f>
        <v>682.45</v>
      </c>
      <c r="E70" s="5">
        <f>IFERROR(__xludf.DUMMYFUNCTION("""COMPUTED_VALUE"""),805.15)</f>
        <v>805.15</v>
      </c>
      <c r="F70" s="5">
        <f>IFERROR(__xludf.DUMMYFUNCTION("""COMPUTED_VALUE"""),1.9390028E7)</f>
        <v>19390028</v>
      </c>
    </row>
    <row r="71">
      <c r="A71" s="6">
        <f>IFERROR(__xludf.DUMMYFUNCTION("""COMPUTED_VALUE"""),45681.64583333333)</f>
        <v>45681.64583</v>
      </c>
      <c r="B71" s="5">
        <f>IFERROR(__xludf.DUMMYFUNCTION("""COMPUTED_VALUE"""),815.0)</f>
        <v>815</v>
      </c>
      <c r="C71" s="5">
        <f>IFERROR(__xludf.DUMMYFUNCTION("""COMPUTED_VALUE"""),828.7)</f>
        <v>828.7</v>
      </c>
      <c r="D71" s="5">
        <f>IFERROR(__xludf.DUMMYFUNCTION("""COMPUTED_VALUE"""),781.0)</f>
        <v>781</v>
      </c>
      <c r="E71" s="5">
        <f>IFERROR(__xludf.DUMMYFUNCTION("""COMPUTED_VALUE"""),790.45)</f>
        <v>790.45</v>
      </c>
      <c r="F71" s="5">
        <f>IFERROR(__xludf.DUMMYFUNCTION("""COMPUTED_VALUE"""),1.3990222E7)</f>
        <v>13990222</v>
      </c>
    </row>
    <row r="72">
      <c r="A72" s="6">
        <f>IFERROR(__xludf.DUMMYFUNCTION("""COMPUTED_VALUE"""),45695.64583333333)</f>
        <v>45695.64583</v>
      </c>
      <c r="B72" s="5">
        <f>IFERROR(__xludf.DUMMYFUNCTION("""COMPUTED_VALUE"""),740.0)</f>
        <v>740</v>
      </c>
      <c r="C72" s="5">
        <f>IFERROR(__xludf.DUMMYFUNCTION("""COMPUTED_VALUE"""),788.2)</f>
        <v>788.2</v>
      </c>
      <c r="D72" s="5">
        <f>IFERROR(__xludf.DUMMYFUNCTION("""COMPUTED_VALUE"""),725.35)</f>
        <v>725.35</v>
      </c>
      <c r="E72" s="5">
        <f>IFERROR(__xludf.DUMMYFUNCTION("""COMPUTED_VALUE"""),773.4)</f>
        <v>773.4</v>
      </c>
      <c r="F72" s="5">
        <f>IFERROR(__xludf.DUMMYFUNCTION("""COMPUTED_VALUE"""),5312551.0)</f>
        <v>5312551</v>
      </c>
    </row>
    <row r="73">
      <c r="A73" s="6">
        <f>IFERROR(__xludf.DUMMYFUNCTION("""COMPUTED_VALUE"""),45702.64583333333)</f>
        <v>45702.64583</v>
      </c>
      <c r="B73" s="5">
        <f>IFERROR(__xludf.DUMMYFUNCTION("""COMPUTED_VALUE"""),776.9)</f>
        <v>776.9</v>
      </c>
      <c r="C73" s="5">
        <f>IFERROR(__xludf.DUMMYFUNCTION("""COMPUTED_VALUE"""),777.8)</f>
        <v>777.8</v>
      </c>
      <c r="D73" s="5">
        <f>IFERROR(__xludf.DUMMYFUNCTION("""COMPUTED_VALUE"""),696.75)</f>
        <v>696.75</v>
      </c>
      <c r="E73" s="5">
        <f>IFERROR(__xludf.DUMMYFUNCTION("""COMPUTED_VALUE"""),708.4)</f>
        <v>708.4</v>
      </c>
      <c r="F73" s="5">
        <f>IFERROR(__xludf.DUMMYFUNCTION("""COMPUTED_VALUE"""),8890348.0)</f>
        <v>8890348</v>
      </c>
    </row>
    <row r="74">
      <c r="A74" s="6">
        <f>IFERROR(__xludf.DUMMYFUNCTION("""COMPUTED_VALUE"""),45709.64583333333)</f>
        <v>45709.64583</v>
      </c>
      <c r="B74" s="5">
        <f>IFERROR(__xludf.DUMMYFUNCTION("""COMPUTED_VALUE"""),703.85)</f>
        <v>703.85</v>
      </c>
      <c r="C74" s="5">
        <f>IFERROR(__xludf.DUMMYFUNCTION("""COMPUTED_VALUE"""),708.75)</f>
        <v>708.75</v>
      </c>
      <c r="D74" s="5">
        <f>IFERROR(__xludf.DUMMYFUNCTION("""COMPUTED_VALUE"""),660.0)</f>
        <v>660</v>
      </c>
      <c r="E74" s="5">
        <f>IFERROR(__xludf.DUMMYFUNCTION("""COMPUTED_VALUE"""),670.95)</f>
        <v>670.95</v>
      </c>
      <c r="F74" s="5">
        <f>IFERROR(__xludf.DUMMYFUNCTION("""COMPUTED_VALUE"""),9729517.0)</f>
        <v>9729517</v>
      </c>
    </row>
    <row r="75">
      <c r="A75" s="6">
        <f>IFERROR(__xludf.DUMMYFUNCTION("""COMPUTED_VALUE"""),45716.64583333333)</f>
        <v>45716.64583</v>
      </c>
      <c r="B75" s="5">
        <f>IFERROR(__xludf.DUMMYFUNCTION("""COMPUTED_VALUE"""),670.0)</f>
        <v>670</v>
      </c>
      <c r="C75" s="5">
        <f>IFERROR(__xludf.DUMMYFUNCTION("""COMPUTED_VALUE"""),686.35)</f>
        <v>686.35</v>
      </c>
      <c r="D75" s="5">
        <f>IFERROR(__xludf.DUMMYFUNCTION("""COMPUTED_VALUE"""),648.05)</f>
        <v>648.05</v>
      </c>
      <c r="E75" s="5">
        <f>IFERROR(__xludf.DUMMYFUNCTION("""COMPUTED_VALUE"""),650.9)</f>
        <v>650.9</v>
      </c>
      <c r="F75" s="5">
        <f>IFERROR(__xludf.DUMMYFUNCTION("""COMPUTED_VALUE"""),5767688.0)</f>
        <v>5767688</v>
      </c>
    </row>
    <row r="76">
      <c r="A76" s="6">
        <f>IFERROR(__xludf.DUMMYFUNCTION("""COMPUTED_VALUE"""),45723.64583333333)</f>
        <v>45723.64583</v>
      </c>
      <c r="B76" s="5">
        <f>IFERROR(__xludf.DUMMYFUNCTION("""COMPUTED_VALUE"""),652.55)</f>
        <v>652.55</v>
      </c>
      <c r="C76" s="5">
        <f>IFERROR(__xludf.DUMMYFUNCTION("""COMPUTED_VALUE"""),753.9)</f>
        <v>753.9</v>
      </c>
      <c r="D76" s="5">
        <f>IFERROR(__xludf.DUMMYFUNCTION("""COMPUTED_VALUE"""),639.45)</f>
        <v>639.45</v>
      </c>
      <c r="E76" s="5">
        <f>IFERROR(__xludf.DUMMYFUNCTION("""COMPUTED_VALUE"""),747.6)</f>
        <v>747.6</v>
      </c>
      <c r="F76" s="5">
        <f>IFERROR(__xludf.DUMMYFUNCTION("""COMPUTED_VALUE"""),1.6019935E7)</f>
        <v>16019935</v>
      </c>
    </row>
    <row r="77">
      <c r="A77" s="6">
        <f>IFERROR(__xludf.DUMMYFUNCTION("""COMPUTED_VALUE"""),45729.64583333333)</f>
        <v>45729.64583</v>
      </c>
      <c r="B77" s="5">
        <f>IFERROR(__xludf.DUMMYFUNCTION("""COMPUTED_VALUE"""),747.0)</f>
        <v>747</v>
      </c>
      <c r="C77" s="5">
        <f>IFERROR(__xludf.DUMMYFUNCTION("""COMPUTED_VALUE"""),795.95)</f>
        <v>795.95</v>
      </c>
      <c r="D77" s="5">
        <f>IFERROR(__xludf.DUMMYFUNCTION("""COMPUTED_VALUE"""),738.0)</f>
        <v>738</v>
      </c>
      <c r="E77" s="5">
        <f>IFERROR(__xludf.DUMMYFUNCTION("""COMPUTED_VALUE"""),783.2)</f>
        <v>783.2</v>
      </c>
      <c r="F77" s="5">
        <f>IFERROR(__xludf.DUMMYFUNCTION("""COMPUTED_VALUE"""),1.4582888E7)</f>
        <v>14582888</v>
      </c>
    </row>
    <row r="78">
      <c r="A78" s="6">
        <f>IFERROR(__xludf.DUMMYFUNCTION("""COMPUTED_VALUE"""),45737.64583333333)</f>
        <v>45737.64583</v>
      </c>
      <c r="B78" s="5">
        <f>IFERROR(__xludf.DUMMYFUNCTION("""COMPUTED_VALUE"""),779.8)</f>
        <v>779.8</v>
      </c>
      <c r="C78" s="5">
        <f>IFERROR(__xludf.DUMMYFUNCTION("""COMPUTED_VALUE"""),846.95)</f>
        <v>846.95</v>
      </c>
      <c r="D78" s="5">
        <f>IFERROR(__xludf.DUMMYFUNCTION("""COMPUTED_VALUE"""),776.8)</f>
        <v>776.8</v>
      </c>
      <c r="E78" s="5">
        <f>IFERROR(__xludf.DUMMYFUNCTION("""COMPUTED_VALUE"""),831.7)</f>
        <v>831.7</v>
      </c>
      <c r="F78" s="5">
        <f>IFERROR(__xludf.DUMMYFUNCTION("""COMPUTED_VALUE"""),8611607.0)</f>
        <v>8611607</v>
      </c>
    </row>
    <row r="79">
      <c r="A79" s="6">
        <f>IFERROR(__xludf.DUMMYFUNCTION("""COMPUTED_VALUE"""),45744.64583333333)</f>
        <v>45744.64583</v>
      </c>
      <c r="B79" s="5">
        <f>IFERROR(__xludf.DUMMYFUNCTION("""COMPUTED_VALUE"""),838.75)</f>
        <v>838.75</v>
      </c>
      <c r="C79" s="5">
        <f>IFERROR(__xludf.DUMMYFUNCTION("""COMPUTED_VALUE"""),894.9)</f>
        <v>894.9</v>
      </c>
      <c r="D79" s="5">
        <f>IFERROR(__xludf.DUMMYFUNCTION("""COMPUTED_VALUE"""),796.05)</f>
        <v>796.05</v>
      </c>
      <c r="E79" s="5">
        <f>IFERROR(__xludf.DUMMYFUNCTION("""COMPUTED_VALUE"""),872.0)</f>
        <v>872</v>
      </c>
      <c r="F79" s="5">
        <f>IFERROR(__xludf.DUMMYFUNCTION("""COMPUTED_VALUE"""),1.8500935E7)</f>
        <v>18500935</v>
      </c>
    </row>
    <row r="80">
      <c r="A80" s="6">
        <f>IFERROR(__xludf.DUMMYFUNCTION("""COMPUTED_VALUE"""),45751.64583333333)</f>
        <v>45751.64583</v>
      </c>
      <c r="B80" s="5">
        <f>IFERROR(__xludf.DUMMYFUNCTION("""COMPUTED_VALUE"""),857.4)</f>
        <v>857.4</v>
      </c>
      <c r="C80" s="5">
        <f>IFERROR(__xludf.DUMMYFUNCTION("""COMPUTED_VALUE"""),901.0)</f>
        <v>901</v>
      </c>
      <c r="D80" s="5">
        <f>IFERROR(__xludf.DUMMYFUNCTION("""COMPUTED_VALUE"""),839.3)</f>
        <v>839.3</v>
      </c>
      <c r="E80" s="5">
        <f>IFERROR(__xludf.DUMMYFUNCTION("""COMPUTED_VALUE"""),859.4)</f>
        <v>859.4</v>
      </c>
      <c r="F80" s="5">
        <f>IFERROR(__xludf.DUMMYFUNCTION("""COMPUTED_VALUE"""),7096156.0)</f>
        <v>7096156</v>
      </c>
    </row>
    <row r="81">
      <c r="A81" s="6">
        <f>IFERROR(__xludf.DUMMYFUNCTION("""COMPUTED_VALUE"""),45758.64583333333)</f>
        <v>45758.64583</v>
      </c>
      <c r="B81" s="5">
        <f>IFERROR(__xludf.DUMMYFUNCTION("""COMPUTED_VALUE"""),780.5)</f>
        <v>780.5</v>
      </c>
      <c r="C81" s="5">
        <f>IFERROR(__xludf.DUMMYFUNCTION("""COMPUTED_VALUE"""),863.35)</f>
        <v>863.35</v>
      </c>
      <c r="D81" s="5">
        <f>IFERROR(__xludf.DUMMYFUNCTION("""COMPUTED_VALUE"""),780.5)</f>
        <v>780.5</v>
      </c>
      <c r="E81" s="5">
        <f>IFERROR(__xludf.DUMMYFUNCTION("""COMPUTED_VALUE"""),844.8)</f>
        <v>844.8</v>
      </c>
      <c r="F81" s="5">
        <f>IFERROR(__xludf.DUMMYFUNCTION("""COMPUTED_VALUE"""),7282587.0)</f>
        <v>7282587</v>
      </c>
    </row>
    <row r="82">
      <c r="A82" s="6">
        <f>IFERROR(__xludf.DUMMYFUNCTION("""COMPUTED_VALUE"""),45764.64583333333)</f>
        <v>45764.64583</v>
      </c>
      <c r="B82" s="5">
        <f>IFERROR(__xludf.DUMMYFUNCTION("""COMPUTED_VALUE"""),855.65)</f>
        <v>855.65</v>
      </c>
      <c r="C82" s="5">
        <f>IFERROR(__xludf.DUMMYFUNCTION("""COMPUTED_VALUE"""),937.0)</f>
        <v>937</v>
      </c>
      <c r="D82" s="5">
        <f>IFERROR(__xludf.DUMMYFUNCTION("""COMPUTED_VALUE"""),851.45)</f>
        <v>851.45</v>
      </c>
      <c r="E82" s="5">
        <f>IFERROR(__xludf.DUMMYFUNCTION("""COMPUTED_VALUE"""),914.15)</f>
        <v>914.15</v>
      </c>
      <c r="F82" s="5">
        <f>IFERROR(__xludf.DUMMYFUNCTION("""COMPUTED_VALUE"""),9056115.0)</f>
        <v>9056115</v>
      </c>
    </row>
    <row r="83">
      <c r="A83" s="6">
        <f>IFERROR(__xludf.DUMMYFUNCTION("""COMPUTED_VALUE"""),45772.64583333333)</f>
        <v>45772.64583</v>
      </c>
      <c r="B83" s="5">
        <f>IFERROR(__xludf.DUMMYFUNCTION("""COMPUTED_VALUE"""),924.0)</f>
        <v>924</v>
      </c>
      <c r="C83" s="5">
        <f>IFERROR(__xludf.DUMMYFUNCTION("""COMPUTED_VALUE"""),981.0)</f>
        <v>981</v>
      </c>
      <c r="D83" s="5">
        <f>IFERROR(__xludf.DUMMYFUNCTION("""COMPUTED_VALUE"""),901.6)</f>
        <v>901.6</v>
      </c>
      <c r="E83" s="5">
        <f>IFERROR(__xludf.DUMMYFUNCTION("""COMPUTED_VALUE"""),914.35)</f>
        <v>914.35</v>
      </c>
      <c r="F83" s="5">
        <f>IFERROR(__xludf.DUMMYFUNCTION("""COMPUTED_VALUE"""),1.5740137E7)</f>
        <v>15740137</v>
      </c>
    </row>
    <row r="84">
      <c r="A84" s="6">
        <f>IFERROR(__xludf.DUMMYFUNCTION("""COMPUTED_VALUE"""),45779.64583333333)</f>
        <v>45779.64583</v>
      </c>
      <c r="B84" s="5">
        <f>IFERROR(__xludf.DUMMYFUNCTION("""COMPUTED_VALUE"""),914.0)</f>
        <v>914</v>
      </c>
      <c r="C84" s="5">
        <f>IFERROR(__xludf.DUMMYFUNCTION("""COMPUTED_VALUE"""),941.6)</f>
        <v>941.6</v>
      </c>
      <c r="D84" s="5">
        <f>IFERROR(__xludf.DUMMYFUNCTION("""COMPUTED_VALUE"""),892.0)</f>
        <v>892</v>
      </c>
      <c r="E84" s="5">
        <f>IFERROR(__xludf.DUMMYFUNCTION("""COMPUTED_VALUE"""),907.15)</f>
        <v>907.15</v>
      </c>
      <c r="F84" s="5">
        <f>IFERROR(__xludf.DUMMYFUNCTION("""COMPUTED_VALUE"""),6782600.0)</f>
        <v>6782600</v>
      </c>
    </row>
    <row r="85">
      <c r="A85" s="6">
        <f>IFERROR(__xludf.DUMMYFUNCTION("""COMPUTED_VALUE"""),45786.64583333333)</f>
        <v>45786.64583</v>
      </c>
      <c r="B85" s="5">
        <f>IFERROR(__xludf.DUMMYFUNCTION("""COMPUTED_VALUE"""),911.0)</f>
        <v>911</v>
      </c>
      <c r="C85" s="5">
        <f>IFERROR(__xludf.DUMMYFUNCTION("""COMPUTED_VALUE"""),980.85)</f>
        <v>980.85</v>
      </c>
      <c r="D85" s="5">
        <f>IFERROR(__xludf.DUMMYFUNCTION("""COMPUTED_VALUE"""),806.1)</f>
        <v>806.1</v>
      </c>
      <c r="E85" s="5">
        <f>IFERROR(__xludf.DUMMYFUNCTION("""COMPUTED_VALUE"""),827.1)</f>
        <v>827.1</v>
      </c>
      <c r="F85" s="5">
        <f>IFERROR(__xludf.DUMMYFUNCTION("""COMPUTED_VALUE"""),1.9895356E7)</f>
        <v>19895356</v>
      </c>
    </row>
    <row r="86">
      <c r="A86" s="6">
        <f>IFERROR(__xludf.DUMMYFUNCTION("""COMPUTED_VALUE"""),45793.64583333333)</f>
        <v>45793.64583</v>
      </c>
      <c r="B86" s="5">
        <f>IFERROR(__xludf.DUMMYFUNCTION("""COMPUTED_VALUE"""),860.0)</f>
        <v>860</v>
      </c>
      <c r="C86" s="5">
        <f>IFERROR(__xludf.DUMMYFUNCTION("""COMPUTED_VALUE"""),934.75)</f>
        <v>934.75</v>
      </c>
      <c r="D86" s="5">
        <f>IFERROR(__xludf.DUMMYFUNCTION("""COMPUTED_VALUE"""),851.05)</f>
        <v>851.05</v>
      </c>
      <c r="E86" s="5">
        <f>IFERROR(__xludf.DUMMYFUNCTION("""COMPUTED_VALUE"""),915.05)</f>
        <v>915.05</v>
      </c>
      <c r="F86" s="5">
        <f>IFERROR(__xludf.DUMMYFUNCTION("""COMPUTED_VALUE"""),1.1506441E7)</f>
        <v>11506441</v>
      </c>
    </row>
    <row r="87">
      <c r="A87" s="6">
        <f>IFERROR(__xludf.DUMMYFUNCTION("""COMPUTED_VALUE"""),45800.64583333333)</f>
        <v>45800.64583</v>
      </c>
      <c r="B87" s="5">
        <f>IFERROR(__xludf.DUMMYFUNCTION("""COMPUTED_VALUE"""),920.0)</f>
        <v>920</v>
      </c>
      <c r="C87" s="5">
        <f>IFERROR(__xludf.DUMMYFUNCTION("""COMPUTED_VALUE"""),920.8)</f>
        <v>920.8</v>
      </c>
      <c r="D87" s="5">
        <f>IFERROR(__xludf.DUMMYFUNCTION("""COMPUTED_VALUE"""),860.5)</f>
        <v>860.5</v>
      </c>
      <c r="E87" s="5">
        <f>IFERROR(__xludf.DUMMYFUNCTION("""COMPUTED_VALUE"""),876.55)</f>
        <v>876.55</v>
      </c>
      <c r="F87" s="5">
        <f>IFERROR(__xludf.DUMMYFUNCTION("""COMPUTED_VALUE"""),6600237.0)</f>
        <v>6600237</v>
      </c>
    </row>
    <row r="88">
      <c r="A88" s="6">
        <f>IFERROR(__xludf.DUMMYFUNCTION("""COMPUTED_VALUE"""),45807.64583333333)</f>
        <v>45807.64583</v>
      </c>
      <c r="B88" s="5">
        <f>IFERROR(__xludf.DUMMYFUNCTION("""COMPUTED_VALUE"""),877.95)</f>
        <v>877.95</v>
      </c>
      <c r="C88" s="5">
        <f>IFERROR(__xludf.DUMMYFUNCTION("""COMPUTED_VALUE"""),898.2)</f>
        <v>898.2</v>
      </c>
      <c r="D88" s="5">
        <f>IFERROR(__xludf.DUMMYFUNCTION("""COMPUTED_VALUE"""),862.0)</f>
        <v>862</v>
      </c>
      <c r="E88" s="5">
        <f>IFERROR(__xludf.DUMMYFUNCTION("""COMPUTED_VALUE"""),867.2)</f>
        <v>867.2</v>
      </c>
      <c r="F88" s="5">
        <f>IFERROR(__xludf.DUMMYFUNCTION("""COMPUTED_VALUE"""),7032387.0)</f>
        <v>7032387</v>
      </c>
    </row>
    <row r="89">
      <c r="A89" s="6">
        <f>IFERROR(__xludf.DUMMYFUNCTION("""COMPUTED_VALUE"""),45814.64583333333)</f>
        <v>45814.64583</v>
      </c>
      <c r="B89" s="5">
        <f>IFERROR(__xludf.DUMMYFUNCTION("""COMPUTED_VALUE"""),874.8)</f>
        <v>874.8</v>
      </c>
      <c r="C89" s="5">
        <f>IFERROR(__xludf.DUMMYFUNCTION("""COMPUTED_VALUE"""),892.5)</f>
        <v>892.5</v>
      </c>
      <c r="D89" s="5">
        <f>IFERROR(__xludf.DUMMYFUNCTION("""COMPUTED_VALUE"""),851.55)</f>
        <v>851.55</v>
      </c>
      <c r="E89" s="5">
        <f>IFERROR(__xludf.DUMMYFUNCTION("""COMPUTED_VALUE"""),884.1)</f>
        <v>884.1</v>
      </c>
      <c r="F89" s="5">
        <f>IFERROR(__xludf.DUMMYFUNCTION("""COMPUTED_VALUE"""),2.6074003E7)</f>
        <v>26074003</v>
      </c>
    </row>
    <row r="90">
      <c r="A90" s="6">
        <f>IFERROR(__xludf.DUMMYFUNCTION("""COMPUTED_VALUE"""),45821.64583333333)</f>
        <v>45821.64583</v>
      </c>
      <c r="B90" s="5">
        <f>IFERROR(__xludf.DUMMYFUNCTION("""COMPUTED_VALUE"""),888.5)</f>
        <v>888.5</v>
      </c>
      <c r="C90" s="5">
        <f>IFERROR(__xludf.DUMMYFUNCTION("""COMPUTED_VALUE"""),924.35)</f>
        <v>924.35</v>
      </c>
      <c r="D90" s="5">
        <f>IFERROR(__xludf.DUMMYFUNCTION("""COMPUTED_VALUE"""),851.7)</f>
        <v>851.7</v>
      </c>
      <c r="E90" s="5">
        <f>IFERROR(__xludf.DUMMYFUNCTION("""COMPUTED_VALUE"""),861.0)</f>
        <v>861</v>
      </c>
      <c r="F90" s="5">
        <f>IFERROR(__xludf.DUMMYFUNCTION("""COMPUTED_VALUE"""),2.8525482E7)</f>
        <v>28525482</v>
      </c>
    </row>
    <row r="91">
      <c r="A91" s="6">
        <f>IFERROR(__xludf.DUMMYFUNCTION("""COMPUTED_VALUE"""),45828.64583333333)</f>
        <v>45828.64583</v>
      </c>
      <c r="B91" s="5">
        <f>IFERROR(__xludf.DUMMYFUNCTION("""COMPUTED_VALUE"""),861.0)</f>
        <v>861</v>
      </c>
      <c r="C91" s="5">
        <f>IFERROR(__xludf.DUMMYFUNCTION("""COMPUTED_VALUE"""),871.0)</f>
        <v>871</v>
      </c>
      <c r="D91" s="5">
        <f>IFERROR(__xludf.DUMMYFUNCTION("""COMPUTED_VALUE"""),818.0)</f>
        <v>818</v>
      </c>
      <c r="E91" s="5">
        <f>IFERROR(__xludf.DUMMYFUNCTION("""COMPUTED_VALUE"""),828.1)</f>
        <v>828.1</v>
      </c>
      <c r="F91" s="5">
        <f>IFERROR(__xludf.DUMMYFUNCTION("""COMPUTED_VALUE"""),1.3627292E7)</f>
        <v>13627292</v>
      </c>
    </row>
    <row r="92">
      <c r="A92" s="6">
        <f>IFERROR(__xludf.DUMMYFUNCTION("""COMPUTED_VALUE"""),45835.64583333333)</f>
        <v>45835.64583</v>
      </c>
      <c r="B92" s="5">
        <f>IFERROR(__xludf.DUMMYFUNCTION("""COMPUTED_VALUE"""),817.95)</f>
        <v>817.95</v>
      </c>
      <c r="C92" s="5">
        <f>IFERROR(__xludf.DUMMYFUNCTION("""COMPUTED_VALUE"""),900.85)</f>
        <v>900.85</v>
      </c>
      <c r="D92" s="5">
        <f>IFERROR(__xludf.DUMMYFUNCTION("""COMPUTED_VALUE"""),817.8)</f>
        <v>817.8</v>
      </c>
      <c r="E92" s="5">
        <f>IFERROR(__xludf.DUMMYFUNCTION("""COMPUTED_VALUE"""),883.7)</f>
        <v>883.7</v>
      </c>
      <c r="F92" s="5">
        <f>IFERROR(__xludf.DUMMYFUNCTION("""COMPUTED_VALUE"""),1.1153514E7)</f>
        <v>11153514</v>
      </c>
    </row>
    <row r="93">
      <c r="A93" s="6">
        <f>IFERROR(__xludf.DUMMYFUNCTION("""COMPUTED_VALUE"""),45842.64583333333)</f>
        <v>45842.64583</v>
      </c>
      <c r="B93" s="5">
        <f>IFERROR(__xludf.DUMMYFUNCTION("""COMPUTED_VALUE"""),886.0)</f>
        <v>886</v>
      </c>
      <c r="C93" s="5">
        <f>IFERROR(__xludf.DUMMYFUNCTION("""COMPUTED_VALUE"""),892.3)</f>
        <v>892.3</v>
      </c>
      <c r="D93" s="5">
        <f>IFERROR(__xludf.DUMMYFUNCTION("""COMPUTED_VALUE"""),867.15)</f>
        <v>867.15</v>
      </c>
      <c r="E93" s="5">
        <f>IFERROR(__xludf.DUMMYFUNCTION("""COMPUTED_VALUE"""),877.2)</f>
        <v>877.2</v>
      </c>
      <c r="F93" s="5">
        <f>IFERROR(__xludf.DUMMYFUNCTION("""COMPUTED_VALUE"""),1.4480993E7)</f>
        <v>14480993</v>
      </c>
    </row>
    <row r="94">
      <c r="A94" s="6">
        <f>IFERROR(__xludf.DUMMYFUNCTION("""COMPUTED_VALUE"""),45849.64583333333)</f>
        <v>45849.64583</v>
      </c>
      <c r="B94" s="5">
        <f>IFERROR(__xludf.DUMMYFUNCTION("""COMPUTED_VALUE"""),876.0)</f>
        <v>876</v>
      </c>
      <c r="C94" s="5">
        <f>IFERROR(__xludf.DUMMYFUNCTION("""COMPUTED_VALUE"""),907.7)</f>
        <v>907.7</v>
      </c>
      <c r="D94" s="5">
        <f>IFERROR(__xludf.DUMMYFUNCTION("""COMPUTED_VALUE"""),869.1)</f>
        <v>869.1</v>
      </c>
      <c r="E94" s="5">
        <f>IFERROR(__xludf.DUMMYFUNCTION("""COMPUTED_VALUE"""),874.05)</f>
        <v>874.05</v>
      </c>
      <c r="F94" s="5">
        <f>IFERROR(__xludf.DUMMYFUNCTION("""COMPUTED_VALUE"""),1.1926078E7)</f>
        <v>11926078</v>
      </c>
    </row>
    <row r="95">
      <c r="A95" s="6">
        <f>IFERROR(__xludf.DUMMYFUNCTION("""COMPUTED_VALUE"""),45856.64583333333)</f>
        <v>45856.64583</v>
      </c>
      <c r="B95" s="5">
        <f>IFERROR(__xludf.DUMMYFUNCTION("""COMPUTED_VALUE"""),876.8)</f>
        <v>876.8</v>
      </c>
      <c r="C95" s="5">
        <f>IFERROR(__xludf.DUMMYFUNCTION("""COMPUTED_VALUE"""),887.8)</f>
        <v>887.8</v>
      </c>
      <c r="D95" s="5">
        <f>IFERROR(__xludf.DUMMYFUNCTION("""COMPUTED_VALUE"""),867.0)</f>
        <v>867</v>
      </c>
      <c r="E95" s="5">
        <f>IFERROR(__xludf.DUMMYFUNCTION("""COMPUTED_VALUE"""),869.35)</f>
        <v>869.35</v>
      </c>
      <c r="F95" s="5">
        <f>IFERROR(__xludf.DUMMYFUNCTION("""COMPUTED_VALUE"""),4278186.0)</f>
        <v>4278186</v>
      </c>
    </row>
    <row r="96">
      <c r="A96" s="6">
        <f>IFERROR(__xludf.DUMMYFUNCTION("""COMPUTED_VALUE"""),45863.64583333333)</f>
        <v>45863.64583</v>
      </c>
      <c r="B96" s="5">
        <f>IFERROR(__xludf.DUMMYFUNCTION("""COMPUTED_VALUE"""),870.95)</f>
        <v>870.95</v>
      </c>
      <c r="C96" s="5">
        <f>IFERROR(__xludf.DUMMYFUNCTION("""COMPUTED_VALUE"""),881.0)</f>
        <v>881</v>
      </c>
      <c r="D96" s="5">
        <f>IFERROR(__xludf.DUMMYFUNCTION("""COMPUTED_VALUE"""),812.15)</f>
        <v>812.15</v>
      </c>
      <c r="E96" s="5">
        <f>IFERROR(__xludf.DUMMYFUNCTION("""COMPUTED_VALUE"""),817.15)</f>
        <v>817.15</v>
      </c>
      <c r="F96" s="5">
        <f>IFERROR(__xludf.DUMMYFUNCTION("""COMPUTED_VALUE"""),6201470.0)</f>
        <v>6201470</v>
      </c>
    </row>
    <row r="97">
      <c r="A97" s="6">
        <f>IFERROR(__xludf.DUMMYFUNCTION("""COMPUTED_VALUE"""),45870.64583333333)</f>
        <v>45870.64583</v>
      </c>
      <c r="B97" s="5">
        <f>IFERROR(__xludf.DUMMYFUNCTION("""COMPUTED_VALUE"""),819.7)</f>
        <v>819.7</v>
      </c>
      <c r="C97" s="5">
        <f>IFERROR(__xludf.DUMMYFUNCTION("""COMPUTED_VALUE"""),834.0)</f>
        <v>834</v>
      </c>
      <c r="D97" s="5">
        <f>IFERROR(__xludf.DUMMYFUNCTION("""COMPUTED_VALUE"""),791.1)</f>
        <v>791.1</v>
      </c>
      <c r="E97" s="5">
        <f>IFERROR(__xludf.DUMMYFUNCTION("""COMPUTED_VALUE"""),793.05)</f>
        <v>793.05</v>
      </c>
      <c r="F97" s="5">
        <f>IFERROR(__xludf.DUMMYFUNCTION("""COMPUTED_VALUE"""),4413133.0)</f>
        <v>4413133</v>
      </c>
    </row>
    <row r="98">
      <c r="A98" s="6">
        <f>IFERROR(__xludf.DUMMYFUNCTION("""COMPUTED_VALUE"""),45877.64583333333)</f>
        <v>45877.64583</v>
      </c>
      <c r="B98" s="5">
        <f>IFERROR(__xludf.DUMMYFUNCTION("""COMPUTED_VALUE"""),796.95)</f>
        <v>796.95</v>
      </c>
      <c r="C98" s="5">
        <f>IFERROR(__xludf.DUMMYFUNCTION("""COMPUTED_VALUE"""),806.35)</f>
        <v>806.35</v>
      </c>
      <c r="D98" s="5">
        <f>IFERROR(__xludf.DUMMYFUNCTION("""COMPUTED_VALUE"""),769.05)</f>
        <v>769.05</v>
      </c>
      <c r="E98" s="5">
        <f>IFERROR(__xludf.DUMMYFUNCTION("""COMPUTED_VALUE"""),790.15)</f>
        <v>790.15</v>
      </c>
      <c r="F98" s="5">
        <f>IFERROR(__xludf.DUMMYFUNCTION("""COMPUTED_VALUE"""),2.7373913E7)</f>
        <v>27373913</v>
      </c>
    </row>
    <row r="99">
      <c r="A99" s="6">
        <f>IFERROR(__xludf.DUMMYFUNCTION("""COMPUTED_VALUE"""),45883.64583333333)</f>
        <v>45883.64583</v>
      </c>
      <c r="B99" s="5">
        <f>IFERROR(__xludf.DUMMYFUNCTION("""COMPUTED_VALUE"""),788.0)</f>
        <v>788</v>
      </c>
      <c r="C99" s="5">
        <f>IFERROR(__xludf.DUMMYFUNCTION("""COMPUTED_VALUE"""),801.15)</f>
        <v>801.15</v>
      </c>
      <c r="D99" s="5">
        <f>IFERROR(__xludf.DUMMYFUNCTION("""COMPUTED_VALUE"""),774.45)</f>
        <v>774.45</v>
      </c>
      <c r="E99" s="5">
        <f>IFERROR(__xludf.DUMMYFUNCTION("""COMPUTED_VALUE"""),775.8)</f>
        <v>775.8</v>
      </c>
      <c r="F99" s="5">
        <f>IFERROR(__xludf.DUMMYFUNCTION("""COMPUTED_VALUE"""),8726570.0)</f>
        <v>8726570</v>
      </c>
    </row>
    <row r="100">
      <c r="A100" s="6">
        <f>IFERROR(__xludf.DUMMYFUNCTION("""COMPUTED_VALUE"""),45891.64583333333)</f>
        <v>45891.64583</v>
      </c>
      <c r="B100" s="5">
        <f>IFERROR(__xludf.DUMMYFUNCTION("""COMPUTED_VALUE"""),787.0)</f>
        <v>787</v>
      </c>
      <c r="C100" s="5">
        <f>IFERROR(__xludf.DUMMYFUNCTION("""COMPUTED_VALUE"""),831.9)</f>
        <v>831.9</v>
      </c>
      <c r="D100" s="5">
        <f>IFERROR(__xludf.DUMMYFUNCTION("""COMPUTED_VALUE"""),783.0)</f>
        <v>783</v>
      </c>
      <c r="E100" s="5">
        <f>IFERROR(__xludf.DUMMYFUNCTION("""COMPUTED_VALUE"""),800.15)</f>
        <v>800.15</v>
      </c>
      <c r="F100" s="5">
        <f>IFERROR(__xludf.DUMMYFUNCTION("""COMPUTED_VALUE"""),4220750.0)</f>
        <v>4220750</v>
      </c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IFERROR(__xludf.DUMMYFUNCTION("GOOGLEFINANCE(""NSE:ETERNAL"", ""all"",ConfigSheet!B2 -ConfigSheet!B1,ConfigSheet!B2,ConfigSheet!B3)"),"#N/A")</f>
        <v>#N/A</v>
      </c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IFERROR(__xludf.DUMMYFUNCTION("GOOGLEFINANCE(""NSE:EXIDEIND"", ""all"",ConfigSheet!B2 -ConfigSheet!B1,ConfigSheet!B2,ConfigSheet!B3)"),"#N/A")</f>
        <v>#N/A</v>
      </c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IFERROR(__xludf.DUMMYFUNCTION("GOOGLEFINANCE(""NSE:FEDERALBNK"", ""all"",ConfigSheet!B2 -ConfigSheet!B1,ConfigSheet!B2,ConfigSheet!B3)"),"#N/A")</f>
        <v>#N/A</v>
      </c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IFERROR(__xludf.DUMMYFUNCTION("GOOGLEFINANCE(""NSE:GAIL"", ""all"",ConfigSheet!B2 -ConfigSheet!B1,ConfigSheet!B2,ConfigSheet!B3)"),"#N/A")</f>
        <v>#N/A</v>
      </c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IFERROR(__xludf.DUMMYFUNCTION("GOOGLEFINANCE(""NSE:GLENMARK"", ""all"",ConfigSheet!B2 -ConfigSheet!B1,ConfigSheet!B2,ConfigSheet!B3)"),"#N/A")</f>
        <v>#N/A</v>
      </c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IFERROR(__xludf.DUMMYFUNCTION("GOOGLEFINANCE(""NSE:GMRAIRPORT"", ""all"",ConfigSheet!B2 -ConfigSheet!B1,ConfigSheet!B2,ConfigSheet!B3)"),"#N/A")</f>
        <v>#N/A</v>
      </c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IFERROR(__xludf.DUMMYFUNCTION("GOOGLEFINANCE(""NSE:GODREJCP"", ""all"",ConfigSheet!B2 -ConfigSheet!B1,ConfigSheet!B2,ConfigSheet!B3)"),"#N/A")</f>
        <v>#N/A</v>
      </c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IFERROR(__xludf.DUMMYFUNCTION("GOOGLEFINANCE(""NSE:GODREJPROP"", ""all"",ConfigSheet!B2 -ConfigSheet!B1,ConfigSheet!B2,ConfigSheet!B3)"),"#N/A")</f>
        <v>#N/A</v>
      </c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IFERROR(__xludf.DUMMYFUNCTION("GOOGLEFINANCE(""NSE:GRASIM"", ""all"",ConfigSheet!B2 -ConfigSheet!B1,ConfigSheet!B2,ConfigSheet!B3)"),"#N/A")</f>
        <v>#N/A</v>
      </c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IFERROR(__xludf.DUMMYFUNCTION("GOOGLEFINANCE(""NSE:HAL"", ""all"",ConfigSheet!B2 -ConfigSheet!B1,ConfigSheet!B2,ConfigSheet!B3)"),"#N/A")</f>
        <v>#N/A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IFERROR(__xludf.DUMMYFUNCTION("GOOGLEFINANCE(""NSE:ADANIENT"", ""all"",ConfigSheet!B2 -ConfigSheet!B1,ConfigSheet!B2,ConfigSheet!B3)"),"Date")</f>
        <v>Date</v>
      </c>
      <c r="B1" s="5" t="str">
        <f>IFERROR(__xludf.DUMMYFUNCTION("""COMPUTED_VALUE"""),"Open")</f>
        <v>Open</v>
      </c>
      <c r="C1" s="5" t="str">
        <f>IFERROR(__xludf.DUMMYFUNCTION("""COMPUTED_VALUE"""),"High")</f>
        <v>High</v>
      </c>
      <c r="D1" s="5" t="str">
        <f>IFERROR(__xludf.DUMMYFUNCTION("""COMPUTED_VALUE"""),"Low")</f>
        <v>Low</v>
      </c>
      <c r="E1" s="5" t="str">
        <f>IFERROR(__xludf.DUMMYFUNCTION("""COMPUTED_VALUE"""),"Close")</f>
        <v>Close</v>
      </c>
      <c r="F1" s="5" t="str">
        <f>IFERROR(__xludf.DUMMYFUNCTION("""COMPUTED_VALUE"""),"Volume")</f>
        <v>Volume</v>
      </c>
    </row>
    <row r="2">
      <c r="A2" s="6">
        <f>IFERROR(__xludf.DUMMYFUNCTION("""COMPUTED_VALUE"""),45170.64583333333)</f>
        <v>45170.64583</v>
      </c>
      <c r="B2" s="5">
        <f>IFERROR(__xludf.DUMMYFUNCTION("""COMPUTED_VALUE"""),2550.0)</f>
        <v>2550</v>
      </c>
      <c r="C2" s="5">
        <f>IFERROR(__xludf.DUMMYFUNCTION("""COMPUTED_VALUE"""),2582.0)</f>
        <v>2582</v>
      </c>
      <c r="D2" s="5">
        <f>IFERROR(__xludf.DUMMYFUNCTION("""COMPUTED_VALUE"""),2380.0)</f>
        <v>2380</v>
      </c>
      <c r="E2" s="5">
        <f>IFERROR(__xludf.DUMMYFUNCTION("""COMPUTED_VALUE"""),2450.05)</f>
        <v>2450.05</v>
      </c>
      <c r="F2" s="5">
        <f>IFERROR(__xludf.DUMMYFUNCTION("""COMPUTED_VALUE"""),2.8738547E7)</f>
        <v>28738547</v>
      </c>
    </row>
    <row r="3">
      <c r="A3" s="6">
        <f>IFERROR(__xludf.DUMMYFUNCTION("""COMPUTED_VALUE"""),45177.64583333333)</f>
        <v>45177.64583</v>
      </c>
      <c r="B3" s="5">
        <f>IFERROR(__xludf.DUMMYFUNCTION("""COMPUTED_VALUE"""),2454.0)</f>
        <v>2454</v>
      </c>
      <c r="C3" s="5">
        <f>IFERROR(__xludf.DUMMYFUNCTION("""COMPUTED_VALUE"""),2538.6)</f>
        <v>2538.6</v>
      </c>
      <c r="D3" s="5">
        <f>IFERROR(__xludf.DUMMYFUNCTION("""COMPUTED_VALUE"""),2450.05)</f>
        <v>2450.05</v>
      </c>
      <c r="E3" s="5">
        <f>IFERROR(__xludf.DUMMYFUNCTION("""COMPUTED_VALUE"""),2519.3)</f>
        <v>2519.3</v>
      </c>
      <c r="F3" s="5">
        <f>IFERROR(__xludf.DUMMYFUNCTION("""COMPUTED_VALUE"""),2.9843982E7)</f>
        <v>29843982</v>
      </c>
    </row>
    <row r="4">
      <c r="A4" s="6">
        <f>IFERROR(__xludf.DUMMYFUNCTION("""COMPUTED_VALUE"""),45184.64583333333)</f>
        <v>45184.64583</v>
      </c>
      <c r="B4" s="5">
        <f>IFERROR(__xludf.DUMMYFUNCTION("""COMPUTED_VALUE"""),2565.0)</f>
        <v>2565</v>
      </c>
      <c r="C4" s="5">
        <f>IFERROR(__xludf.DUMMYFUNCTION("""COMPUTED_VALUE"""),2630.25)</f>
        <v>2630.25</v>
      </c>
      <c r="D4" s="5">
        <f>IFERROR(__xludf.DUMMYFUNCTION("""COMPUTED_VALUE"""),2496.0)</f>
        <v>2496</v>
      </c>
      <c r="E4" s="5">
        <f>IFERROR(__xludf.DUMMYFUNCTION("""COMPUTED_VALUE"""),2540.05)</f>
        <v>2540.05</v>
      </c>
      <c r="F4" s="5">
        <f>IFERROR(__xludf.DUMMYFUNCTION("""COMPUTED_VALUE"""),1.9352565E7)</f>
        <v>19352565</v>
      </c>
    </row>
    <row r="5">
      <c r="A5" s="6">
        <f>IFERROR(__xludf.DUMMYFUNCTION("""COMPUTED_VALUE"""),45191.64583333333)</f>
        <v>45191.64583</v>
      </c>
      <c r="B5" s="5">
        <f>IFERROR(__xludf.DUMMYFUNCTION("""COMPUTED_VALUE"""),2552.0)</f>
        <v>2552</v>
      </c>
      <c r="C5" s="5">
        <f>IFERROR(__xludf.DUMMYFUNCTION("""COMPUTED_VALUE"""),2555.0)</f>
        <v>2555</v>
      </c>
      <c r="D5" s="5">
        <f>IFERROR(__xludf.DUMMYFUNCTION("""COMPUTED_VALUE"""),2458.9)</f>
        <v>2458.9</v>
      </c>
      <c r="E5" s="5">
        <f>IFERROR(__xludf.DUMMYFUNCTION("""COMPUTED_VALUE"""),2464.9)</f>
        <v>2464.9</v>
      </c>
      <c r="F5" s="5">
        <f>IFERROR(__xludf.DUMMYFUNCTION("""COMPUTED_VALUE"""),4210193.0)</f>
        <v>4210193</v>
      </c>
    </row>
    <row r="6">
      <c r="A6" s="6">
        <f>IFERROR(__xludf.DUMMYFUNCTION("""COMPUTED_VALUE"""),45198.64583333333)</f>
        <v>45198.64583</v>
      </c>
      <c r="B6" s="5">
        <f>IFERROR(__xludf.DUMMYFUNCTION("""COMPUTED_VALUE"""),2479.95)</f>
        <v>2479.95</v>
      </c>
      <c r="C6" s="5">
        <f>IFERROR(__xludf.DUMMYFUNCTION("""COMPUTED_VALUE"""),2511.0)</f>
        <v>2511</v>
      </c>
      <c r="D6" s="5">
        <f>IFERROR(__xludf.DUMMYFUNCTION("""COMPUTED_VALUE"""),2405.05)</f>
        <v>2405.05</v>
      </c>
      <c r="E6" s="5">
        <f>IFERROR(__xludf.DUMMYFUNCTION("""COMPUTED_VALUE"""),2413.9)</f>
        <v>2413.9</v>
      </c>
      <c r="F6" s="5">
        <f>IFERROR(__xludf.DUMMYFUNCTION("""COMPUTED_VALUE"""),6907895.0)</f>
        <v>6907895</v>
      </c>
    </row>
    <row r="7">
      <c r="A7" s="6">
        <f>IFERROR(__xludf.DUMMYFUNCTION("""COMPUTED_VALUE"""),45205.64583333333)</f>
        <v>45205.64583</v>
      </c>
      <c r="B7" s="5">
        <f>IFERROR(__xludf.DUMMYFUNCTION("""COMPUTED_VALUE"""),2418.0)</f>
        <v>2418</v>
      </c>
      <c r="C7" s="5">
        <f>IFERROR(__xludf.DUMMYFUNCTION("""COMPUTED_VALUE"""),2514.95)</f>
        <v>2514.95</v>
      </c>
      <c r="D7" s="5">
        <f>IFERROR(__xludf.DUMMYFUNCTION("""COMPUTED_VALUE"""),2372.0)</f>
        <v>2372</v>
      </c>
      <c r="E7" s="5">
        <f>IFERROR(__xludf.DUMMYFUNCTION("""COMPUTED_VALUE"""),2478.1)</f>
        <v>2478.1</v>
      </c>
      <c r="F7" s="5">
        <f>IFERROR(__xludf.DUMMYFUNCTION("""COMPUTED_VALUE"""),7519766.0)</f>
        <v>7519766</v>
      </c>
    </row>
    <row r="8">
      <c r="A8" s="6">
        <f>IFERROR(__xludf.DUMMYFUNCTION("""COMPUTED_VALUE"""),45212.64583333333)</f>
        <v>45212.64583</v>
      </c>
      <c r="B8" s="5">
        <f>IFERROR(__xludf.DUMMYFUNCTION("""COMPUTED_VALUE"""),2440.0)</f>
        <v>2440</v>
      </c>
      <c r="C8" s="5">
        <f>IFERROR(__xludf.DUMMYFUNCTION("""COMPUTED_VALUE"""),2538.0)</f>
        <v>2538</v>
      </c>
      <c r="D8" s="5">
        <f>IFERROR(__xludf.DUMMYFUNCTION("""COMPUTED_VALUE"""),2411.3)</f>
        <v>2411.3</v>
      </c>
      <c r="E8" s="5">
        <f>IFERROR(__xludf.DUMMYFUNCTION("""COMPUTED_VALUE"""),2454.55)</f>
        <v>2454.55</v>
      </c>
      <c r="F8" s="5">
        <f>IFERROR(__xludf.DUMMYFUNCTION("""COMPUTED_VALUE"""),8891470.0)</f>
        <v>8891470</v>
      </c>
    </row>
    <row r="9">
      <c r="A9" s="6">
        <f>IFERROR(__xludf.DUMMYFUNCTION("""COMPUTED_VALUE"""),45219.64583333333)</f>
        <v>45219.64583</v>
      </c>
      <c r="B9" s="5">
        <f>IFERROR(__xludf.DUMMYFUNCTION("""COMPUTED_VALUE"""),2454.55)</f>
        <v>2454.55</v>
      </c>
      <c r="C9" s="5">
        <f>IFERROR(__xludf.DUMMYFUNCTION("""COMPUTED_VALUE"""),2464.7)</f>
        <v>2464.7</v>
      </c>
      <c r="D9" s="5">
        <f>IFERROR(__xludf.DUMMYFUNCTION("""COMPUTED_VALUE"""),2382.05)</f>
        <v>2382.05</v>
      </c>
      <c r="E9" s="5">
        <f>IFERROR(__xludf.DUMMYFUNCTION("""COMPUTED_VALUE"""),2393.75)</f>
        <v>2393.75</v>
      </c>
      <c r="F9" s="5">
        <f>IFERROR(__xludf.DUMMYFUNCTION("""COMPUTED_VALUE"""),4697548.0)</f>
        <v>4697548</v>
      </c>
    </row>
    <row r="10">
      <c r="A10" s="6">
        <f>IFERROR(__xludf.DUMMYFUNCTION("""COMPUTED_VALUE"""),45226.64583333333)</f>
        <v>45226.64583</v>
      </c>
      <c r="B10" s="5">
        <f>IFERROR(__xludf.DUMMYFUNCTION("""COMPUTED_VALUE"""),2397.8)</f>
        <v>2397.8</v>
      </c>
      <c r="C10" s="5">
        <f>IFERROR(__xludf.DUMMYFUNCTION("""COMPUTED_VALUE"""),2412.35)</f>
        <v>2412.35</v>
      </c>
      <c r="D10" s="5">
        <f>IFERROR(__xludf.DUMMYFUNCTION("""COMPUTED_VALUE"""),2167.05)</f>
        <v>2167.05</v>
      </c>
      <c r="E10" s="5">
        <f>IFERROR(__xludf.DUMMYFUNCTION("""COMPUTED_VALUE"""),2261.7)</f>
        <v>2261.7</v>
      </c>
      <c r="F10" s="5">
        <f>IFERROR(__xludf.DUMMYFUNCTION("""COMPUTED_VALUE"""),6494734.0)</f>
        <v>6494734</v>
      </c>
    </row>
    <row r="11">
      <c r="A11" s="6">
        <f>IFERROR(__xludf.DUMMYFUNCTION("""COMPUTED_VALUE"""),45233.64583333333)</f>
        <v>45233.64583</v>
      </c>
      <c r="B11" s="5">
        <f>IFERROR(__xludf.DUMMYFUNCTION("""COMPUTED_VALUE"""),2260.05)</f>
        <v>2260.05</v>
      </c>
      <c r="C11" s="5">
        <f>IFERROR(__xludf.DUMMYFUNCTION("""COMPUTED_VALUE"""),2320.0)</f>
        <v>2320</v>
      </c>
      <c r="D11" s="5">
        <f>IFERROR(__xludf.DUMMYFUNCTION("""COMPUTED_VALUE"""),2204.2)</f>
        <v>2204.2</v>
      </c>
      <c r="E11" s="5">
        <f>IFERROR(__xludf.DUMMYFUNCTION("""COMPUTED_VALUE"""),2229.85)</f>
        <v>2229.85</v>
      </c>
      <c r="F11" s="5">
        <f>IFERROR(__xludf.DUMMYFUNCTION("""COMPUTED_VALUE"""),8012604.0)</f>
        <v>8012604</v>
      </c>
    </row>
    <row r="12">
      <c r="A12" s="6">
        <f>IFERROR(__xludf.DUMMYFUNCTION("""COMPUTED_VALUE"""),45240.64583333333)</f>
        <v>45240.64583</v>
      </c>
      <c r="B12" s="5">
        <f>IFERROR(__xludf.DUMMYFUNCTION("""COMPUTED_VALUE"""),2253.95)</f>
        <v>2253.95</v>
      </c>
      <c r="C12" s="5">
        <f>IFERROR(__xludf.DUMMYFUNCTION("""COMPUTED_VALUE"""),2298.0)</f>
        <v>2298</v>
      </c>
      <c r="D12" s="5">
        <f>IFERROR(__xludf.DUMMYFUNCTION("""COMPUTED_VALUE"""),2198.5)</f>
        <v>2198.5</v>
      </c>
      <c r="E12" s="5">
        <f>IFERROR(__xludf.DUMMYFUNCTION("""COMPUTED_VALUE"""),2205.1)</f>
        <v>2205.1</v>
      </c>
      <c r="F12" s="5">
        <f>IFERROR(__xludf.DUMMYFUNCTION("""COMPUTED_VALUE"""),4921282.0)</f>
        <v>4921282</v>
      </c>
    </row>
    <row r="13">
      <c r="A13" s="6">
        <f>IFERROR(__xludf.DUMMYFUNCTION("""COMPUTED_VALUE"""),45247.64583333333)</f>
        <v>45247.64583</v>
      </c>
      <c r="B13" s="5">
        <f>IFERROR(__xludf.DUMMYFUNCTION("""COMPUTED_VALUE"""),2219.7)</f>
        <v>2219.7</v>
      </c>
      <c r="C13" s="5">
        <f>IFERROR(__xludf.DUMMYFUNCTION("""COMPUTED_VALUE"""),2250.0)</f>
        <v>2250</v>
      </c>
      <c r="D13" s="5">
        <f>IFERROR(__xludf.DUMMYFUNCTION("""COMPUTED_VALUE"""),2195.55)</f>
        <v>2195.55</v>
      </c>
      <c r="E13" s="5">
        <f>IFERROR(__xludf.DUMMYFUNCTION("""COMPUTED_VALUE"""),2208.8)</f>
        <v>2208.8</v>
      </c>
      <c r="F13" s="5">
        <f>IFERROR(__xludf.DUMMYFUNCTION("""COMPUTED_VALUE"""),3922530.0)</f>
        <v>3922530</v>
      </c>
    </row>
    <row r="14">
      <c r="A14" s="6">
        <f>IFERROR(__xludf.DUMMYFUNCTION("""COMPUTED_VALUE"""),45254.64583333333)</f>
        <v>45254.64583</v>
      </c>
      <c r="B14" s="5">
        <f>IFERROR(__xludf.DUMMYFUNCTION("""COMPUTED_VALUE"""),2211.0)</f>
        <v>2211</v>
      </c>
      <c r="C14" s="5">
        <f>IFERROR(__xludf.DUMMYFUNCTION("""COMPUTED_VALUE"""),2251.95)</f>
        <v>2251.95</v>
      </c>
      <c r="D14" s="5">
        <f>IFERROR(__xludf.DUMMYFUNCTION("""COMPUTED_VALUE"""),2142.0)</f>
        <v>2142</v>
      </c>
      <c r="E14" s="5">
        <f>IFERROR(__xludf.DUMMYFUNCTION("""COMPUTED_VALUE"""),2225.45)</f>
        <v>2225.45</v>
      </c>
      <c r="F14" s="5">
        <f>IFERROR(__xludf.DUMMYFUNCTION("""COMPUTED_VALUE"""),7339293.0)</f>
        <v>7339293</v>
      </c>
    </row>
    <row r="15">
      <c r="A15" s="6">
        <f>IFERROR(__xludf.DUMMYFUNCTION("""COMPUTED_VALUE"""),45261.64583333333)</f>
        <v>45261.64583</v>
      </c>
      <c r="B15" s="5">
        <f>IFERROR(__xludf.DUMMYFUNCTION("""COMPUTED_VALUE"""),2301.0)</f>
        <v>2301</v>
      </c>
      <c r="C15" s="5">
        <f>IFERROR(__xludf.DUMMYFUNCTION("""COMPUTED_VALUE"""),2512.4)</f>
        <v>2512.4</v>
      </c>
      <c r="D15" s="5">
        <f>IFERROR(__xludf.DUMMYFUNCTION("""COMPUTED_VALUE"""),2275.0)</f>
        <v>2275</v>
      </c>
      <c r="E15" s="5">
        <f>IFERROR(__xludf.DUMMYFUNCTION("""COMPUTED_VALUE"""),2362.7)</f>
        <v>2362.7</v>
      </c>
      <c r="F15" s="5">
        <f>IFERROR(__xludf.DUMMYFUNCTION("""COMPUTED_VALUE"""),2.1310711E7)</f>
        <v>21310711</v>
      </c>
    </row>
    <row r="16">
      <c r="A16" s="6">
        <f>IFERROR(__xludf.DUMMYFUNCTION("""COMPUTED_VALUE"""),45268.64583333333)</f>
        <v>45268.64583</v>
      </c>
      <c r="B16" s="5">
        <f>IFERROR(__xludf.DUMMYFUNCTION("""COMPUTED_VALUE"""),2549.95)</f>
        <v>2549.95</v>
      </c>
      <c r="C16" s="5">
        <f>IFERROR(__xludf.DUMMYFUNCTION("""COMPUTED_VALUE"""),3154.55)</f>
        <v>3154.55</v>
      </c>
      <c r="D16" s="5">
        <f>IFERROR(__xludf.DUMMYFUNCTION("""COMPUTED_VALUE"""),2487.45)</f>
        <v>2487.45</v>
      </c>
      <c r="E16" s="5">
        <f>IFERROR(__xludf.DUMMYFUNCTION("""COMPUTED_VALUE"""),2822.15)</f>
        <v>2822.15</v>
      </c>
      <c r="F16" s="5">
        <f>IFERROR(__xludf.DUMMYFUNCTION("""COMPUTED_VALUE"""),6.1201687E7)</f>
        <v>61201687</v>
      </c>
    </row>
    <row r="17">
      <c r="A17" s="6">
        <f>IFERROR(__xludf.DUMMYFUNCTION("""COMPUTED_VALUE"""),45275.64583333333)</f>
        <v>45275.64583</v>
      </c>
      <c r="B17" s="5">
        <f>IFERROR(__xludf.DUMMYFUNCTION("""COMPUTED_VALUE"""),2837.05)</f>
        <v>2837.05</v>
      </c>
      <c r="C17" s="5">
        <f>IFERROR(__xludf.DUMMYFUNCTION("""COMPUTED_VALUE"""),3000.0)</f>
        <v>3000</v>
      </c>
      <c r="D17" s="5">
        <f>IFERROR(__xludf.DUMMYFUNCTION("""COMPUTED_VALUE"""),2805.0)</f>
        <v>2805</v>
      </c>
      <c r="E17" s="5">
        <f>IFERROR(__xludf.DUMMYFUNCTION("""COMPUTED_VALUE"""),2991.8)</f>
        <v>2991.8</v>
      </c>
      <c r="F17" s="5">
        <f>IFERROR(__xludf.DUMMYFUNCTION("""COMPUTED_VALUE"""),1.8033892E7)</f>
        <v>18033892</v>
      </c>
    </row>
    <row r="18">
      <c r="A18" s="6">
        <f>IFERROR(__xludf.DUMMYFUNCTION("""COMPUTED_VALUE"""),45282.64583333333)</f>
        <v>45282.64583</v>
      </c>
      <c r="B18" s="5">
        <f>IFERROR(__xludf.DUMMYFUNCTION("""COMPUTED_VALUE"""),2993.95)</f>
        <v>2993.95</v>
      </c>
      <c r="C18" s="5">
        <f>IFERROR(__xludf.DUMMYFUNCTION("""COMPUTED_VALUE"""),3027.75)</f>
        <v>3027.75</v>
      </c>
      <c r="D18" s="5">
        <f>IFERROR(__xludf.DUMMYFUNCTION("""COMPUTED_VALUE"""),2725.0)</f>
        <v>2725</v>
      </c>
      <c r="E18" s="5">
        <f>IFERROR(__xludf.DUMMYFUNCTION("""COMPUTED_VALUE"""),2808.35)</f>
        <v>2808.35</v>
      </c>
      <c r="F18" s="5">
        <f>IFERROR(__xludf.DUMMYFUNCTION("""COMPUTED_VALUE"""),1.1667687E7)</f>
        <v>11667687</v>
      </c>
    </row>
    <row r="19">
      <c r="A19" s="6">
        <f>IFERROR(__xludf.DUMMYFUNCTION("""COMPUTED_VALUE"""),45289.64583333333)</f>
        <v>45289.64583</v>
      </c>
      <c r="B19" s="5">
        <f>IFERROR(__xludf.DUMMYFUNCTION("""COMPUTED_VALUE"""),2817.0)</f>
        <v>2817</v>
      </c>
      <c r="C19" s="5">
        <f>IFERROR(__xludf.DUMMYFUNCTION("""COMPUTED_VALUE"""),2894.8)</f>
        <v>2894.8</v>
      </c>
      <c r="D19" s="5">
        <f>IFERROR(__xludf.DUMMYFUNCTION("""COMPUTED_VALUE"""),2800.1)</f>
        <v>2800.1</v>
      </c>
      <c r="E19" s="5">
        <f>IFERROR(__xludf.DUMMYFUNCTION("""COMPUTED_VALUE"""),2848.95)</f>
        <v>2848.95</v>
      </c>
      <c r="F19" s="5">
        <f>IFERROR(__xludf.DUMMYFUNCTION("""COMPUTED_VALUE"""),9356807.0)</f>
        <v>9356807</v>
      </c>
    </row>
    <row r="20">
      <c r="A20" s="6">
        <f>IFERROR(__xludf.DUMMYFUNCTION("""COMPUTED_VALUE"""),45296.64583333333)</f>
        <v>45296.64583</v>
      </c>
      <c r="B20" s="5">
        <f>IFERROR(__xludf.DUMMYFUNCTION("""COMPUTED_VALUE"""),2852.3)</f>
        <v>2852.3</v>
      </c>
      <c r="C20" s="5">
        <f>IFERROR(__xludf.DUMMYFUNCTION("""COMPUTED_VALUE"""),3199.0)</f>
        <v>3199</v>
      </c>
      <c r="D20" s="5">
        <f>IFERROR(__xludf.DUMMYFUNCTION("""COMPUTED_VALUE"""),2841.0)</f>
        <v>2841</v>
      </c>
      <c r="E20" s="5">
        <f>IFERROR(__xludf.DUMMYFUNCTION("""COMPUTED_VALUE"""),3006.6)</f>
        <v>3006.6</v>
      </c>
      <c r="F20" s="5">
        <f>IFERROR(__xludf.DUMMYFUNCTION("""COMPUTED_VALUE"""),3.1490967E7)</f>
        <v>31490967</v>
      </c>
    </row>
    <row r="21">
      <c r="A21" s="6">
        <f>IFERROR(__xludf.DUMMYFUNCTION("""COMPUTED_VALUE"""),45303.64583333333)</f>
        <v>45303.64583</v>
      </c>
      <c r="B21" s="5">
        <f>IFERROR(__xludf.DUMMYFUNCTION("""COMPUTED_VALUE"""),3020.0)</f>
        <v>3020</v>
      </c>
      <c r="C21" s="5">
        <f>IFERROR(__xludf.DUMMYFUNCTION("""COMPUTED_VALUE"""),3129.0)</f>
        <v>3129</v>
      </c>
      <c r="D21" s="5">
        <f>IFERROR(__xludf.DUMMYFUNCTION("""COMPUTED_VALUE"""),2952.95)</f>
        <v>2952.95</v>
      </c>
      <c r="E21" s="5">
        <f>IFERROR(__xludf.DUMMYFUNCTION("""COMPUTED_VALUE"""),3104.1)</f>
        <v>3104.1</v>
      </c>
      <c r="F21" s="5">
        <f>IFERROR(__xludf.DUMMYFUNCTION("""COMPUTED_VALUE"""),1.21291E7)</f>
        <v>12129100</v>
      </c>
    </row>
    <row r="22">
      <c r="A22" s="6">
        <f>IFERROR(__xludf.DUMMYFUNCTION("""COMPUTED_VALUE"""),45316.64583333333)</f>
        <v>45316.64583</v>
      </c>
      <c r="B22" s="5">
        <f>IFERROR(__xludf.DUMMYFUNCTION("""COMPUTED_VALUE"""),3014.95)</f>
        <v>3014.95</v>
      </c>
      <c r="C22" s="5">
        <f>IFERROR(__xludf.DUMMYFUNCTION("""COMPUTED_VALUE"""),3014.95)</f>
        <v>3014.95</v>
      </c>
      <c r="D22" s="5">
        <f>IFERROR(__xludf.DUMMYFUNCTION("""COMPUTED_VALUE"""),2804.4)</f>
        <v>2804.4</v>
      </c>
      <c r="E22" s="5">
        <f>IFERROR(__xludf.DUMMYFUNCTION("""COMPUTED_VALUE"""),2893.6)</f>
        <v>2893.6</v>
      </c>
      <c r="F22" s="5">
        <f>IFERROR(__xludf.DUMMYFUNCTION("""COMPUTED_VALUE"""),1.0236911E7)</f>
        <v>10236911</v>
      </c>
    </row>
    <row r="23">
      <c r="A23" s="6">
        <f>IFERROR(__xludf.DUMMYFUNCTION("""COMPUTED_VALUE"""),45324.64583333333)</f>
        <v>45324.64583</v>
      </c>
      <c r="B23" s="5">
        <f>IFERROR(__xludf.DUMMYFUNCTION("""COMPUTED_VALUE"""),2929.0)</f>
        <v>2929</v>
      </c>
      <c r="C23" s="5">
        <f>IFERROR(__xludf.DUMMYFUNCTION("""COMPUTED_VALUE"""),3236.95)</f>
        <v>3236.95</v>
      </c>
      <c r="D23" s="5">
        <f>IFERROR(__xludf.DUMMYFUNCTION("""COMPUTED_VALUE"""),2923.05)</f>
        <v>2923.05</v>
      </c>
      <c r="E23" s="5">
        <f>IFERROR(__xludf.DUMMYFUNCTION("""COMPUTED_VALUE"""),3157.45)</f>
        <v>3157.45</v>
      </c>
      <c r="F23" s="5">
        <f>IFERROR(__xludf.DUMMYFUNCTION("""COMPUTED_VALUE"""),1.7584823E7)</f>
        <v>17584823</v>
      </c>
    </row>
    <row r="24">
      <c r="A24" s="6">
        <f>IFERROR(__xludf.DUMMYFUNCTION("""COMPUTED_VALUE"""),45331.64583333333)</f>
        <v>45331.64583</v>
      </c>
      <c r="B24" s="5">
        <f>IFERROR(__xludf.DUMMYFUNCTION("""COMPUTED_VALUE"""),3170.0)</f>
        <v>3170</v>
      </c>
      <c r="C24" s="5">
        <f>IFERROR(__xludf.DUMMYFUNCTION("""COMPUTED_VALUE"""),3277.95)</f>
        <v>3277.95</v>
      </c>
      <c r="D24" s="5">
        <f>IFERROR(__xludf.DUMMYFUNCTION("""COMPUTED_VALUE"""),3121.2)</f>
        <v>3121.2</v>
      </c>
      <c r="E24" s="5">
        <f>IFERROR(__xludf.DUMMYFUNCTION("""COMPUTED_VALUE"""),3215.2)</f>
        <v>3215.2</v>
      </c>
      <c r="F24" s="5">
        <f>IFERROR(__xludf.DUMMYFUNCTION("""COMPUTED_VALUE"""),9617790.0)</f>
        <v>9617790</v>
      </c>
    </row>
    <row r="25">
      <c r="A25" s="6">
        <f>IFERROR(__xludf.DUMMYFUNCTION("""COMPUTED_VALUE"""),45338.64583333333)</f>
        <v>45338.64583</v>
      </c>
      <c r="B25" s="5">
        <f>IFERROR(__xludf.DUMMYFUNCTION("""COMPUTED_VALUE"""),3229.0)</f>
        <v>3229</v>
      </c>
      <c r="C25" s="5">
        <f>IFERROR(__xludf.DUMMYFUNCTION("""COMPUTED_VALUE"""),3255.25)</f>
        <v>3255.25</v>
      </c>
      <c r="D25" s="5">
        <f>IFERROR(__xludf.DUMMYFUNCTION("""COMPUTED_VALUE"""),3092.05)</f>
        <v>3092.05</v>
      </c>
      <c r="E25" s="5">
        <f>IFERROR(__xludf.DUMMYFUNCTION("""COMPUTED_VALUE"""),3223.6)</f>
        <v>3223.6</v>
      </c>
      <c r="F25" s="5">
        <f>IFERROR(__xludf.DUMMYFUNCTION("""COMPUTED_VALUE"""),8278486.0)</f>
        <v>8278486</v>
      </c>
    </row>
    <row r="26">
      <c r="A26" s="6">
        <f>IFERROR(__xludf.DUMMYFUNCTION("""COMPUTED_VALUE"""),45345.64583333333)</f>
        <v>45345.64583</v>
      </c>
      <c r="B26" s="5">
        <f>IFERROR(__xludf.DUMMYFUNCTION("""COMPUTED_VALUE"""),3240.0)</f>
        <v>3240</v>
      </c>
      <c r="C26" s="5">
        <f>IFERROR(__xludf.DUMMYFUNCTION("""COMPUTED_VALUE"""),3319.95)</f>
        <v>3319.95</v>
      </c>
      <c r="D26" s="5">
        <f>IFERROR(__xludf.DUMMYFUNCTION("""COMPUTED_VALUE"""),3205.0)</f>
        <v>3205</v>
      </c>
      <c r="E26" s="5">
        <f>IFERROR(__xludf.DUMMYFUNCTION("""COMPUTED_VALUE"""),3273.3)</f>
        <v>3273.3</v>
      </c>
      <c r="F26" s="5">
        <f>IFERROR(__xludf.DUMMYFUNCTION("""COMPUTED_VALUE"""),8017852.0)</f>
        <v>8017852</v>
      </c>
    </row>
    <row r="27">
      <c r="A27" s="6">
        <f>IFERROR(__xludf.DUMMYFUNCTION("""COMPUTED_VALUE"""),45358.64583333333)</f>
        <v>45358.64583</v>
      </c>
      <c r="B27" s="5">
        <f>IFERROR(__xludf.DUMMYFUNCTION("""COMPUTED_VALUE"""),3335.0)</f>
        <v>3335</v>
      </c>
      <c r="C27" s="5">
        <f>IFERROR(__xludf.DUMMYFUNCTION("""COMPUTED_VALUE"""),3350.0)</f>
        <v>3350</v>
      </c>
      <c r="D27" s="5">
        <f>IFERROR(__xludf.DUMMYFUNCTION("""COMPUTED_VALUE"""),3183.15)</f>
        <v>3183.15</v>
      </c>
      <c r="E27" s="5">
        <f>IFERROR(__xludf.DUMMYFUNCTION("""COMPUTED_VALUE"""),3226.55)</f>
        <v>3226.55</v>
      </c>
      <c r="F27" s="5">
        <f>IFERROR(__xludf.DUMMYFUNCTION("""COMPUTED_VALUE"""),5043191.0)</f>
        <v>5043191</v>
      </c>
    </row>
    <row r="28">
      <c r="A28" s="6">
        <f>IFERROR(__xludf.DUMMYFUNCTION("""COMPUTED_VALUE"""),45366.64583333333)</f>
        <v>45366.64583</v>
      </c>
      <c r="B28" s="5">
        <f>IFERROR(__xludf.DUMMYFUNCTION("""COMPUTED_VALUE"""),3241.2)</f>
        <v>3241.2</v>
      </c>
      <c r="C28" s="5">
        <f>IFERROR(__xludf.DUMMYFUNCTION("""COMPUTED_VALUE"""),3259.0)</f>
        <v>3259</v>
      </c>
      <c r="D28" s="5">
        <f>IFERROR(__xludf.DUMMYFUNCTION("""COMPUTED_VALUE"""),2850.15)</f>
        <v>2850.15</v>
      </c>
      <c r="E28" s="5">
        <f>IFERROR(__xludf.DUMMYFUNCTION("""COMPUTED_VALUE"""),3132.2)</f>
        <v>3132.2</v>
      </c>
      <c r="F28" s="5">
        <f>IFERROR(__xludf.DUMMYFUNCTION("""COMPUTED_VALUE"""),1.1303572E7)</f>
        <v>11303572</v>
      </c>
    </row>
    <row r="29">
      <c r="A29" s="6">
        <f>IFERROR(__xludf.DUMMYFUNCTION("""COMPUTED_VALUE"""),45373.64583333333)</f>
        <v>45373.64583</v>
      </c>
      <c r="B29" s="5">
        <f>IFERROR(__xludf.DUMMYFUNCTION("""COMPUTED_VALUE"""),3050.1)</f>
        <v>3050.1</v>
      </c>
      <c r="C29" s="5">
        <f>IFERROR(__xludf.DUMMYFUNCTION("""COMPUTED_VALUE"""),3164.8)</f>
        <v>3164.8</v>
      </c>
      <c r="D29" s="5">
        <f>IFERROR(__xludf.DUMMYFUNCTION("""COMPUTED_VALUE"""),2976.05)</f>
        <v>2976.05</v>
      </c>
      <c r="E29" s="5">
        <f>IFERROR(__xludf.DUMMYFUNCTION("""COMPUTED_VALUE"""),3107.7)</f>
        <v>3107.7</v>
      </c>
      <c r="F29" s="5">
        <f>IFERROR(__xludf.DUMMYFUNCTION("""COMPUTED_VALUE"""),7596756.0)</f>
        <v>7596756</v>
      </c>
    </row>
    <row r="30">
      <c r="A30" s="6">
        <f>IFERROR(__xludf.DUMMYFUNCTION("""COMPUTED_VALUE"""),45379.64583333333)</f>
        <v>45379.64583</v>
      </c>
      <c r="B30" s="5">
        <f>IFERROR(__xludf.DUMMYFUNCTION("""COMPUTED_VALUE"""),3100.5)</f>
        <v>3100.5</v>
      </c>
      <c r="C30" s="5">
        <f>IFERROR(__xludf.DUMMYFUNCTION("""COMPUTED_VALUE"""),3237.0)</f>
        <v>3237</v>
      </c>
      <c r="D30" s="5">
        <f>IFERROR(__xludf.DUMMYFUNCTION("""COMPUTED_VALUE"""),3089.1)</f>
        <v>3089.1</v>
      </c>
      <c r="E30" s="5">
        <f>IFERROR(__xludf.DUMMYFUNCTION("""COMPUTED_VALUE"""),3197.1)</f>
        <v>3197.1</v>
      </c>
      <c r="F30" s="5">
        <f>IFERROR(__xludf.DUMMYFUNCTION("""COMPUTED_VALUE"""),4164387.0)</f>
        <v>4164387</v>
      </c>
    </row>
    <row r="31">
      <c r="A31" s="6">
        <f>IFERROR(__xludf.DUMMYFUNCTION("""COMPUTED_VALUE"""),45387.64583333333)</f>
        <v>45387.64583</v>
      </c>
      <c r="B31" s="5">
        <f>IFERROR(__xludf.DUMMYFUNCTION("""COMPUTED_VALUE"""),3230.2)</f>
        <v>3230.2</v>
      </c>
      <c r="C31" s="5">
        <f>IFERROR(__xludf.DUMMYFUNCTION("""COMPUTED_VALUE"""),3291.8)</f>
        <v>3291.8</v>
      </c>
      <c r="D31" s="5">
        <f>IFERROR(__xludf.DUMMYFUNCTION("""COMPUTED_VALUE"""),3178.95)</f>
        <v>3178.95</v>
      </c>
      <c r="E31" s="5">
        <f>IFERROR(__xludf.DUMMYFUNCTION("""COMPUTED_VALUE"""),3224.8)</f>
        <v>3224.8</v>
      </c>
      <c r="F31" s="5">
        <f>IFERROR(__xludf.DUMMYFUNCTION("""COMPUTED_VALUE"""),5474017.0)</f>
        <v>5474017</v>
      </c>
    </row>
    <row r="32">
      <c r="A32" s="6">
        <f>IFERROR(__xludf.DUMMYFUNCTION("""COMPUTED_VALUE"""),45394.64583333333)</f>
        <v>45394.64583</v>
      </c>
      <c r="B32" s="5">
        <f>IFERROR(__xludf.DUMMYFUNCTION("""COMPUTED_VALUE"""),3240.95)</f>
        <v>3240.95</v>
      </c>
      <c r="C32" s="5">
        <f>IFERROR(__xludf.DUMMYFUNCTION("""COMPUTED_VALUE"""),3254.6)</f>
        <v>3254.6</v>
      </c>
      <c r="D32" s="5">
        <f>IFERROR(__xludf.DUMMYFUNCTION("""COMPUTED_VALUE"""),3185.0)</f>
        <v>3185</v>
      </c>
      <c r="E32" s="5">
        <f>IFERROR(__xludf.DUMMYFUNCTION("""COMPUTED_VALUE"""),3209.9)</f>
        <v>3209.9</v>
      </c>
      <c r="F32" s="5">
        <f>IFERROR(__xludf.DUMMYFUNCTION("""COMPUTED_VALUE"""),3557430.0)</f>
        <v>3557430</v>
      </c>
    </row>
    <row r="33">
      <c r="A33" s="6">
        <f>IFERROR(__xludf.DUMMYFUNCTION("""COMPUTED_VALUE"""),45401.64583333333)</f>
        <v>45401.64583</v>
      </c>
      <c r="B33" s="5">
        <f>IFERROR(__xludf.DUMMYFUNCTION("""COMPUTED_VALUE"""),3150.0)</f>
        <v>3150</v>
      </c>
      <c r="C33" s="5">
        <f>IFERROR(__xludf.DUMMYFUNCTION("""COMPUTED_VALUE"""),3180.3)</f>
        <v>3180.3</v>
      </c>
      <c r="D33" s="5">
        <f>IFERROR(__xludf.DUMMYFUNCTION("""COMPUTED_VALUE"""),2962.5)</f>
        <v>2962.5</v>
      </c>
      <c r="E33" s="5">
        <f>IFERROR(__xludf.DUMMYFUNCTION("""COMPUTED_VALUE"""),3026.95)</f>
        <v>3026.95</v>
      </c>
      <c r="F33" s="5">
        <f>IFERROR(__xludf.DUMMYFUNCTION("""COMPUTED_VALUE"""),5600525.0)</f>
        <v>5600525</v>
      </c>
    </row>
    <row r="34">
      <c r="A34" s="6">
        <f>IFERROR(__xludf.DUMMYFUNCTION("""COMPUTED_VALUE"""),45408.64583333333)</f>
        <v>45408.64583</v>
      </c>
      <c r="B34" s="5">
        <f>IFERROR(__xludf.DUMMYFUNCTION("""COMPUTED_VALUE"""),3053.0)</f>
        <v>3053</v>
      </c>
      <c r="C34" s="5">
        <f>IFERROR(__xludf.DUMMYFUNCTION("""COMPUTED_VALUE"""),3129.9)</f>
        <v>3129.9</v>
      </c>
      <c r="D34" s="5">
        <f>IFERROR(__xludf.DUMMYFUNCTION("""COMPUTED_VALUE"""),3025.0)</f>
        <v>3025</v>
      </c>
      <c r="E34" s="5">
        <f>IFERROR(__xludf.DUMMYFUNCTION("""COMPUTED_VALUE"""),3080.4)</f>
        <v>3080.4</v>
      </c>
      <c r="F34" s="5">
        <f>IFERROR(__xludf.DUMMYFUNCTION("""COMPUTED_VALUE"""),5432411.0)</f>
        <v>5432411</v>
      </c>
    </row>
    <row r="35">
      <c r="A35" s="6">
        <f>IFERROR(__xludf.DUMMYFUNCTION("""COMPUTED_VALUE"""),45415.64583333333)</f>
        <v>45415.64583</v>
      </c>
      <c r="B35" s="5">
        <f>IFERROR(__xludf.DUMMYFUNCTION("""COMPUTED_VALUE"""),3110.0)</f>
        <v>3110</v>
      </c>
      <c r="C35" s="5">
        <f>IFERROR(__xludf.DUMMYFUNCTION("""COMPUTED_VALUE"""),3119.85)</f>
        <v>3119.85</v>
      </c>
      <c r="D35" s="5">
        <f>IFERROR(__xludf.DUMMYFUNCTION("""COMPUTED_VALUE"""),2975.1)</f>
        <v>2975.1</v>
      </c>
      <c r="E35" s="5">
        <f>IFERROR(__xludf.DUMMYFUNCTION("""COMPUTED_VALUE"""),2993.25)</f>
        <v>2993.25</v>
      </c>
      <c r="F35" s="5">
        <f>IFERROR(__xludf.DUMMYFUNCTION("""COMPUTED_VALUE"""),5144349.0)</f>
        <v>5144349</v>
      </c>
    </row>
    <row r="36">
      <c r="A36" s="6">
        <f>IFERROR(__xludf.DUMMYFUNCTION("""COMPUTED_VALUE"""),45422.64583333333)</f>
        <v>45422.64583</v>
      </c>
      <c r="B36" s="5">
        <f>IFERROR(__xludf.DUMMYFUNCTION("""COMPUTED_VALUE"""),2993.25)</f>
        <v>2993.25</v>
      </c>
      <c r="C36" s="5">
        <f>IFERROR(__xludf.DUMMYFUNCTION("""COMPUTED_VALUE"""),3000.2)</f>
        <v>3000.2</v>
      </c>
      <c r="D36" s="5">
        <f>IFERROR(__xludf.DUMMYFUNCTION("""COMPUTED_VALUE"""),2756.0)</f>
        <v>2756</v>
      </c>
      <c r="E36" s="5">
        <f>IFERROR(__xludf.DUMMYFUNCTION("""COMPUTED_VALUE"""),2797.25)</f>
        <v>2797.25</v>
      </c>
      <c r="F36" s="5">
        <f>IFERROR(__xludf.DUMMYFUNCTION("""COMPUTED_VALUE"""),8431970.0)</f>
        <v>8431970</v>
      </c>
    </row>
    <row r="37">
      <c r="A37" s="6">
        <f>IFERROR(__xludf.DUMMYFUNCTION("""COMPUTED_VALUE"""),45436.64583333333)</f>
        <v>45436.64583</v>
      </c>
      <c r="B37" s="5">
        <f>IFERROR(__xludf.DUMMYFUNCTION("""COMPUTED_VALUE"""),3067.9)</f>
        <v>3067.9</v>
      </c>
      <c r="C37" s="5">
        <f>IFERROR(__xludf.DUMMYFUNCTION("""COMPUTED_VALUE"""),3457.85)</f>
        <v>3457.85</v>
      </c>
      <c r="D37" s="5">
        <f>IFERROR(__xludf.DUMMYFUNCTION("""COMPUTED_VALUE"""),3034.5)</f>
        <v>3034.5</v>
      </c>
      <c r="E37" s="5">
        <f>IFERROR(__xludf.DUMMYFUNCTION("""COMPUTED_VALUE"""),3384.95)</f>
        <v>3384.95</v>
      </c>
      <c r="F37" s="5">
        <f>IFERROR(__xludf.DUMMYFUNCTION("""COMPUTED_VALUE"""),1.6915486E7)</f>
        <v>16915486</v>
      </c>
    </row>
    <row r="38">
      <c r="A38" s="6">
        <f>IFERROR(__xludf.DUMMYFUNCTION("""COMPUTED_VALUE"""),45443.64583333333)</f>
        <v>45443.64583</v>
      </c>
      <c r="B38" s="5">
        <f>IFERROR(__xludf.DUMMYFUNCTION("""COMPUTED_VALUE"""),3358.0)</f>
        <v>3358</v>
      </c>
      <c r="C38" s="5">
        <f>IFERROR(__xludf.DUMMYFUNCTION("""COMPUTED_VALUE"""),3434.45)</f>
        <v>3434.45</v>
      </c>
      <c r="D38" s="5">
        <f>IFERROR(__xludf.DUMMYFUNCTION("""COMPUTED_VALUE"""),3174.5)</f>
        <v>3174.5</v>
      </c>
      <c r="E38" s="5">
        <f>IFERROR(__xludf.DUMMYFUNCTION("""COMPUTED_VALUE"""),3411.35)</f>
        <v>3411.35</v>
      </c>
      <c r="F38" s="5">
        <f>IFERROR(__xludf.DUMMYFUNCTION("""COMPUTED_VALUE"""),1.4489179E7)</f>
        <v>14489179</v>
      </c>
    </row>
    <row r="39">
      <c r="A39" s="6">
        <f>IFERROR(__xludf.DUMMYFUNCTION("""COMPUTED_VALUE"""),45450.64583333333)</f>
        <v>45450.64583</v>
      </c>
      <c r="B39" s="5">
        <f>IFERROR(__xludf.DUMMYFUNCTION("""COMPUTED_VALUE"""),3725.0)</f>
        <v>3725</v>
      </c>
      <c r="C39" s="5">
        <f>IFERROR(__xludf.DUMMYFUNCTION("""COMPUTED_VALUE"""),3743.9)</f>
        <v>3743.9</v>
      </c>
      <c r="D39" s="5">
        <f>IFERROR(__xludf.DUMMYFUNCTION("""COMPUTED_VALUE"""),2733.95)</f>
        <v>2733.95</v>
      </c>
      <c r="E39" s="5">
        <f>IFERROR(__xludf.DUMMYFUNCTION("""COMPUTED_VALUE"""),3219.55)</f>
        <v>3219.55</v>
      </c>
      <c r="F39" s="5">
        <f>IFERROR(__xludf.DUMMYFUNCTION("""COMPUTED_VALUE"""),4.8210339E7)</f>
        <v>48210339</v>
      </c>
    </row>
    <row r="40">
      <c r="A40" s="6">
        <f>IFERROR(__xludf.DUMMYFUNCTION("""COMPUTED_VALUE"""),45457.64583333333)</f>
        <v>45457.64583</v>
      </c>
      <c r="B40" s="5">
        <f>IFERROR(__xludf.DUMMYFUNCTION("""COMPUTED_VALUE"""),3267.0)</f>
        <v>3267</v>
      </c>
      <c r="C40" s="5">
        <f>IFERROR(__xludf.DUMMYFUNCTION("""COMPUTED_VALUE"""),3284.4)</f>
        <v>3284.4</v>
      </c>
      <c r="D40" s="5">
        <f>IFERROR(__xludf.DUMMYFUNCTION("""COMPUTED_VALUE"""),3195.05)</f>
        <v>3195.05</v>
      </c>
      <c r="E40" s="5">
        <f>IFERROR(__xludf.DUMMYFUNCTION("""COMPUTED_VALUE"""),3261.75)</f>
        <v>3261.75</v>
      </c>
      <c r="F40" s="5">
        <f>IFERROR(__xludf.DUMMYFUNCTION("""COMPUTED_VALUE"""),1.95597E7)</f>
        <v>19559700</v>
      </c>
    </row>
    <row r="41">
      <c r="A41" s="6">
        <f>IFERROR(__xludf.DUMMYFUNCTION("""COMPUTED_VALUE"""),45464.64583333333)</f>
        <v>45464.64583</v>
      </c>
      <c r="B41" s="5">
        <f>IFERROR(__xludf.DUMMYFUNCTION("""COMPUTED_VALUE"""),3310.0)</f>
        <v>3310</v>
      </c>
      <c r="C41" s="5">
        <f>IFERROR(__xludf.DUMMYFUNCTION("""COMPUTED_VALUE"""),3345.0)</f>
        <v>3345</v>
      </c>
      <c r="D41" s="5">
        <f>IFERROR(__xludf.DUMMYFUNCTION("""COMPUTED_VALUE"""),3176.4)</f>
        <v>3176.4</v>
      </c>
      <c r="E41" s="5">
        <f>IFERROR(__xludf.DUMMYFUNCTION("""COMPUTED_VALUE"""),3189.3)</f>
        <v>3189.3</v>
      </c>
      <c r="F41" s="5">
        <f>IFERROR(__xludf.DUMMYFUNCTION("""COMPUTED_VALUE"""),9239076.0)</f>
        <v>9239076</v>
      </c>
    </row>
    <row r="42">
      <c r="A42" s="6">
        <f>IFERROR(__xludf.DUMMYFUNCTION("""COMPUTED_VALUE"""),45471.64583333333)</f>
        <v>45471.64583</v>
      </c>
      <c r="B42" s="5">
        <f>IFERROR(__xludf.DUMMYFUNCTION("""COMPUTED_VALUE"""),3185.75)</f>
        <v>3185.75</v>
      </c>
      <c r="C42" s="5">
        <f>IFERROR(__xludf.DUMMYFUNCTION("""COMPUTED_VALUE"""),3214.8)</f>
        <v>3214.8</v>
      </c>
      <c r="D42" s="5">
        <f>IFERROR(__xludf.DUMMYFUNCTION("""COMPUTED_VALUE"""),3135.0)</f>
        <v>3135</v>
      </c>
      <c r="E42" s="5">
        <f>IFERROR(__xludf.DUMMYFUNCTION("""COMPUTED_VALUE"""),3177.15)</f>
        <v>3177.15</v>
      </c>
      <c r="F42" s="5">
        <f>IFERROR(__xludf.DUMMYFUNCTION("""COMPUTED_VALUE"""),1.3175383E7)</f>
        <v>13175383</v>
      </c>
    </row>
    <row r="43">
      <c r="A43" s="6">
        <f>IFERROR(__xludf.DUMMYFUNCTION("""COMPUTED_VALUE"""),45478.64583333333)</f>
        <v>45478.64583</v>
      </c>
      <c r="B43" s="5">
        <f>IFERROR(__xludf.DUMMYFUNCTION("""COMPUTED_VALUE"""),3179.95)</f>
        <v>3179.95</v>
      </c>
      <c r="C43" s="5">
        <f>IFERROR(__xludf.DUMMYFUNCTION("""COMPUTED_VALUE"""),3207.8)</f>
        <v>3207.8</v>
      </c>
      <c r="D43" s="5">
        <f>IFERROR(__xludf.DUMMYFUNCTION("""COMPUTED_VALUE"""),3123.95)</f>
        <v>3123.95</v>
      </c>
      <c r="E43" s="5">
        <f>IFERROR(__xludf.DUMMYFUNCTION("""COMPUTED_VALUE"""),3147.9)</f>
        <v>3147.9</v>
      </c>
      <c r="F43" s="5">
        <f>IFERROR(__xludf.DUMMYFUNCTION("""COMPUTED_VALUE"""),5194915.0)</f>
        <v>5194915</v>
      </c>
    </row>
    <row r="44">
      <c r="A44" s="6">
        <f>IFERROR(__xludf.DUMMYFUNCTION("""COMPUTED_VALUE"""),45485.64583333333)</f>
        <v>45485.64583</v>
      </c>
      <c r="B44" s="5">
        <f>IFERROR(__xludf.DUMMYFUNCTION("""COMPUTED_VALUE"""),3147.9)</f>
        <v>3147.9</v>
      </c>
      <c r="C44" s="5">
        <f>IFERROR(__xludf.DUMMYFUNCTION("""COMPUTED_VALUE"""),3158.2)</f>
        <v>3158.2</v>
      </c>
      <c r="D44" s="5">
        <f>IFERROR(__xludf.DUMMYFUNCTION("""COMPUTED_VALUE"""),3058.35)</f>
        <v>3058.35</v>
      </c>
      <c r="E44" s="5">
        <f>IFERROR(__xludf.DUMMYFUNCTION("""COMPUTED_VALUE"""),3065.45)</f>
        <v>3065.45</v>
      </c>
      <c r="F44" s="5">
        <f>IFERROR(__xludf.DUMMYFUNCTION("""COMPUTED_VALUE"""),4320042.0)</f>
        <v>4320042</v>
      </c>
    </row>
    <row r="45">
      <c r="A45" s="6">
        <f>IFERROR(__xludf.DUMMYFUNCTION("""COMPUTED_VALUE"""),45492.64583333333)</f>
        <v>45492.64583</v>
      </c>
      <c r="B45" s="5">
        <f>IFERROR(__xludf.DUMMYFUNCTION("""COMPUTED_VALUE"""),3066.1)</f>
        <v>3066.1</v>
      </c>
      <c r="C45" s="5">
        <f>IFERROR(__xludf.DUMMYFUNCTION("""COMPUTED_VALUE"""),3137.75)</f>
        <v>3137.75</v>
      </c>
      <c r="D45" s="5">
        <f>IFERROR(__xludf.DUMMYFUNCTION("""COMPUTED_VALUE"""),3000.0)</f>
        <v>3000</v>
      </c>
      <c r="E45" s="5">
        <f>IFERROR(__xludf.DUMMYFUNCTION("""COMPUTED_VALUE"""),3005.7)</f>
        <v>3005.7</v>
      </c>
      <c r="F45" s="5">
        <f>IFERROR(__xludf.DUMMYFUNCTION("""COMPUTED_VALUE"""),3761122.0)</f>
        <v>3761122</v>
      </c>
    </row>
    <row r="46">
      <c r="A46" s="6">
        <f>IFERROR(__xludf.DUMMYFUNCTION("""COMPUTED_VALUE"""),45499.64583333333)</f>
        <v>45499.64583</v>
      </c>
      <c r="B46" s="5">
        <f>IFERROR(__xludf.DUMMYFUNCTION("""COMPUTED_VALUE"""),3005.7)</f>
        <v>3005.7</v>
      </c>
      <c r="C46" s="5">
        <f>IFERROR(__xludf.DUMMYFUNCTION("""COMPUTED_VALUE"""),3109.0)</f>
        <v>3109</v>
      </c>
      <c r="D46" s="5">
        <f>IFERROR(__xludf.DUMMYFUNCTION("""COMPUTED_VALUE"""),2886.35)</f>
        <v>2886.35</v>
      </c>
      <c r="E46" s="5">
        <f>IFERROR(__xludf.DUMMYFUNCTION("""COMPUTED_VALUE"""),3080.5)</f>
        <v>3080.5</v>
      </c>
      <c r="F46" s="5">
        <f>IFERROR(__xludf.DUMMYFUNCTION("""COMPUTED_VALUE"""),5847266.0)</f>
        <v>5847266</v>
      </c>
    </row>
    <row r="47">
      <c r="A47" s="6">
        <f>IFERROR(__xludf.DUMMYFUNCTION("""COMPUTED_VALUE"""),45506.64583333333)</f>
        <v>45506.64583</v>
      </c>
      <c r="B47" s="5">
        <f>IFERROR(__xludf.DUMMYFUNCTION("""COMPUTED_VALUE"""),3094.3)</f>
        <v>3094.3</v>
      </c>
      <c r="C47" s="5">
        <f>IFERROR(__xludf.DUMMYFUNCTION("""COMPUTED_VALUE"""),3258.0)</f>
        <v>3258</v>
      </c>
      <c r="D47" s="5">
        <f>IFERROR(__xludf.DUMMYFUNCTION("""COMPUTED_VALUE"""),3066.65)</f>
        <v>3066.65</v>
      </c>
      <c r="E47" s="5">
        <f>IFERROR(__xludf.DUMMYFUNCTION("""COMPUTED_VALUE"""),3160.9)</f>
        <v>3160.9</v>
      </c>
      <c r="F47" s="5">
        <f>IFERROR(__xludf.DUMMYFUNCTION("""COMPUTED_VALUE"""),1.4608619E7)</f>
        <v>14608619</v>
      </c>
    </row>
    <row r="48">
      <c r="A48" s="6">
        <f>IFERROR(__xludf.DUMMYFUNCTION("""COMPUTED_VALUE"""),45513.64583333333)</f>
        <v>45513.64583</v>
      </c>
      <c r="B48" s="5">
        <f>IFERROR(__xludf.DUMMYFUNCTION("""COMPUTED_VALUE"""),3085.0)</f>
        <v>3085</v>
      </c>
      <c r="C48" s="5">
        <f>IFERROR(__xludf.DUMMYFUNCTION("""COMPUTED_VALUE"""),3242.65)</f>
        <v>3242.65</v>
      </c>
      <c r="D48" s="5">
        <f>IFERROR(__xludf.DUMMYFUNCTION("""COMPUTED_VALUE"""),2996.3)</f>
        <v>2996.3</v>
      </c>
      <c r="E48" s="5">
        <f>IFERROR(__xludf.DUMMYFUNCTION("""COMPUTED_VALUE"""),3187.55)</f>
        <v>3187.55</v>
      </c>
      <c r="F48" s="5">
        <f>IFERROR(__xludf.DUMMYFUNCTION("""COMPUTED_VALUE"""),9131832.0)</f>
        <v>9131832</v>
      </c>
    </row>
    <row r="49">
      <c r="A49" s="6">
        <f>IFERROR(__xludf.DUMMYFUNCTION("""COMPUTED_VALUE"""),45520.64583333333)</f>
        <v>45520.64583</v>
      </c>
      <c r="B49" s="5">
        <f>IFERROR(__xludf.DUMMYFUNCTION("""COMPUTED_VALUE"""),3100.0)</f>
        <v>3100</v>
      </c>
      <c r="C49" s="5">
        <f>IFERROR(__xludf.DUMMYFUNCTION("""COMPUTED_VALUE"""),3178.1)</f>
        <v>3178.1</v>
      </c>
      <c r="D49" s="5">
        <f>IFERROR(__xludf.DUMMYFUNCTION("""COMPUTED_VALUE"""),3014.0)</f>
        <v>3014</v>
      </c>
      <c r="E49" s="5">
        <f>IFERROR(__xludf.DUMMYFUNCTION("""COMPUTED_VALUE"""),3108.8)</f>
        <v>3108.8</v>
      </c>
      <c r="F49" s="5">
        <f>IFERROR(__xludf.DUMMYFUNCTION("""COMPUTED_VALUE"""),1.4702283E7)</f>
        <v>14702283</v>
      </c>
    </row>
    <row r="50">
      <c r="A50" s="6">
        <f>IFERROR(__xludf.DUMMYFUNCTION("""COMPUTED_VALUE"""),45527.64583333333)</f>
        <v>45527.64583</v>
      </c>
      <c r="B50" s="5">
        <f>IFERROR(__xludf.DUMMYFUNCTION("""COMPUTED_VALUE"""),3122.05)</f>
        <v>3122.05</v>
      </c>
      <c r="C50" s="5">
        <f>IFERROR(__xludf.DUMMYFUNCTION("""COMPUTED_VALUE"""),3153.3)</f>
        <v>3153.3</v>
      </c>
      <c r="D50" s="5">
        <f>IFERROR(__xludf.DUMMYFUNCTION("""COMPUTED_VALUE"""),3058.85)</f>
        <v>3058.85</v>
      </c>
      <c r="E50" s="5">
        <f>IFERROR(__xludf.DUMMYFUNCTION("""COMPUTED_VALUE"""),3076.35)</f>
        <v>3076.35</v>
      </c>
      <c r="F50" s="5">
        <f>IFERROR(__xludf.DUMMYFUNCTION("""COMPUTED_VALUE"""),5352904.0)</f>
        <v>5352904</v>
      </c>
    </row>
    <row r="51">
      <c r="A51" s="6">
        <f>IFERROR(__xludf.DUMMYFUNCTION("""COMPUTED_VALUE"""),45534.64583333333)</f>
        <v>45534.64583</v>
      </c>
      <c r="B51" s="5">
        <f>IFERROR(__xludf.DUMMYFUNCTION("""COMPUTED_VALUE"""),3088.0)</f>
        <v>3088</v>
      </c>
      <c r="C51" s="5">
        <f>IFERROR(__xludf.DUMMYFUNCTION("""COMPUTED_VALUE"""),3095.75)</f>
        <v>3095.75</v>
      </c>
      <c r="D51" s="5">
        <f>IFERROR(__xludf.DUMMYFUNCTION("""COMPUTED_VALUE"""),2981.3)</f>
        <v>2981.3</v>
      </c>
      <c r="E51" s="5">
        <f>IFERROR(__xludf.DUMMYFUNCTION("""COMPUTED_VALUE"""),3019.35)</f>
        <v>3019.35</v>
      </c>
      <c r="F51" s="5">
        <f>IFERROR(__xludf.DUMMYFUNCTION("""COMPUTED_VALUE"""),9875678.0)</f>
        <v>9875678</v>
      </c>
    </row>
    <row r="52">
      <c r="A52" s="6">
        <f>IFERROR(__xludf.DUMMYFUNCTION("""COMPUTED_VALUE"""),45541.64583333333)</f>
        <v>45541.64583</v>
      </c>
      <c r="B52" s="5">
        <f>IFERROR(__xludf.DUMMYFUNCTION("""COMPUTED_VALUE"""),3021.1)</f>
        <v>3021.1</v>
      </c>
      <c r="C52" s="5">
        <f>IFERROR(__xludf.DUMMYFUNCTION("""COMPUTED_VALUE"""),3059.15)</f>
        <v>3059.15</v>
      </c>
      <c r="D52" s="5">
        <f>IFERROR(__xludf.DUMMYFUNCTION("""COMPUTED_VALUE"""),2955.2)</f>
        <v>2955.2</v>
      </c>
      <c r="E52" s="5">
        <f>IFERROR(__xludf.DUMMYFUNCTION("""COMPUTED_VALUE"""),2975.45)</f>
        <v>2975.45</v>
      </c>
      <c r="F52" s="5">
        <f>IFERROR(__xludf.DUMMYFUNCTION("""COMPUTED_VALUE"""),6411943.0)</f>
        <v>6411943</v>
      </c>
    </row>
    <row r="53">
      <c r="A53" s="6">
        <f>IFERROR(__xludf.DUMMYFUNCTION("""COMPUTED_VALUE"""),45548.64583333333)</f>
        <v>45548.64583</v>
      </c>
      <c r="B53" s="5">
        <f>IFERROR(__xludf.DUMMYFUNCTION("""COMPUTED_VALUE"""),2972.1)</f>
        <v>2972.1</v>
      </c>
      <c r="C53" s="5">
        <f>IFERROR(__xludf.DUMMYFUNCTION("""COMPUTED_VALUE"""),3007.4)</f>
        <v>3007.4</v>
      </c>
      <c r="D53" s="5">
        <f>IFERROR(__xludf.DUMMYFUNCTION("""COMPUTED_VALUE"""),2917.15)</f>
        <v>2917.15</v>
      </c>
      <c r="E53" s="5">
        <f>IFERROR(__xludf.DUMMYFUNCTION("""COMPUTED_VALUE"""),2968.35)</f>
        <v>2968.35</v>
      </c>
      <c r="F53" s="5">
        <f>IFERROR(__xludf.DUMMYFUNCTION("""COMPUTED_VALUE"""),5346112.0)</f>
        <v>5346112</v>
      </c>
    </row>
    <row r="54">
      <c r="A54" s="6">
        <f>IFERROR(__xludf.DUMMYFUNCTION("""COMPUTED_VALUE"""),45555.64583333333)</f>
        <v>45555.64583</v>
      </c>
      <c r="B54" s="5">
        <f>IFERROR(__xludf.DUMMYFUNCTION("""COMPUTED_VALUE"""),2972.0)</f>
        <v>2972</v>
      </c>
      <c r="C54" s="5">
        <f>IFERROR(__xludf.DUMMYFUNCTION("""COMPUTED_VALUE"""),3026.4)</f>
        <v>3026.4</v>
      </c>
      <c r="D54" s="5">
        <f>IFERROR(__xludf.DUMMYFUNCTION("""COMPUTED_VALUE"""),2890.35)</f>
        <v>2890.35</v>
      </c>
      <c r="E54" s="5">
        <f>IFERROR(__xludf.DUMMYFUNCTION("""COMPUTED_VALUE"""),3008.5)</f>
        <v>3008.5</v>
      </c>
      <c r="F54" s="5">
        <f>IFERROR(__xludf.DUMMYFUNCTION("""COMPUTED_VALUE"""),5668364.0)</f>
        <v>5668364</v>
      </c>
    </row>
    <row r="55">
      <c r="A55" s="6">
        <f>IFERROR(__xludf.DUMMYFUNCTION("""COMPUTED_VALUE"""),45562.64583333333)</f>
        <v>45562.64583</v>
      </c>
      <c r="B55" s="5">
        <f>IFERROR(__xludf.DUMMYFUNCTION("""COMPUTED_VALUE"""),3020.0)</f>
        <v>3020</v>
      </c>
      <c r="C55" s="5">
        <f>IFERROR(__xludf.DUMMYFUNCTION("""COMPUTED_VALUE"""),3179.0)</f>
        <v>3179</v>
      </c>
      <c r="D55" s="5">
        <f>IFERROR(__xludf.DUMMYFUNCTION("""COMPUTED_VALUE"""),3015.25)</f>
        <v>3015.25</v>
      </c>
      <c r="E55" s="5">
        <f>IFERROR(__xludf.DUMMYFUNCTION("""COMPUTED_VALUE"""),3130.3)</f>
        <v>3130.3</v>
      </c>
      <c r="F55" s="5">
        <f>IFERROR(__xludf.DUMMYFUNCTION("""COMPUTED_VALUE"""),6677700.0)</f>
        <v>6677700</v>
      </c>
    </row>
    <row r="56">
      <c r="A56" s="6">
        <f>IFERROR(__xludf.DUMMYFUNCTION("""COMPUTED_VALUE"""),45569.64583333333)</f>
        <v>45569.64583</v>
      </c>
      <c r="B56" s="5">
        <f>IFERROR(__xludf.DUMMYFUNCTION("""COMPUTED_VALUE"""),3129.0)</f>
        <v>3129</v>
      </c>
      <c r="C56" s="5">
        <f>IFERROR(__xludf.DUMMYFUNCTION("""COMPUTED_VALUE"""),3209.9)</f>
        <v>3209.9</v>
      </c>
      <c r="D56" s="5">
        <f>IFERROR(__xludf.DUMMYFUNCTION("""COMPUTED_VALUE"""),3070.0)</f>
        <v>3070</v>
      </c>
      <c r="E56" s="5">
        <f>IFERROR(__xludf.DUMMYFUNCTION("""COMPUTED_VALUE"""),3110.65)</f>
        <v>3110.65</v>
      </c>
      <c r="F56" s="5">
        <f>IFERROR(__xludf.DUMMYFUNCTION("""COMPUTED_VALUE"""),5271831.0)</f>
        <v>5271831</v>
      </c>
    </row>
    <row r="57">
      <c r="A57" s="6">
        <f>IFERROR(__xludf.DUMMYFUNCTION("""COMPUTED_VALUE"""),45576.64583333333)</f>
        <v>45576.64583</v>
      </c>
      <c r="B57" s="5">
        <f>IFERROR(__xludf.DUMMYFUNCTION("""COMPUTED_VALUE"""),3110.65)</f>
        <v>3110.65</v>
      </c>
      <c r="C57" s="5">
        <f>IFERROR(__xludf.DUMMYFUNCTION("""COMPUTED_VALUE"""),3211.0)</f>
        <v>3211</v>
      </c>
      <c r="D57" s="5">
        <f>IFERROR(__xludf.DUMMYFUNCTION("""COMPUTED_VALUE"""),2980.45)</f>
        <v>2980.45</v>
      </c>
      <c r="E57" s="5">
        <f>IFERROR(__xludf.DUMMYFUNCTION("""COMPUTED_VALUE"""),3137.2)</f>
        <v>3137.2</v>
      </c>
      <c r="F57" s="5">
        <f>IFERROR(__xludf.DUMMYFUNCTION("""COMPUTED_VALUE"""),8358285.0)</f>
        <v>8358285</v>
      </c>
    </row>
    <row r="58">
      <c r="A58" s="6">
        <f>IFERROR(__xludf.DUMMYFUNCTION("""COMPUTED_VALUE"""),45583.64583333333)</f>
        <v>45583.64583</v>
      </c>
      <c r="B58" s="5">
        <f>IFERROR(__xludf.DUMMYFUNCTION("""COMPUTED_VALUE"""),3145.0)</f>
        <v>3145</v>
      </c>
      <c r="C58" s="5">
        <f>IFERROR(__xludf.DUMMYFUNCTION("""COMPUTED_VALUE"""),3150.1)</f>
        <v>3150.1</v>
      </c>
      <c r="D58" s="5">
        <f>IFERROR(__xludf.DUMMYFUNCTION("""COMPUTED_VALUE"""),2968.1)</f>
        <v>2968.1</v>
      </c>
      <c r="E58" s="5">
        <f>IFERROR(__xludf.DUMMYFUNCTION("""COMPUTED_VALUE"""),3002.0)</f>
        <v>3002</v>
      </c>
      <c r="F58" s="5">
        <f>IFERROR(__xludf.DUMMYFUNCTION("""COMPUTED_VALUE"""),4804445.0)</f>
        <v>4804445</v>
      </c>
    </row>
    <row r="59">
      <c r="A59" s="6">
        <f>IFERROR(__xludf.DUMMYFUNCTION("""COMPUTED_VALUE"""),45590.64583333333)</f>
        <v>45590.64583</v>
      </c>
      <c r="B59" s="5">
        <f>IFERROR(__xludf.DUMMYFUNCTION("""COMPUTED_VALUE"""),3005.15)</f>
        <v>3005.15</v>
      </c>
      <c r="C59" s="5">
        <f>IFERROR(__xludf.DUMMYFUNCTION("""COMPUTED_VALUE"""),3014.95)</f>
        <v>3014.95</v>
      </c>
      <c r="D59" s="5">
        <f>IFERROR(__xludf.DUMMYFUNCTION("""COMPUTED_VALUE"""),2654.7)</f>
        <v>2654.7</v>
      </c>
      <c r="E59" s="5">
        <f>IFERROR(__xludf.DUMMYFUNCTION("""COMPUTED_VALUE"""),2693.45)</f>
        <v>2693.45</v>
      </c>
      <c r="F59" s="5">
        <f>IFERROR(__xludf.DUMMYFUNCTION("""COMPUTED_VALUE"""),6428192.0)</f>
        <v>6428192</v>
      </c>
    </row>
    <row r="60">
      <c r="A60" s="6">
        <f>IFERROR(__xludf.DUMMYFUNCTION("""COMPUTED_VALUE"""),45604.64583333333)</f>
        <v>45604.64583</v>
      </c>
      <c r="B60" s="5">
        <f>IFERROR(__xludf.DUMMYFUNCTION("""COMPUTED_VALUE"""),2935.0)</f>
        <v>2935</v>
      </c>
      <c r="C60" s="5">
        <f>IFERROR(__xludf.DUMMYFUNCTION("""COMPUTED_VALUE"""),3070.0)</f>
        <v>3070</v>
      </c>
      <c r="D60" s="5">
        <f>IFERROR(__xludf.DUMMYFUNCTION("""COMPUTED_VALUE"""),2857.75)</f>
        <v>2857.75</v>
      </c>
      <c r="E60" s="5">
        <f>IFERROR(__xludf.DUMMYFUNCTION("""COMPUTED_VALUE"""),2929.1)</f>
        <v>2929.1</v>
      </c>
      <c r="F60" s="5">
        <f>IFERROR(__xludf.DUMMYFUNCTION("""COMPUTED_VALUE"""),5609668.0)</f>
        <v>5609668</v>
      </c>
    </row>
    <row r="61">
      <c r="A61" s="6">
        <f>IFERROR(__xludf.DUMMYFUNCTION("""COMPUTED_VALUE"""),45610.64583333333)</f>
        <v>45610.64583</v>
      </c>
      <c r="B61" s="5">
        <f>IFERROR(__xludf.DUMMYFUNCTION("""COMPUTED_VALUE"""),2928.0)</f>
        <v>2928</v>
      </c>
      <c r="C61" s="5">
        <f>IFERROR(__xludf.DUMMYFUNCTION("""COMPUTED_VALUE"""),2946.8)</f>
        <v>2946.8</v>
      </c>
      <c r="D61" s="5">
        <f>IFERROR(__xludf.DUMMYFUNCTION("""COMPUTED_VALUE"""),2801.0)</f>
        <v>2801</v>
      </c>
      <c r="E61" s="5">
        <f>IFERROR(__xludf.DUMMYFUNCTION("""COMPUTED_VALUE"""),2826.8)</f>
        <v>2826.8</v>
      </c>
      <c r="F61" s="5">
        <f>IFERROR(__xludf.DUMMYFUNCTION("""COMPUTED_VALUE"""),2718318.0)</f>
        <v>2718318</v>
      </c>
    </row>
    <row r="62">
      <c r="A62" s="6">
        <f>IFERROR(__xludf.DUMMYFUNCTION("""COMPUTED_VALUE"""),45618.64583333333)</f>
        <v>45618.64583</v>
      </c>
      <c r="B62" s="5">
        <f>IFERROR(__xludf.DUMMYFUNCTION("""COMPUTED_VALUE"""),2826.8)</f>
        <v>2826.8</v>
      </c>
      <c r="C62" s="5">
        <f>IFERROR(__xludf.DUMMYFUNCTION("""COMPUTED_VALUE"""),2894.8)</f>
        <v>2894.8</v>
      </c>
      <c r="D62" s="5">
        <f>IFERROR(__xludf.DUMMYFUNCTION("""COMPUTED_VALUE"""),2025.0)</f>
        <v>2025</v>
      </c>
      <c r="E62" s="5">
        <f>IFERROR(__xludf.DUMMYFUNCTION("""COMPUTED_VALUE"""),2228.0)</f>
        <v>2228</v>
      </c>
      <c r="F62" s="5">
        <f>IFERROR(__xludf.DUMMYFUNCTION("""COMPUTED_VALUE"""),4.3761852E7)</f>
        <v>43761852</v>
      </c>
    </row>
    <row r="63">
      <c r="A63" s="6">
        <f>IFERROR(__xludf.DUMMYFUNCTION("""COMPUTED_VALUE"""),45625.64583333333)</f>
        <v>45625.64583</v>
      </c>
      <c r="B63" s="5">
        <f>IFERROR(__xludf.DUMMYFUNCTION("""COMPUTED_VALUE"""),2315.0)</f>
        <v>2315</v>
      </c>
      <c r="C63" s="5">
        <f>IFERROR(__xludf.DUMMYFUNCTION("""COMPUTED_VALUE"""),2526.3)</f>
        <v>2526.3</v>
      </c>
      <c r="D63" s="5">
        <f>IFERROR(__xludf.DUMMYFUNCTION("""COMPUTED_VALUE"""),2136.0)</f>
        <v>2136</v>
      </c>
      <c r="E63" s="5">
        <f>IFERROR(__xludf.DUMMYFUNCTION("""COMPUTED_VALUE"""),2463.15)</f>
        <v>2463.15</v>
      </c>
      <c r="F63" s="5">
        <f>IFERROR(__xludf.DUMMYFUNCTION("""COMPUTED_VALUE"""),5.5329305E7)</f>
        <v>55329305</v>
      </c>
    </row>
    <row r="64">
      <c r="A64" s="6">
        <f>IFERROR(__xludf.DUMMYFUNCTION("""COMPUTED_VALUE"""),45632.64583333333)</f>
        <v>45632.64583</v>
      </c>
      <c r="B64" s="5">
        <f>IFERROR(__xludf.DUMMYFUNCTION("""COMPUTED_VALUE"""),2491.35)</f>
        <v>2491.35</v>
      </c>
      <c r="C64" s="5">
        <f>IFERROR(__xludf.DUMMYFUNCTION("""COMPUTED_VALUE"""),2558.0)</f>
        <v>2558</v>
      </c>
      <c r="D64" s="5">
        <f>IFERROR(__xludf.DUMMYFUNCTION("""COMPUTED_VALUE"""),2426.6)</f>
        <v>2426.6</v>
      </c>
      <c r="E64" s="5">
        <f>IFERROR(__xludf.DUMMYFUNCTION("""COMPUTED_VALUE"""),2506.4)</f>
        <v>2506.4</v>
      </c>
      <c r="F64" s="5">
        <f>IFERROR(__xludf.DUMMYFUNCTION("""COMPUTED_VALUE"""),1.4796137E7)</f>
        <v>14796137</v>
      </c>
    </row>
    <row r="65">
      <c r="A65" s="6">
        <f>IFERROR(__xludf.DUMMYFUNCTION("""COMPUTED_VALUE"""),45639.64583333333)</f>
        <v>45639.64583</v>
      </c>
      <c r="B65" s="5">
        <f>IFERROR(__xludf.DUMMYFUNCTION("""COMPUTED_VALUE"""),2507.9)</f>
        <v>2507.9</v>
      </c>
      <c r="C65" s="5">
        <f>IFERROR(__xludf.DUMMYFUNCTION("""COMPUTED_VALUE"""),2545.0)</f>
        <v>2545</v>
      </c>
      <c r="D65" s="5">
        <f>IFERROR(__xludf.DUMMYFUNCTION("""COMPUTED_VALUE"""),2446.25)</f>
        <v>2446.25</v>
      </c>
      <c r="E65" s="5">
        <f>IFERROR(__xludf.DUMMYFUNCTION("""COMPUTED_VALUE"""),2527.55)</f>
        <v>2527.55</v>
      </c>
      <c r="F65" s="5">
        <f>IFERROR(__xludf.DUMMYFUNCTION("""COMPUTED_VALUE"""),7311446.0)</f>
        <v>7311446</v>
      </c>
    </row>
    <row r="66">
      <c r="A66" s="6">
        <f>IFERROR(__xludf.DUMMYFUNCTION("""COMPUTED_VALUE"""),45646.64583333333)</f>
        <v>45646.64583</v>
      </c>
      <c r="B66" s="5">
        <f>IFERROR(__xludf.DUMMYFUNCTION("""COMPUTED_VALUE"""),2530.0)</f>
        <v>2530</v>
      </c>
      <c r="C66" s="5">
        <f>IFERROR(__xludf.DUMMYFUNCTION("""COMPUTED_VALUE"""),2537.5)</f>
        <v>2537.5</v>
      </c>
      <c r="D66" s="5">
        <f>IFERROR(__xludf.DUMMYFUNCTION("""COMPUTED_VALUE"""),2333.0)</f>
        <v>2333</v>
      </c>
      <c r="E66" s="5">
        <f>IFERROR(__xludf.DUMMYFUNCTION("""COMPUTED_VALUE"""),2344.95)</f>
        <v>2344.95</v>
      </c>
      <c r="F66" s="5">
        <f>IFERROR(__xludf.DUMMYFUNCTION("""COMPUTED_VALUE"""),5225343.0)</f>
        <v>5225343</v>
      </c>
    </row>
    <row r="67">
      <c r="A67" s="6">
        <f>IFERROR(__xludf.DUMMYFUNCTION("""COMPUTED_VALUE"""),45653.64583333333)</f>
        <v>45653.64583</v>
      </c>
      <c r="B67" s="5">
        <f>IFERROR(__xludf.DUMMYFUNCTION("""COMPUTED_VALUE"""),2373.95)</f>
        <v>2373.95</v>
      </c>
      <c r="C67" s="5">
        <f>IFERROR(__xludf.DUMMYFUNCTION("""COMPUTED_VALUE"""),2446.15)</f>
        <v>2446.15</v>
      </c>
      <c r="D67" s="5">
        <f>IFERROR(__xludf.DUMMYFUNCTION("""COMPUTED_VALUE"""),2332.75)</f>
        <v>2332.75</v>
      </c>
      <c r="E67" s="5">
        <f>IFERROR(__xludf.DUMMYFUNCTION("""COMPUTED_VALUE"""),2409.95)</f>
        <v>2409.95</v>
      </c>
      <c r="F67" s="5">
        <f>IFERROR(__xludf.DUMMYFUNCTION("""COMPUTED_VALUE"""),4793182.0)</f>
        <v>4793182</v>
      </c>
    </row>
    <row r="68">
      <c r="A68" s="6">
        <f>IFERROR(__xludf.DUMMYFUNCTION("""COMPUTED_VALUE"""),45660.64583333333)</f>
        <v>45660.64583</v>
      </c>
      <c r="B68" s="5">
        <f>IFERROR(__xludf.DUMMYFUNCTION("""COMPUTED_VALUE"""),2425.0)</f>
        <v>2425</v>
      </c>
      <c r="C68" s="5">
        <f>IFERROR(__xludf.DUMMYFUNCTION("""COMPUTED_VALUE"""),2644.2)</f>
        <v>2644.2</v>
      </c>
      <c r="D68" s="5">
        <f>IFERROR(__xludf.DUMMYFUNCTION("""COMPUTED_VALUE"""),2421.95)</f>
        <v>2421.95</v>
      </c>
      <c r="E68" s="5">
        <f>IFERROR(__xludf.DUMMYFUNCTION("""COMPUTED_VALUE"""),2564.6)</f>
        <v>2564.6</v>
      </c>
      <c r="F68" s="5">
        <f>IFERROR(__xludf.DUMMYFUNCTION("""COMPUTED_VALUE"""),1.5546523E7)</f>
        <v>15546523</v>
      </c>
    </row>
    <row r="69">
      <c r="A69" s="6">
        <f>IFERROR(__xludf.DUMMYFUNCTION("""COMPUTED_VALUE"""),45667.64583333333)</f>
        <v>45667.64583</v>
      </c>
      <c r="B69" s="5">
        <f>IFERROR(__xludf.DUMMYFUNCTION("""COMPUTED_VALUE"""),2557.65)</f>
        <v>2557.65</v>
      </c>
      <c r="C69" s="5">
        <f>IFERROR(__xludf.DUMMYFUNCTION("""COMPUTED_VALUE"""),2568.85)</f>
        <v>2568.85</v>
      </c>
      <c r="D69" s="5">
        <f>IFERROR(__xludf.DUMMYFUNCTION("""COMPUTED_VALUE"""),2368.25)</f>
        <v>2368.25</v>
      </c>
      <c r="E69" s="5">
        <f>IFERROR(__xludf.DUMMYFUNCTION("""COMPUTED_VALUE"""),2374.4)</f>
        <v>2374.4</v>
      </c>
      <c r="F69" s="5">
        <f>IFERROR(__xludf.DUMMYFUNCTION("""COMPUTED_VALUE"""),5144816.0)</f>
        <v>5144816</v>
      </c>
    </row>
    <row r="70">
      <c r="A70" s="6">
        <f>IFERROR(__xludf.DUMMYFUNCTION("""COMPUTED_VALUE"""),45674.64583333333)</f>
        <v>45674.64583</v>
      </c>
      <c r="B70" s="5">
        <f>IFERROR(__xludf.DUMMYFUNCTION("""COMPUTED_VALUE"""),2365.0)</f>
        <v>2365</v>
      </c>
      <c r="C70" s="5">
        <f>IFERROR(__xludf.DUMMYFUNCTION("""COMPUTED_VALUE"""),2570.0)</f>
        <v>2570</v>
      </c>
      <c r="D70" s="5">
        <f>IFERROR(__xludf.DUMMYFUNCTION("""COMPUTED_VALUE"""),2216.9)</f>
        <v>2216.9</v>
      </c>
      <c r="E70" s="5">
        <f>IFERROR(__xludf.DUMMYFUNCTION("""COMPUTED_VALUE"""),2399.8)</f>
        <v>2399.8</v>
      </c>
      <c r="F70" s="5">
        <f>IFERROR(__xludf.DUMMYFUNCTION("""COMPUTED_VALUE"""),1.1066053E7)</f>
        <v>11066053</v>
      </c>
    </row>
    <row r="71">
      <c r="A71" s="6">
        <f>IFERROR(__xludf.DUMMYFUNCTION("""COMPUTED_VALUE"""),45681.64583333333)</f>
        <v>45681.64583</v>
      </c>
      <c r="B71" s="5">
        <f>IFERROR(__xludf.DUMMYFUNCTION("""COMPUTED_VALUE"""),2413.75)</f>
        <v>2413.75</v>
      </c>
      <c r="C71" s="5">
        <f>IFERROR(__xludf.DUMMYFUNCTION("""COMPUTED_VALUE"""),2454.0)</f>
        <v>2454</v>
      </c>
      <c r="D71" s="5">
        <f>IFERROR(__xludf.DUMMYFUNCTION("""COMPUTED_VALUE"""),2299.4)</f>
        <v>2299.4</v>
      </c>
      <c r="E71" s="5">
        <f>IFERROR(__xludf.DUMMYFUNCTION("""COMPUTED_VALUE"""),2315.1)</f>
        <v>2315.1</v>
      </c>
      <c r="F71" s="5">
        <f>IFERROR(__xludf.DUMMYFUNCTION("""COMPUTED_VALUE"""),5608585.0)</f>
        <v>5608585</v>
      </c>
    </row>
    <row r="72">
      <c r="A72" s="6">
        <f>IFERROR(__xludf.DUMMYFUNCTION("""COMPUTED_VALUE"""),45695.64583333333)</f>
        <v>45695.64583</v>
      </c>
      <c r="B72" s="5">
        <f>IFERROR(__xludf.DUMMYFUNCTION("""COMPUTED_VALUE"""),2266.75)</f>
        <v>2266.75</v>
      </c>
      <c r="C72" s="5">
        <f>IFERROR(__xludf.DUMMYFUNCTION("""COMPUTED_VALUE"""),2374.9)</f>
        <v>2374.9</v>
      </c>
      <c r="D72" s="5">
        <f>IFERROR(__xludf.DUMMYFUNCTION("""COMPUTED_VALUE"""),2213.9)</f>
        <v>2213.9</v>
      </c>
      <c r="E72" s="5">
        <f>IFERROR(__xludf.DUMMYFUNCTION("""COMPUTED_VALUE"""),2338.8)</f>
        <v>2338.8</v>
      </c>
      <c r="F72" s="5">
        <f>IFERROR(__xludf.DUMMYFUNCTION("""COMPUTED_VALUE"""),3650513.0)</f>
        <v>3650513</v>
      </c>
    </row>
    <row r="73">
      <c r="A73" s="6">
        <f>IFERROR(__xludf.DUMMYFUNCTION("""COMPUTED_VALUE"""),45702.64583333333)</f>
        <v>45702.64583</v>
      </c>
      <c r="B73" s="5">
        <f>IFERROR(__xludf.DUMMYFUNCTION("""COMPUTED_VALUE"""),2350.0)</f>
        <v>2350</v>
      </c>
      <c r="C73" s="5">
        <f>IFERROR(__xludf.DUMMYFUNCTION("""COMPUTED_VALUE"""),2397.0)</f>
        <v>2397</v>
      </c>
      <c r="D73" s="5">
        <f>IFERROR(__xludf.DUMMYFUNCTION("""COMPUTED_VALUE"""),2124.55)</f>
        <v>2124.55</v>
      </c>
      <c r="E73" s="5">
        <f>IFERROR(__xludf.DUMMYFUNCTION("""COMPUTED_VALUE"""),2152.65)</f>
        <v>2152.65</v>
      </c>
      <c r="F73" s="5">
        <f>IFERROR(__xludf.DUMMYFUNCTION("""COMPUTED_VALUE"""),1.2670245E7)</f>
        <v>12670245</v>
      </c>
    </row>
    <row r="74">
      <c r="A74" s="6">
        <f>IFERROR(__xludf.DUMMYFUNCTION("""COMPUTED_VALUE"""),45709.64583333333)</f>
        <v>45709.64583</v>
      </c>
      <c r="B74" s="5">
        <f>IFERROR(__xludf.DUMMYFUNCTION("""COMPUTED_VALUE"""),2152.65)</f>
        <v>2152.65</v>
      </c>
      <c r="C74" s="5">
        <f>IFERROR(__xludf.DUMMYFUNCTION("""COMPUTED_VALUE"""),2240.4)</f>
        <v>2240.4</v>
      </c>
      <c r="D74" s="5">
        <f>IFERROR(__xludf.DUMMYFUNCTION("""COMPUTED_VALUE"""),2110.65)</f>
        <v>2110.65</v>
      </c>
      <c r="E74" s="5">
        <f>IFERROR(__xludf.DUMMYFUNCTION("""COMPUTED_VALUE"""),2133.1)</f>
        <v>2133.1</v>
      </c>
      <c r="F74" s="5">
        <f>IFERROR(__xludf.DUMMYFUNCTION("""COMPUTED_VALUE"""),6368391.0)</f>
        <v>6368391</v>
      </c>
    </row>
    <row r="75">
      <c r="A75" s="6">
        <f>IFERROR(__xludf.DUMMYFUNCTION("""COMPUTED_VALUE"""),45716.64583333333)</f>
        <v>45716.64583</v>
      </c>
      <c r="B75" s="5">
        <f>IFERROR(__xludf.DUMMYFUNCTION("""COMPUTED_VALUE"""),2128.95)</f>
        <v>2128.95</v>
      </c>
      <c r="C75" s="5">
        <f>IFERROR(__xludf.DUMMYFUNCTION("""COMPUTED_VALUE"""),2158.3)</f>
        <v>2158.3</v>
      </c>
      <c r="D75" s="5">
        <f>IFERROR(__xludf.DUMMYFUNCTION("""COMPUTED_VALUE"""),2072.0)</f>
        <v>2072</v>
      </c>
      <c r="E75" s="5">
        <f>IFERROR(__xludf.DUMMYFUNCTION("""COMPUTED_VALUE"""),2096.0)</f>
        <v>2096</v>
      </c>
      <c r="F75" s="5">
        <f>IFERROR(__xludf.DUMMYFUNCTION("""COMPUTED_VALUE"""),5150297.0)</f>
        <v>5150297</v>
      </c>
    </row>
    <row r="76">
      <c r="A76" s="6">
        <f>IFERROR(__xludf.DUMMYFUNCTION("""COMPUTED_VALUE"""),45723.64583333333)</f>
        <v>45723.64583</v>
      </c>
      <c r="B76" s="5">
        <f>IFERROR(__xludf.DUMMYFUNCTION("""COMPUTED_VALUE"""),2109.0)</f>
        <v>2109</v>
      </c>
      <c r="C76" s="5">
        <f>IFERROR(__xludf.DUMMYFUNCTION("""COMPUTED_VALUE"""),2268.9)</f>
        <v>2268.9</v>
      </c>
      <c r="D76" s="5">
        <f>IFERROR(__xludf.DUMMYFUNCTION("""COMPUTED_VALUE"""),2026.55)</f>
        <v>2026.55</v>
      </c>
      <c r="E76" s="5">
        <f>IFERROR(__xludf.DUMMYFUNCTION("""COMPUTED_VALUE"""),2247.5)</f>
        <v>2247.5</v>
      </c>
      <c r="F76" s="5">
        <f>IFERROR(__xludf.DUMMYFUNCTION("""COMPUTED_VALUE"""),5524771.0)</f>
        <v>5524771</v>
      </c>
    </row>
    <row r="77">
      <c r="A77" s="6">
        <f>IFERROR(__xludf.DUMMYFUNCTION("""COMPUTED_VALUE"""),45729.64583333333)</f>
        <v>45729.64583</v>
      </c>
      <c r="B77" s="5">
        <f>IFERROR(__xludf.DUMMYFUNCTION("""COMPUTED_VALUE"""),2245.0)</f>
        <v>2245</v>
      </c>
      <c r="C77" s="5">
        <f>IFERROR(__xludf.DUMMYFUNCTION("""COMPUTED_VALUE"""),2288.0)</f>
        <v>2288</v>
      </c>
      <c r="D77" s="5">
        <f>IFERROR(__xludf.DUMMYFUNCTION("""COMPUTED_VALUE"""),2180.95)</f>
        <v>2180.95</v>
      </c>
      <c r="E77" s="5">
        <f>IFERROR(__xludf.DUMMYFUNCTION("""COMPUTED_VALUE"""),2221.1)</f>
        <v>2221.1</v>
      </c>
      <c r="F77" s="5">
        <f>IFERROR(__xludf.DUMMYFUNCTION("""COMPUTED_VALUE"""),3686578.0)</f>
        <v>3686578</v>
      </c>
    </row>
    <row r="78">
      <c r="A78" s="6">
        <f>IFERROR(__xludf.DUMMYFUNCTION("""COMPUTED_VALUE"""),45737.64583333333)</f>
        <v>45737.64583</v>
      </c>
      <c r="B78" s="5">
        <f>IFERROR(__xludf.DUMMYFUNCTION("""COMPUTED_VALUE"""),2200.0)</f>
        <v>2200</v>
      </c>
      <c r="C78" s="5">
        <f>IFERROR(__xludf.DUMMYFUNCTION("""COMPUTED_VALUE"""),2389.55)</f>
        <v>2389.55</v>
      </c>
      <c r="D78" s="5">
        <f>IFERROR(__xludf.DUMMYFUNCTION("""COMPUTED_VALUE"""),2198.0)</f>
        <v>2198</v>
      </c>
      <c r="E78" s="5">
        <f>IFERROR(__xludf.DUMMYFUNCTION("""COMPUTED_VALUE"""),2362.8)</f>
        <v>2362.8</v>
      </c>
      <c r="F78" s="5">
        <f>IFERROR(__xludf.DUMMYFUNCTION("""COMPUTED_VALUE"""),6524558.0)</f>
        <v>6524558</v>
      </c>
    </row>
    <row r="79">
      <c r="A79" s="6">
        <f>IFERROR(__xludf.DUMMYFUNCTION("""COMPUTED_VALUE"""),45744.64583333333)</f>
        <v>45744.64583</v>
      </c>
      <c r="B79" s="5">
        <f>IFERROR(__xludf.DUMMYFUNCTION("""COMPUTED_VALUE"""),2370.0)</f>
        <v>2370</v>
      </c>
      <c r="C79" s="5">
        <f>IFERROR(__xludf.DUMMYFUNCTION("""COMPUTED_VALUE"""),2395.0)</f>
        <v>2395</v>
      </c>
      <c r="D79" s="5">
        <f>IFERROR(__xludf.DUMMYFUNCTION("""COMPUTED_VALUE"""),2291.6)</f>
        <v>2291.6</v>
      </c>
      <c r="E79" s="5">
        <f>IFERROR(__xludf.DUMMYFUNCTION("""COMPUTED_VALUE"""),2315.8)</f>
        <v>2315.8</v>
      </c>
      <c r="F79" s="5">
        <f>IFERROR(__xludf.DUMMYFUNCTION("""COMPUTED_VALUE"""),6386997.0)</f>
        <v>6386997</v>
      </c>
    </row>
    <row r="80">
      <c r="A80" s="6">
        <f>IFERROR(__xludf.DUMMYFUNCTION("""COMPUTED_VALUE"""),45751.64583333333)</f>
        <v>45751.64583</v>
      </c>
      <c r="B80" s="5">
        <f>IFERROR(__xludf.DUMMYFUNCTION("""COMPUTED_VALUE"""),2312.0)</f>
        <v>2312</v>
      </c>
      <c r="C80" s="5">
        <f>IFERROR(__xludf.DUMMYFUNCTION("""COMPUTED_VALUE"""),2429.9)</f>
        <v>2429.9</v>
      </c>
      <c r="D80" s="5">
        <f>IFERROR(__xludf.DUMMYFUNCTION("""COMPUTED_VALUE"""),2301.0)</f>
        <v>2301</v>
      </c>
      <c r="E80" s="5">
        <f>IFERROR(__xludf.DUMMYFUNCTION("""COMPUTED_VALUE"""),2334.65)</f>
        <v>2334.65</v>
      </c>
      <c r="F80" s="5">
        <f>IFERROR(__xludf.DUMMYFUNCTION("""COMPUTED_VALUE"""),3318803.0)</f>
        <v>3318803</v>
      </c>
    </row>
    <row r="81">
      <c r="A81" s="6">
        <f>IFERROR(__xludf.DUMMYFUNCTION("""COMPUTED_VALUE"""),45758.64583333333)</f>
        <v>45758.64583</v>
      </c>
      <c r="B81" s="5">
        <f>IFERROR(__xludf.DUMMYFUNCTION("""COMPUTED_VALUE"""),2150.05)</f>
        <v>2150.05</v>
      </c>
      <c r="C81" s="5">
        <f>IFERROR(__xludf.DUMMYFUNCTION("""COMPUTED_VALUE"""),2343.5)</f>
        <v>2343.5</v>
      </c>
      <c r="D81" s="5">
        <f>IFERROR(__xludf.DUMMYFUNCTION("""COMPUTED_VALUE"""),2145.0)</f>
        <v>2145</v>
      </c>
      <c r="E81" s="5">
        <f>IFERROR(__xludf.DUMMYFUNCTION("""COMPUTED_VALUE"""),2321.4)</f>
        <v>2321.4</v>
      </c>
      <c r="F81" s="5">
        <f>IFERROR(__xludf.DUMMYFUNCTION("""COMPUTED_VALUE"""),4774635.0)</f>
        <v>4774635</v>
      </c>
    </row>
    <row r="82">
      <c r="A82" s="6">
        <f>IFERROR(__xludf.DUMMYFUNCTION("""COMPUTED_VALUE"""),45764.64583333333)</f>
        <v>45764.64583</v>
      </c>
      <c r="B82" s="5">
        <f>IFERROR(__xludf.DUMMYFUNCTION("""COMPUTED_VALUE"""),2375.0)</f>
        <v>2375</v>
      </c>
      <c r="C82" s="5">
        <f>IFERROR(__xludf.DUMMYFUNCTION("""COMPUTED_VALUE"""),2448.6)</f>
        <v>2448.6</v>
      </c>
      <c r="D82" s="5">
        <f>IFERROR(__xludf.DUMMYFUNCTION("""COMPUTED_VALUE"""),2359.0)</f>
        <v>2359</v>
      </c>
      <c r="E82" s="5">
        <f>IFERROR(__xludf.DUMMYFUNCTION("""COMPUTED_VALUE"""),2418.1)</f>
        <v>2418.1</v>
      </c>
      <c r="F82" s="5">
        <f>IFERROR(__xludf.DUMMYFUNCTION("""COMPUTED_VALUE"""),3089871.0)</f>
        <v>3089871</v>
      </c>
    </row>
    <row r="83">
      <c r="A83" s="6">
        <f>IFERROR(__xludf.DUMMYFUNCTION("""COMPUTED_VALUE"""),45772.64583333333)</f>
        <v>45772.64583</v>
      </c>
      <c r="B83" s="5">
        <f>IFERROR(__xludf.DUMMYFUNCTION("""COMPUTED_VALUE"""),2426.1)</f>
        <v>2426.1</v>
      </c>
      <c r="C83" s="5">
        <f>IFERROR(__xludf.DUMMYFUNCTION("""COMPUTED_VALUE"""),2483.4)</f>
        <v>2483.4</v>
      </c>
      <c r="D83" s="5">
        <f>IFERROR(__xludf.DUMMYFUNCTION("""COMPUTED_VALUE"""),2323.5)</f>
        <v>2323.5</v>
      </c>
      <c r="E83" s="5">
        <f>IFERROR(__xludf.DUMMYFUNCTION("""COMPUTED_VALUE"""),2354.3)</f>
        <v>2354.3</v>
      </c>
      <c r="F83" s="5">
        <f>IFERROR(__xludf.DUMMYFUNCTION("""COMPUTED_VALUE"""),4232893.0)</f>
        <v>4232893</v>
      </c>
    </row>
    <row r="84">
      <c r="A84" s="6">
        <f>IFERROR(__xludf.DUMMYFUNCTION("""COMPUTED_VALUE"""),45779.64583333333)</f>
        <v>45779.64583</v>
      </c>
      <c r="B84" s="5">
        <f>IFERROR(__xludf.DUMMYFUNCTION("""COMPUTED_VALUE"""),2346.0)</f>
        <v>2346</v>
      </c>
      <c r="C84" s="5">
        <f>IFERROR(__xludf.DUMMYFUNCTION("""COMPUTED_VALUE"""),2402.0)</f>
        <v>2402</v>
      </c>
      <c r="D84" s="5">
        <f>IFERROR(__xludf.DUMMYFUNCTION("""COMPUTED_VALUE"""),2285.0)</f>
        <v>2285</v>
      </c>
      <c r="E84" s="5">
        <f>IFERROR(__xludf.DUMMYFUNCTION("""COMPUTED_VALUE"""),2294.2)</f>
        <v>2294.2</v>
      </c>
      <c r="F84" s="5">
        <f>IFERROR(__xludf.DUMMYFUNCTION("""COMPUTED_VALUE"""),3885412.0)</f>
        <v>3885412</v>
      </c>
    </row>
    <row r="85">
      <c r="A85" s="6">
        <f>IFERROR(__xludf.DUMMYFUNCTION("""COMPUTED_VALUE"""),45786.64583333333)</f>
        <v>45786.64583</v>
      </c>
      <c r="B85" s="5">
        <f>IFERROR(__xludf.DUMMYFUNCTION("""COMPUTED_VALUE"""),2312.6)</f>
        <v>2312.6</v>
      </c>
      <c r="C85" s="5">
        <f>IFERROR(__xludf.DUMMYFUNCTION("""COMPUTED_VALUE"""),2497.0)</f>
        <v>2497</v>
      </c>
      <c r="D85" s="5">
        <f>IFERROR(__xludf.DUMMYFUNCTION("""COMPUTED_VALUE"""),2233.0)</f>
        <v>2233</v>
      </c>
      <c r="E85" s="5">
        <f>IFERROR(__xludf.DUMMYFUNCTION("""COMPUTED_VALUE"""),2251.0)</f>
        <v>2251</v>
      </c>
      <c r="F85" s="5">
        <f>IFERROR(__xludf.DUMMYFUNCTION("""COMPUTED_VALUE"""),9150595.0)</f>
        <v>9150595</v>
      </c>
    </row>
    <row r="86">
      <c r="A86" s="6">
        <f>IFERROR(__xludf.DUMMYFUNCTION("""COMPUTED_VALUE"""),45793.64583333333)</f>
        <v>45793.64583</v>
      </c>
      <c r="B86" s="5">
        <f>IFERROR(__xludf.DUMMYFUNCTION("""COMPUTED_VALUE"""),2350.0)</f>
        <v>2350</v>
      </c>
      <c r="C86" s="5">
        <f>IFERROR(__xludf.DUMMYFUNCTION("""COMPUTED_VALUE"""),2584.2)</f>
        <v>2584.2</v>
      </c>
      <c r="D86" s="5">
        <f>IFERROR(__xludf.DUMMYFUNCTION("""COMPUTED_VALUE"""),2315.0)</f>
        <v>2315</v>
      </c>
      <c r="E86" s="5">
        <f>IFERROR(__xludf.DUMMYFUNCTION("""COMPUTED_VALUE"""),2555.0)</f>
        <v>2555</v>
      </c>
      <c r="F86" s="5">
        <f>IFERROR(__xludf.DUMMYFUNCTION("""COMPUTED_VALUE"""),7932595.0)</f>
        <v>7932595</v>
      </c>
    </row>
    <row r="87">
      <c r="A87" s="6">
        <f>IFERROR(__xludf.DUMMYFUNCTION("""COMPUTED_VALUE"""),45800.64583333333)</f>
        <v>45800.64583</v>
      </c>
      <c r="B87" s="5">
        <f>IFERROR(__xludf.DUMMYFUNCTION("""COMPUTED_VALUE"""),2571.3)</f>
        <v>2571.3</v>
      </c>
      <c r="C87" s="5">
        <f>IFERROR(__xludf.DUMMYFUNCTION("""COMPUTED_VALUE"""),2578.8)</f>
        <v>2578.8</v>
      </c>
      <c r="D87" s="5">
        <f>IFERROR(__xludf.DUMMYFUNCTION("""COMPUTED_VALUE"""),2465.3)</f>
        <v>2465.3</v>
      </c>
      <c r="E87" s="5">
        <f>IFERROR(__xludf.DUMMYFUNCTION("""COMPUTED_VALUE"""),2540.0)</f>
        <v>2540</v>
      </c>
      <c r="F87" s="5">
        <f>IFERROR(__xludf.DUMMYFUNCTION("""COMPUTED_VALUE"""),3713581.0)</f>
        <v>3713581</v>
      </c>
    </row>
    <row r="88">
      <c r="A88" s="6">
        <f>IFERROR(__xludf.DUMMYFUNCTION("""COMPUTED_VALUE"""),45807.64583333333)</f>
        <v>45807.64583</v>
      </c>
      <c r="B88" s="5">
        <f>IFERROR(__xludf.DUMMYFUNCTION("""COMPUTED_VALUE"""),2549.1)</f>
        <v>2549.1</v>
      </c>
      <c r="C88" s="5">
        <f>IFERROR(__xludf.DUMMYFUNCTION("""COMPUTED_VALUE"""),2569.1)</f>
        <v>2569.1</v>
      </c>
      <c r="D88" s="5">
        <f>IFERROR(__xludf.DUMMYFUNCTION("""COMPUTED_VALUE"""),2510.0)</f>
        <v>2510</v>
      </c>
      <c r="E88" s="5">
        <f>IFERROR(__xludf.DUMMYFUNCTION("""COMPUTED_VALUE"""),2519.9)</f>
        <v>2519.9</v>
      </c>
      <c r="F88" s="5">
        <f>IFERROR(__xludf.DUMMYFUNCTION("""COMPUTED_VALUE"""),3130746.0)</f>
        <v>3130746</v>
      </c>
    </row>
    <row r="89">
      <c r="A89" s="6">
        <f>IFERROR(__xludf.DUMMYFUNCTION("""COMPUTED_VALUE"""),45814.64583333333)</f>
        <v>45814.64583</v>
      </c>
      <c r="B89" s="5">
        <f>IFERROR(__xludf.DUMMYFUNCTION("""COMPUTED_VALUE"""),2527.0)</f>
        <v>2527</v>
      </c>
      <c r="C89" s="5">
        <f>IFERROR(__xludf.DUMMYFUNCTION("""COMPUTED_VALUE"""),2564.0)</f>
        <v>2564</v>
      </c>
      <c r="D89" s="5">
        <f>IFERROR(__xludf.DUMMYFUNCTION("""COMPUTED_VALUE"""),2441.1)</f>
        <v>2441.1</v>
      </c>
      <c r="E89" s="5">
        <f>IFERROR(__xludf.DUMMYFUNCTION("""COMPUTED_VALUE"""),2534.2)</f>
        <v>2534.2</v>
      </c>
      <c r="F89" s="5">
        <f>IFERROR(__xludf.DUMMYFUNCTION("""COMPUTED_VALUE"""),3837980.0)</f>
        <v>3837980</v>
      </c>
    </row>
    <row r="90">
      <c r="A90" s="6">
        <f>IFERROR(__xludf.DUMMYFUNCTION("""COMPUTED_VALUE"""),45821.64583333333)</f>
        <v>45821.64583</v>
      </c>
      <c r="B90" s="5">
        <f>IFERROR(__xludf.DUMMYFUNCTION("""COMPUTED_VALUE"""),2545.0)</f>
        <v>2545</v>
      </c>
      <c r="C90" s="5">
        <f>IFERROR(__xludf.DUMMYFUNCTION("""COMPUTED_VALUE"""),2663.2)</f>
        <v>2663.2</v>
      </c>
      <c r="D90" s="5">
        <f>IFERROR(__xludf.DUMMYFUNCTION("""COMPUTED_VALUE"""),2460.0)</f>
        <v>2460</v>
      </c>
      <c r="E90" s="5">
        <f>IFERROR(__xludf.DUMMYFUNCTION("""COMPUTED_VALUE"""),2507.9)</f>
        <v>2507.9</v>
      </c>
      <c r="F90" s="5">
        <f>IFERROR(__xludf.DUMMYFUNCTION("""COMPUTED_VALUE"""),6191619.0)</f>
        <v>6191619</v>
      </c>
    </row>
    <row r="91">
      <c r="A91" s="6">
        <f>IFERROR(__xludf.DUMMYFUNCTION("""COMPUTED_VALUE"""),45828.64583333333)</f>
        <v>45828.64583</v>
      </c>
      <c r="B91" s="5">
        <f>IFERROR(__xludf.DUMMYFUNCTION("""COMPUTED_VALUE"""),2500.0)</f>
        <v>2500</v>
      </c>
      <c r="C91" s="5">
        <f>IFERROR(__xludf.DUMMYFUNCTION("""COMPUTED_VALUE"""),2563.3)</f>
        <v>2563.3</v>
      </c>
      <c r="D91" s="5">
        <f>IFERROR(__xludf.DUMMYFUNCTION("""COMPUTED_VALUE"""),2405.1)</f>
        <v>2405.1</v>
      </c>
      <c r="E91" s="5">
        <f>IFERROR(__xludf.DUMMYFUNCTION("""COMPUTED_VALUE"""),2448.4)</f>
        <v>2448.4</v>
      </c>
      <c r="F91" s="5">
        <f>IFERROR(__xludf.DUMMYFUNCTION("""COMPUTED_VALUE"""),6017604.0)</f>
        <v>6017604</v>
      </c>
    </row>
    <row r="92">
      <c r="A92" s="6">
        <f>IFERROR(__xludf.DUMMYFUNCTION("""COMPUTED_VALUE"""),45835.64583333333)</f>
        <v>45835.64583</v>
      </c>
      <c r="B92" s="5">
        <f>IFERROR(__xludf.DUMMYFUNCTION("""COMPUTED_VALUE"""),2438.0)</f>
        <v>2438</v>
      </c>
      <c r="C92" s="5">
        <f>IFERROR(__xludf.DUMMYFUNCTION("""COMPUTED_VALUE"""),2681.6)</f>
        <v>2681.6</v>
      </c>
      <c r="D92" s="5">
        <f>IFERROR(__xludf.DUMMYFUNCTION("""COMPUTED_VALUE"""),2421.0)</f>
        <v>2421</v>
      </c>
      <c r="E92" s="5">
        <f>IFERROR(__xludf.DUMMYFUNCTION("""COMPUTED_VALUE"""),2646.3)</f>
        <v>2646.3</v>
      </c>
      <c r="F92" s="5">
        <f>IFERROR(__xludf.DUMMYFUNCTION("""COMPUTED_VALUE"""),8097229.0)</f>
        <v>8097229</v>
      </c>
    </row>
    <row r="93">
      <c r="A93" s="6">
        <f>IFERROR(__xludf.DUMMYFUNCTION("""COMPUTED_VALUE"""),45842.64583333333)</f>
        <v>45842.64583</v>
      </c>
      <c r="B93" s="5">
        <f>IFERROR(__xludf.DUMMYFUNCTION("""COMPUTED_VALUE"""),2650.0)</f>
        <v>2650</v>
      </c>
      <c r="C93" s="5">
        <f>IFERROR(__xludf.DUMMYFUNCTION("""COMPUTED_VALUE"""),2653.9)</f>
        <v>2653.9</v>
      </c>
      <c r="D93" s="5">
        <f>IFERROR(__xludf.DUMMYFUNCTION("""COMPUTED_VALUE"""),2582.2)</f>
        <v>2582.2</v>
      </c>
      <c r="E93" s="5">
        <f>IFERROR(__xludf.DUMMYFUNCTION("""COMPUTED_VALUE"""),2599.1)</f>
        <v>2599.1</v>
      </c>
      <c r="F93" s="5">
        <f>IFERROR(__xludf.DUMMYFUNCTION("""COMPUTED_VALUE"""),2918450.0)</f>
        <v>2918450</v>
      </c>
    </row>
    <row r="94">
      <c r="A94" s="6">
        <f>IFERROR(__xludf.DUMMYFUNCTION("""COMPUTED_VALUE"""),45849.64583333333)</f>
        <v>45849.64583</v>
      </c>
      <c r="B94" s="5">
        <f>IFERROR(__xludf.DUMMYFUNCTION("""COMPUTED_VALUE"""),2602.0)</f>
        <v>2602</v>
      </c>
      <c r="C94" s="5">
        <f>IFERROR(__xludf.DUMMYFUNCTION("""COMPUTED_VALUE"""),2609.9)</f>
        <v>2609.9</v>
      </c>
      <c r="D94" s="5">
        <f>IFERROR(__xludf.DUMMYFUNCTION("""COMPUTED_VALUE"""),2551.9)</f>
        <v>2551.9</v>
      </c>
      <c r="E94" s="5">
        <f>IFERROR(__xludf.DUMMYFUNCTION("""COMPUTED_VALUE"""),2558.7)</f>
        <v>2558.7</v>
      </c>
      <c r="F94" s="5">
        <f>IFERROR(__xludf.DUMMYFUNCTION("""COMPUTED_VALUE"""),1863950.0)</f>
        <v>1863950</v>
      </c>
    </row>
    <row r="95">
      <c r="A95" s="6">
        <f>IFERROR(__xludf.DUMMYFUNCTION("""COMPUTED_VALUE"""),45856.64583333333)</f>
        <v>45856.64583</v>
      </c>
      <c r="B95" s="5">
        <f>IFERROR(__xludf.DUMMYFUNCTION("""COMPUTED_VALUE"""),2555.0)</f>
        <v>2555</v>
      </c>
      <c r="C95" s="5">
        <f>IFERROR(__xludf.DUMMYFUNCTION("""COMPUTED_VALUE"""),2654.5)</f>
        <v>2654.5</v>
      </c>
      <c r="D95" s="5">
        <f>IFERROR(__xludf.DUMMYFUNCTION("""COMPUTED_VALUE"""),2543.5)</f>
        <v>2543.5</v>
      </c>
      <c r="E95" s="5">
        <f>IFERROR(__xludf.DUMMYFUNCTION("""COMPUTED_VALUE"""),2596.1)</f>
        <v>2596.1</v>
      </c>
      <c r="F95" s="5">
        <f>IFERROR(__xludf.DUMMYFUNCTION("""COMPUTED_VALUE"""),2868367.0)</f>
        <v>2868367</v>
      </c>
    </row>
    <row r="96">
      <c r="A96" s="6">
        <f>IFERROR(__xludf.DUMMYFUNCTION("""COMPUTED_VALUE"""),45863.64583333333)</f>
        <v>45863.64583</v>
      </c>
      <c r="B96" s="5">
        <f>IFERROR(__xludf.DUMMYFUNCTION("""COMPUTED_VALUE"""),2596.3)</f>
        <v>2596.3</v>
      </c>
      <c r="C96" s="5">
        <f>IFERROR(__xludf.DUMMYFUNCTION("""COMPUTED_VALUE"""),2630.0)</f>
        <v>2630</v>
      </c>
      <c r="D96" s="5">
        <f>IFERROR(__xludf.DUMMYFUNCTION("""COMPUTED_VALUE"""),2544.1)</f>
        <v>2544.1</v>
      </c>
      <c r="E96" s="5">
        <f>IFERROR(__xludf.DUMMYFUNCTION("""COMPUTED_VALUE"""),2550.1)</f>
        <v>2550.1</v>
      </c>
      <c r="F96" s="5">
        <f>IFERROR(__xludf.DUMMYFUNCTION("""COMPUTED_VALUE"""),1751655.0)</f>
        <v>1751655</v>
      </c>
    </row>
    <row r="97">
      <c r="A97" s="6">
        <f>IFERROR(__xludf.DUMMYFUNCTION("""COMPUTED_VALUE"""),45870.64583333333)</f>
        <v>45870.64583</v>
      </c>
      <c r="B97" s="5">
        <f>IFERROR(__xludf.DUMMYFUNCTION("""COMPUTED_VALUE"""),2549.0)</f>
        <v>2549</v>
      </c>
      <c r="C97" s="5">
        <f>IFERROR(__xludf.DUMMYFUNCTION("""COMPUTED_VALUE"""),2585.0)</f>
        <v>2585</v>
      </c>
      <c r="D97" s="5">
        <f>IFERROR(__xludf.DUMMYFUNCTION("""COMPUTED_VALUE"""),2333.0)</f>
        <v>2333</v>
      </c>
      <c r="E97" s="5">
        <f>IFERROR(__xludf.DUMMYFUNCTION("""COMPUTED_VALUE"""),2350.9)</f>
        <v>2350.9</v>
      </c>
      <c r="F97" s="5">
        <f>IFERROR(__xludf.DUMMYFUNCTION("""COMPUTED_VALUE"""),3549210.0)</f>
        <v>3549210</v>
      </c>
    </row>
    <row r="98">
      <c r="A98" s="6">
        <f>IFERROR(__xludf.DUMMYFUNCTION("""COMPUTED_VALUE"""),45877.64583333333)</f>
        <v>45877.64583</v>
      </c>
      <c r="B98" s="5">
        <f>IFERROR(__xludf.DUMMYFUNCTION("""COMPUTED_VALUE"""),2360.0)</f>
        <v>2360</v>
      </c>
      <c r="C98" s="5">
        <f>IFERROR(__xludf.DUMMYFUNCTION("""COMPUTED_VALUE"""),2374.7)</f>
        <v>2374.7</v>
      </c>
      <c r="D98" s="5">
        <f>IFERROR(__xludf.DUMMYFUNCTION("""COMPUTED_VALUE"""),2164.8)</f>
        <v>2164.8</v>
      </c>
      <c r="E98" s="5">
        <f>IFERROR(__xludf.DUMMYFUNCTION("""COMPUTED_VALUE"""),2178.1)</f>
        <v>2178.1</v>
      </c>
      <c r="F98" s="5">
        <f>IFERROR(__xludf.DUMMYFUNCTION("""COMPUTED_VALUE"""),5866896.0)</f>
        <v>5866896</v>
      </c>
    </row>
    <row r="99">
      <c r="A99" s="6">
        <f>IFERROR(__xludf.DUMMYFUNCTION("""COMPUTED_VALUE"""),45883.64583333333)</f>
        <v>45883.64583</v>
      </c>
      <c r="B99" s="5">
        <f>IFERROR(__xludf.DUMMYFUNCTION("""COMPUTED_VALUE"""),2196.0)</f>
        <v>2196</v>
      </c>
      <c r="C99" s="5">
        <f>IFERROR(__xludf.DUMMYFUNCTION("""COMPUTED_VALUE"""),2314.9)</f>
        <v>2314.9</v>
      </c>
      <c r="D99" s="5">
        <f>IFERROR(__xludf.DUMMYFUNCTION("""COMPUTED_VALUE"""),2183.0)</f>
        <v>2183</v>
      </c>
      <c r="E99" s="5">
        <f>IFERROR(__xludf.DUMMYFUNCTION("""COMPUTED_VALUE"""),2281.6)</f>
        <v>2281.6</v>
      </c>
      <c r="F99" s="5">
        <f>IFERROR(__xludf.DUMMYFUNCTION("""COMPUTED_VALUE"""),5283600.0)</f>
        <v>5283600</v>
      </c>
    </row>
    <row r="100">
      <c r="A100" s="6">
        <f>IFERROR(__xludf.DUMMYFUNCTION("""COMPUTED_VALUE"""),45891.64583333333)</f>
        <v>45891.64583</v>
      </c>
      <c r="B100" s="5">
        <f>IFERROR(__xludf.DUMMYFUNCTION("""COMPUTED_VALUE"""),2309.6)</f>
        <v>2309.6</v>
      </c>
      <c r="C100" s="5">
        <f>IFERROR(__xludf.DUMMYFUNCTION("""COMPUTED_VALUE"""),2406.0)</f>
        <v>2406</v>
      </c>
      <c r="D100" s="5">
        <f>IFERROR(__xludf.DUMMYFUNCTION("""COMPUTED_VALUE"""),2300.0)</f>
        <v>2300</v>
      </c>
      <c r="E100" s="5">
        <f>IFERROR(__xludf.DUMMYFUNCTION("""COMPUTED_VALUE"""),2324.9)</f>
        <v>2324.9</v>
      </c>
      <c r="F100" s="5">
        <f>IFERROR(__xludf.DUMMYFUNCTION("""COMPUTED_VALUE"""),3864164.0)</f>
        <v>3864164</v>
      </c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IFERROR(__xludf.DUMMYFUNCTION("GOOGLEFINANCE(""NSE:HAVELLS"", ""all"",ConfigSheet!B2 -ConfigSheet!B1,ConfigSheet!B2,ConfigSheet!B3)"),"#N/A")</f>
        <v>#N/A</v>
      </c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IFERROR(__xludf.DUMMYFUNCTION("GOOGLEFINANCE(""NSE:HCLTECH"", ""all"",ConfigSheet!B2 -ConfigSheet!B1,ConfigSheet!B2,ConfigSheet!B3)"),"#N/A")</f>
        <v>#N/A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IFERROR(__xludf.DUMMYFUNCTION("GOOGLEFINANCE(""NSE:HDFCAMC"", ""all"",ConfigSheet!B2 -ConfigSheet!B1,ConfigSheet!B2,ConfigSheet!B3)"),"#N/A")</f>
        <v>#N/A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IFERROR(__xludf.DUMMYFUNCTION("GOOGLEFINANCE(""NSE:HDFCBANK"", ""all"",ConfigSheet!B2 -ConfigSheet!B1,ConfigSheet!B2,ConfigSheet!B3)"),"#N/A")</f>
        <v>#N/A</v>
      </c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IFERROR(__xludf.DUMMYFUNCTION("GOOGLEFINANCE(""NSE:HDFCLIFE"", ""all"",ConfigSheet!B2 -ConfigSheet!B1,ConfigSheet!B2,ConfigSheet!B3)"),"#N/A")</f>
        <v>#N/A</v>
      </c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IFERROR(__xludf.DUMMYFUNCTION("GOOGLEFINANCE(""NSE:HEROMOTOCO"", ""all"",ConfigSheet!B2 -ConfigSheet!B1,ConfigSheet!B2,ConfigSheet!B3)"),"#N/A")</f>
        <v>#N/A</v>
      </c>
    </row>
  </sheetData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IFERROR(__xludf.DUMMYFUNCTION("GOOGLEFINANCE(""NSE:HINDALCO"", ""all"",ConfigSheet!B2 -ConfigSheet!B1,ConfigSheet!B2,ConfigSheet!B3)"),"#N/A")</f>
        <v>#N/A</v>
      </c>
    </row>
  </sheetData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IFERROR(__xludf.DUMMYFUNCTION("GOOGLEFINANCE(""NSE:HINDPETRO"", ""all"",ConfigSheet!B2 -ConfigSheet!B1,ConfigSheet!B2,ConfigSheet!B3)"),"#N/A")</f>
        <v>#N/A</v>
      </c>
    </row>
  </sheetData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IFERROR(__xludf.DUMMYFUNCTION("GOOGLEFINANCE(""NSE:HINDUNILVR"", ""all"",ConfigSheet!B2 -ConfigSheet!B1,ConfigSheet!B2,ConfigSheet!B3)"),"#N/A")</f>
        <v>#N/A</v>
      </c>
    </row>
  </sheetData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IFERROR(__xludf.DUMMYFUNCTION("GOOGLEFINANCE(""NSE:HINDZINC"", ""all"",ConfigSheet!B2 -ConfigSheet!B1,ConfigSheet!B2,ConfigSheet!B3)"),"#N/A")</f>
        <v>#N/A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IFERROR(__xludf.DUMMYFUNCTION("GOOGLEFINANCE(""NSE:ADANIGREEN"", ""all"",ConfigSheet!B2 -ConfigSheet!B1,ConfigSheet!B2,ConfigSheet!B3)"),"Date")</f>
        <v>Date</v>
      </c>
      <c r="B1" s="5" t="str">
        <f>IFERROR(__xludf.DUMMYFUNCTION("""COMPUTED_VALUE"""),"Open")</f>
        <v>Open</v>
      </c>
      <c r="C1" s="5" t="str">
        <f>IFERROR(__xludf.DUMMYFUNCTION("""COMPUTED_VALUE"""),"High")</f>
        <v>High</v>
      </c>
      <c r="D1" s="5" t="str">
        <f>IFERROR(__xludf.DUMMYFUNCTION("""COMPUTED_VALUE"""),"Low")</f>
        <v>Low</v>
      </c>
      <c r="E1" s="5" t="str">
        <f>IFERROR(__xludf.DUMMYFUNCTION("""COMPUTED_VALUE"""),"Close")</f>
        <v>Close</v>
      </c>
      <c r="F1" s="5" t="str">
        <f>IFERROR(__xludf.DUMMYFUNCTION("""COMPUTED_VALUE"""),"Volume")</f>
        <v>Volume</v>
      </c>
    </row>
    <row r="2">
      <c r="A2" s="6">
        <f>IFERROR(__xludf.DUMMYFUNCTION("""COMPUTED_VALUE"""),45170.64583333333)</f>
        <v>45170.64583</v>
      </c>
      <c r="B2" s="5">
        <f>IFERROR(__xludf.DUMMYFUNCTION("""COMPUTED_VALUE"""),997.1)</f>
        <v>997.1</v>
      </c>
      <c r="C2" s="5">
        <f>IFERROR(__xludf.DUMMYFUNCTION("""COMPUTED_VALUE"""),998.5)</f>
        <v>998.5</v>
      </c>
      <c r="D2" s="5">
        <f>IFERROR(__xludf.DUMMYFUNCTION("""COMPUTED_VALUE"""),905.15)</f>
        <v>905.15</v>
      </c>
      <c r="E2" s="5">
        <f>IFERROR(__xludf.DUMMYFUNCTION("""COMPUTED_VALUE"""),949.1)</f>
        <v>949.1</v>
      </c>
      <c r="F2" s="5">
        <f>IFERROR(__xludf.DUMMYFUNCTION("""COMPUTED_VALUE"""),1.1362853E7)</f>
        <v>11362853</v>
      </c>
    </row>
    <row r="3">
      <c r="A3" s="6">
        <f>IFERROR(__xludf.DUMMYFUNCTION("""COMPUTED_VALUE"""),45177.64583333333)</f>
        <v>45177.64583</v>
      </c>
      <c r="B3" s="5">
        <f>IFERROR(__xludf.DUMMYFUNCTION("""COMPUTED_VALUE"""),952.9)</f>
        <v>952.9</v>
      </c>
      <c r="C3" s="5">
        <f>IFERROR(__xludf.DUMMYFUNCTION("""COMPUTED_VALUE"""),1015.15)</f>
        <v>1015.15</v>
      </c>
      <c r="D3" s="5">
        <f>IFERROR(__xludf.DUMMYFUNCTION("""COMPUTED_VALUE"""),942.0)</f>
        <v>942</v>
      </c>
      <c r="E3" s="5">
        <f>IFERROR(__xludf.DUMMYFUNCTION("""COMPUTED_VALUE"""),1001.2)</f>
        <v>1001.2</v>
      </c>
      <c r="F3" s="5">
        <f>IFERROR(__xludf.DUMMYFUNCTION("""COMPUTED_VALUE"""),2.7815787E7)</f>
        <v>27815787</v>
      </c>
    </row>
    <row r="4">
      <c r="A4" s="6">
        <f>IFERROR(__xludf.DUMMYFUNCTION("""COMPUTED_VALUE"""),45184.64583333333)</f>
        <v>45184.64583</v>
      </c>
      <c r="B4" s="5">
        <f>IFERROR(__xludf.DUMMYFUNCTION("""COMPUTED_VALUE"""),1017.95)</f>
        <v>1017.95</v>
      </c>
      <c r="C4" s="5">
        <f>IFERROR(__xludf.DUMMYFUNCTION("""COMPUTED_VALUE"""),1026.95)</f>
        <v>1026.95</v>
      </c>
      <c r="D4" s="5">
        <f>IFERROR(__xludf.DUMMYFUNCTION("""COMPUTED_VALUE"""),967.0)</f>
        <v>967</v>
      </c>
      <c r="E4" s="5">
        <f>IFERROR(__xludf.DUMMYFUNCTION("""COMPUTED_VALUE"""),1006.45)</f>
        <v>1006.45</v>
      </c>
      <c r="F4" s="5">
        <f>IFERROR(__xludf.DUMMYFUNCTION("""COMPUTED_VALUE"""),1.786524E7)</f>
        <v>17865240</v>
      </c>
    </row>
    <row r="5">
      <c r="A5" s="6">
        <f>IFERROR(__xludf.DUMMYFUNCTION("""COMPUTED_VALUE"""),45191.64583333333)</f>
        <v>45191.64583</v>
      </c>
      <c r="B5" s="5">
        <f>IFERROR(__xludf.DUMMYFUNCTION("""COMPUTED_VALUE"""),1015.0)</f>
        <v>1015</v>
      </c>
      <c r="C5" s="5">
        <f>IFERROR(__xludf.DUMMYFUNCTION("""COMPUTED_VALUE"""),1029.95)</f>
        <v>1029.95</v>
      </c>
      <c r="D5" s="5">
        <f>IFERROR(__xludf.DUMMYFUNCTION("""COMPUTED_VALUE"""),988.15)</f>
        <v>988.15</v>
      </c>
      <c r="E5" s="5">
        <f>IFERROR(__xludf.DUMMYFUNCTION("""COMPUTED_VALUE"""),1018.8)</f>
        <v>1018.8</v>
      </c>
      <c r="F5" s="5">
        <f>IFERROR(__xludf.DUMMYFUNCTION("""COMPUTED_VALUE"""),2.7961073E7)</f>
        <v>27961073</v>
      </c>
    </row>
    <row r="6">
      <c r="A6" s="6">
        <f>IFERROR(__xludf.DUMMYFUNCTION("""COMPUTED_VALUE"""),45198.64583333333)</f>
        <v>45198.64583</v>
      </c>
      <c r="B6" s="5">
        <f>IFERROR(__xludf.DUMMYFUNCTION("""COMPUTED_VALUE"""),1021.95)</f>
        <v>1021.95</v>
      </c>
      <c r="C6" s="5">
        <f>IFERROR(__xludf.DUMMYFUNCTION("""COMPUTED_VALUE"""),1021.95)</f>
        <v>1021.95</v>
      </c>
      <c r="D6" s="5">
        <f>IFERROR(__xludf.DUMMYFUNCTION("""COMPUTED_VALUE"""),984.0)</f>
        <v>984</v>
      </c>
      <c r="E6" s="5">
        <f>IFERROR(__xludf.DUMMYFUNCTION("""COMPUTED_VALUE"""),987.15)</f>
        <v>987.15</v>
      </c>
      <c r="F6" s="5">
        <f>IFERROR(__xludf.DUMMYFUNCTION("""COMPUTED_VALUE"""),2.0374913E7)</f>
        <v>20374913</v>
      </c>
    </row>
    <row r="7">
      <c r="A7" s="6">
        <f>IFERROR(__xludf.DUMMYFUNCTION("""COMPUTED_VALUE"""),45205.64583333333)</f>
        <v>45205.64583</v>
      </c>
      <c r="B7" s="5">
        <f>IFERROR(__xludf.DUMMYFUNCTION("""COMPUTED_VALUE"""),995.1)</f>
        <v>995.1</v>
      </c>
      <c r="C7" s="5">
        <f>IFERROR(__xludf.DUMMYFUNCTION("""COMPUTED_VALUE"""),997.95)</f>
        <v>997.95</v>
      </c>
      <c r="D7" s="5">
        <f>IFERROR(__xludf.DUMMYFUNCTION("""COMPUTED_VALUE"""),955.0)</f>
        <v>955</v>
      </c>
      <c r="E7" s="5">
        <f>IFERROR(__xludf.DUMMYFUNCTION("""COMPUTED_VALUE"""),961.25)</f>
        <v>961.25</v>
      </c>
      <c r="F7" s="5">
        <f>IFERROR(__xludf.DUMMYFUNCTION("""COMPUTED_VALUE"""),2066715.0)</f>
        <v>2066715</v>
      </c>
    </row>
    <row r="8">
      <c r="A8" s="6">
        <f>IFERROR(__xludf.DUMMYFUNCTION("""COMPUTED_VALUE"""),45212.64583333333)</f>
        <v>45212.64583</v>
      </c>
      <c r="B8" s="5">
        <f>IFERROR(__xludf.DUMMYFUNCTION("""COMPUTED_VALUE"""),955.0)</f>
        <v>955</v>
      </c>
      <c r="C8" s="5">
        <f>IFERROR(__xludf.DUMMYFUNCTION("""COMPUTED_VALUE"""),970.85)</f>
        <v>970.85</v>
      </c>
      <c r="D8" s="5">
        <f>IFERROR(__xludf.DUMMYFUNCTION("""COMPUTED_VALUE"""),935.65)</f>
        <v>935.65</v>
      </c>
      <c r="E8" s="5">
        <f>IFERROR(__xludf.DUMMYFUNCTION("""COMPUTED_VALUE"""),948.9)</f>
        <v>948.9</v>
      </c>
      <c r="F8" s="5">
        <f>IFERROR(__xludf.DUMMYFUNCTION("""COMPUTED_VALUE"""),2350695.0)</f>
        <v>2350695</v>
      </c>
    </row>
    <row r="9">
      <c r="A9" s="6">
        <f>IFERROR(__xludf.DUMMYFUNCTION("""COMPUTED_VALUE"""),45219.64583333333)</f>
        <v>45219.64583</v>
      </c>
      <c r="B9" s="5">
        <f>IFERROR(__xludf.DUMMYFUNCTION("""COMPUTED_VALUE"""),950.0)</f>
        <v>950</v>
      </c>
      <c r="C9" s="5">
        <f>IFERROR(__xludf.DUMMYFUNCTION("""COMPUTED_VALUE"""),958.45)</f>
        <v>958.45</v>
      </c>
      <c r="D9" s="5">
        <f>IFERROR(__xludf.DUMMYFUNCTION("""COMPUTED_VALUE"""),915.75)</f>
        <v>915.75</v>
      </c>
      <c r="E9" s="5">
        <f>IFERROR(__xludf.DUMMYFUNCTION("""COMPUTED_VALUE"""),920.15)</f>
        <v>920.15</v>
      </c>
      <c r="F9" s="5">
        <f>IFERROR(__xludf.DUMMYFUNCTION("""COMPUTED_VALUE"""),1939226.0)</f>
        <v>1939226</v>
      </c>
    </row>
    <row r="10">
      <c r="A10" s="6">
        <f>IFERROR(__xludf.DUMMYFUNCTION("""COMPUTED_VALUE"""),45226.64583333333)</f>
        <v>45226.64583</v>
      </c>
      <c r="B10" s="5">
        <f>IFERROR(__xludf.DUMMYFUNCTION("""COMPUTED_VALUE"""),928.0)</f>
        <v>928</v>
      </c>
      <c r="C10" s="5">
        <f>IFERROR(__xludf.DUMMYFUNCTION("""COMPUTED_VALUE"""),929.95)</f>
        <v>929.95</v>
      </c>
      <c r="D10" s="5">
        <f>IFERROR(__xludf.DUMMYFUNCTION("""COMPUTED_VALUE"""),815.55)</f>
        <v>815.55</v>
      </c>
      <c r="E10" s="5">
        <f>IFERROR(__xludf.DUMMYFUNCTION("""COMPUTED_VALUE"""),870.9)</f>
        <v>870.9</v>
      </c>
      <c r="F10" s="5">
        <f>IFERROR(__xludf.DUMMYFUNCTION("""COMPUTED_VALUE"""),3199982.0)</f>
        <v>3199982</v>
      </c>
    </row>
    <row r="11">
      <c r="A11" s="6">
        <f>IFERROR(__xludf.DUMMYFUNCTION("""COMPUTED_VALUE"""),45233.64583333333)</f>
        <v>45233.64583</v>
      </c>
      <c r="B11" s="5">
        <f>IFERROR(__xludf.DUMMYFUNCTION("""COMPUTED_VALUE"""),875.0)</f>
        <v>875</v>
      </c>
      <c r="C11" s="5">
        <f>IFERROR(__xludf.DUMMYFUNCTION("""COMPUTED_VALUE"""),939.8)</f>
        <v>939.8</v>
      </c>
      <c r="D11" s="5">
        <f>IFERROR(__xludf.DUMMYFUNCTION("""COMPUTED_VALUE"""),868.45)</f>
        <v>868.45</v>
      </c>
      <c r="E11" s="5">
        <f>IFERROR(__xludf.DUMMYFUNCTION("""COMPUTED_VALUE"""),902.7)</f>
        <v>902.7</v>
      </c>
      <c r="F11" s="5">
        <f>IFERROR(__xludf.DUMMYFUNCTION("""COMPUTED_VALUE"""),4103841.0)</f>
        <v>4103841</v>
      </c>
    </row>
    <row r="12">
      <c r="A12" s="6">
        <f>IFERROR(__xludf.DUMMYFUNCTION("""COMPUTED_VALUE"""),45240.64583333333)</f>
        <v>45240.64583</v>
      </c>
      <c r="B12" s="5">
        <f>IFERROR(__xludf.DUMMYFUNCTION("""COMPUTED_VALUE"""),909.9)</f>
        <v>909.9</v>
      </c>
      <c r="C12" s="5">
        <f>IFERROR(__xludf.DUMMYFUNCTION("""COMPUTED_VALUE"""),953.7)</f>
        <v>953.7</v>
      </c>
      <c r="D12" s="5">
        <f>IFERROR(__xludf.DUMMYFUNCTION("""COMPUTED_VALUE"""),908.0)</f>
        <v>908</v>
      </c>
      <c r="E12" s="5">
        <f>IFERROR(__xludf.DUMMYFUNCTION("""COMPUTED_VALUE"""),938.7)</f>
        <v>938.7</v>
      </c>
      <c r="F12" s="5">
        <f>IFERROR(__xludf.DUMMYFUNCTION("""COMPUTED_VALUE"""),2703186.0)</f>
        <v>2703186</v>
      </c>
    </row>
    <row r="13">
      <c r="A13" s="6">
        <f>IFERROR(__xludf.DUMMYFUNCTION("""COMPUTED_VALUE"""),45247.64583333333)</f>
        <v>45247.64583</v>
      </c>
      <c r="B13" s="5">
        <f>IFERROR(__xludf.DUMMYFUNCTION("""COMPUTED_VALUE"""),942.95)</f>
        <v>942.95</v>
      </c>
      <c r="C13" s="5">
        <f>IFERROR(__xludf.DUMMYFUNCTION("""COMPUTED_VALUE"""),954.9)</f>
        <v>954.9</v>
      </c>
      <c r="D13" s="5">
        <f>IFERROR(__xludf.DUMMYFUNCTION("""COMPUTED_VALUE"""),930.0)</f>
        <v>930</v>
      </c>
      <c r="E13" s="5">
        <f>IFERROR(__xludf.DUMMYFUNCTION("""COMPUTED_VALUE"""),936.1)</f>
        <v>936.1</v>
      </c>
      <c r="F13" s="5">
        <f>IFERROR(__xludf.DUMMYFUNCTION("""COMPUTED_VALUE"""),1600015.0)</f>
        <v>1600015</v>
      </c>
    </row>
    <row r="14">
      <c r="A14" s="6">
        <f>IFERROR(__xludf.DUMMYFUNCTION("""COMPUTED_VALUE"""),45254.64583333333)</f>
        <v>45254.64583</v>
      </c>
      <c r="B14" s="5">
        <f>IFERROR(__xludf.DUMMYFUNCTION("""COMPUTED_VALUE"""),935.0)</f>
        <v>935</v>
      </c>
      <c r="C14" s="5">
        <f>IFERROR(__xludf.DUMMYFUNCTION("""COMPUTED_VALUE"""),952.8)</f>
        <v>952.8</v>
      </c>
      <c r="D14" s="5">
        <f>IFERROR(__xludf.DUMMYFUNCTION("""COMPUTED_VALUE"""),910.0)</f>
        <v>910</v>
      </c>
      <c r="E14" s="5">
        <f>IFERROR(__xludf.DUMMYFUNCTION("""COMPUTED_VALUE"""),937.9)</f>
        <v>937.9</v>
      </c>
      <c r="F14" s="5">
        <f>IFERROR(__xludf.DUMMYFUNCTION("""COMPUTED_VALUE"""),2227716.0)</f>
        <v>2227716</v>
      </c>
    </row>
    <row r="15">
      <c r="A15" s="6">
        <f>IFERROR(__xludf.DUMMYFUNCTION("""COMPUTED_VALUE"""),45261.64583333333)</f>
        <v>45261.64583</v>
      </c>
      <c r="B15" s="5">
        <f>IFERROR(__xludf.DUMMYFUNCTION("""COMPUTED_VALUE"""),955.0)</f>
        <v>955</v>
      </c>
      <c r="C15" s="5">
        <f>IFERROR(__xludf.DUMMYFUNCTION("""COMPUTED_VALUE"""),1124.9)</f>
        <v>1124.9</v>
      </c>
      <c r="D15" s="5">
        <f>IFERROR(__xludf.DUMMYFUNCTION("""COMPUTED_VALUE"""),955.0)</f>
        <v>955</v>
      </c>
      <c r="E15" s="5">
        <f>IFERROR(__xludf.DUMMYFUNCTION("""COMPUTED_VALUE"""),1026.5)</f>
        <v>1026.5</v>
      </c>
      <c r="F15" s="5">
        <f>IFERROR(__xludf.DUMMYFUNCTION("""COMPUTED_VALUE"""),2.3654695E7)</f>
        <v>23654695</v>
      </c>
    </row>
    <row r="16">
      <c r="A16" s="6">
        <f>IFERROR(__xludf.DUMMYFUNCTION("""COMPUTED_VALUE"""),45268.64583333333)</f>
        <v>45268.64583</v>
      </c>
      <c r="B16" s="5">
        <f>IFERROR(__xludf.DUMMYFUNCTION("""COMPUTED_VALUE"""),1160.0)</f>
        <v>1160</v>
      </c>
      <c r="C16" s="5">
        <f>IFERROR(__xludf.DUMMYFUNCTION("""COMPUTED_VALUE"""),1700.0)</f>
        <v>1700</v>
      </c>
      <c r="D16" s="5">
        <f>IFERROR(__xludf.DUMMYFUNCTION("""COMPUTED_VALUE"""),1092.55)</f>
        <v>1092.55</v>
      </c>
      <c r="E16" s="5">
        <f>IFERROR(__xludf.DUMMYFUNCTION("""COMPUTED_VALUE"""),1550.3)</f>
        <v>1550.3</v>
      </c>
      <c r="F16" s="5">
        <f>IFERROR(__xludf.DUMMYFUNCTION("""COMPUTED_VALUE"""),5.8944243E7)</f>
        <v>58944243</v>
      </c>
    </row>
    <row r="17">
      <c r="A17" s="6">
        <f>IFERROR(__xludf.DUMMYFUNCTION("""COMPUTED_VALUE"""),45275.64583333333)</f>
        <v>45275.64583</v>
      </c>
      <c r="B17" s="5">
        <f>IFERROR(__xludf.DUMMYFUNCTION("""COMPUTED_VALUE"""),1554.4)</f>
        <v>1554.4</v>
      </c>
      <c r="C17" s="5">
        <f>IFERROR(__xludf.DUMMYFUNCTION("""COMPUTED_VALUE"""),1579.0)</f>
        <v>1579</v>
      </c>
      <c r="D17" s="5">
        <f>IFERROR(__xludf.DUMMYFUNCTION("""COMPUTED_VALUE"""),1375.0)</f>
        <v>1375</v>
      </c>
      <c r="E17" s="5">
        <f>IFERROR(__xludf.DUMMYFUNCTION("""COMPUTED_VALUE"""),1526.65)</f>
        <v>1526.65</v>
      </c>
      <c r="F17" s="5">
        <f>IFERROR(__xludf.DUMMYFUNCTION("""COMPUTED_VALUE"""),1.267657E7)</f>
        <v>12676570</v>
      </c>
    </row>
    <row r="18">
      <c r="A18" s="6">
        <f>IFERROR(__xludf.DUMMYFUNCTION("""COMPUTED_VALUE"""),45282.64583333333)</f>
        <v>45282.64583</v>
      </c>
      <c r="B18" s="5">
        <f>IFERROR(__xludf.DUMMYFUNCTION("""COMPUTED_VALUE"""),1518.95)</f>
        <v>1518.95</v>
      </c>
      <c r="C18" s="5">
        <f>IFERROR(__xludf.DUMMYFUNCTION("""COMPUTED_VALUE"""),1569.4)</f>
        <v>1569.4</v>
      </c>
      <c r="D18" s="5">
        <f>IFERROR(__xludf.DUMMYFUNCTION("""COMPUTED_VALUE"""),1385.0)</f>
        <v>1385</v>
      </c>
      <c r="E18" s="5">
        <f>IFERROR(__xludf.DUMMYFUNCTION("""COMPUTED_VALUE"""),1533.1)</f>
        <v>1533.1</v>
      </c>
      <c r="F18" s="5">
        <f>IFERROR(__xludf.DUMMYFUNCTION("""COMPUTED_VALUE"""),7474086.0)</f>
        <v>7474086</v>
      </c>
    </row>
    <row r="19">
      <c r="A19" s="6">
        <f>IFERROR(__xludf.DUMMYFUNCTION("""COMPUTED_VALUE"""),45289.64583333333)</f>
        <v>45289.64583</v>
      </c>
      <c r="B19" s="5">
        <f>IFERROR(__xludf.DUMMYFUNCTION("""COMPUTED_VALUE"""),1555.0)</f>
        <v>1555</v>
      </c>
      <c r="C19" s="5">
        <f>IFERROR(__xludf.DUMMYFUNCTION("""COMPUTED_VALUE"""),1657.95)</f>
        <v>1657.95</v>
      </c>
      <c r="D19" s="5">
        <f>IFERROR(__xludf.DUMMYFUNCTION("""COMPUTED_VALUE"""),1545.0)</f>
        <v>1545</v>
      </c>
      <c r="E19" s="5">
        <f>IFERROR(__xludf.DUMMYFUNCTION("""COMPUTED_VALUE"""),1597.0)</f>
        <v>1597</v>
      </c>
      <c r="F19" s="5">
        <f>IFERROR(__xludf.DUMMYFUNCTION("""COMPUTED_VALUE"""),7248997.0)</f>
        <v>7248997</v>
      </c>
    </row>
    <row r="20">
      <c r="A20" s="6">
        <f>IFERROR(__xludf.DUMMYFUNCTION("""COMPUTED_VALUE"""),45296.64583333333)</f>
        <v>45296.64583</v>
      </c>
      <c r="B20" s="5">
        <f>IFERROR(__xludf.DUMMYFUNCTION("""COMPUTED_VALUE"""),1598.0)</f>
        <v>1598</v>
      </c>
      <c r="C20" s="5">
        <f>IFERROR(__xludf.DUMMYFUNCTION("""COMPUTED_VALUE"""),1747.4)</f>
        <v>1747.4</v>
      </c>
      <c r="D20" s="5">
        <f>IFERROR(__xludf.DUMMYFUNCTION("""COMPUTED_VALUE"""),1565.7)</f>
        <v>1565.7</v>
      </c>
      <c r="E20" s="5">
        <f>IFERROR(__xludf.DUMMYFUNCTION("""COMPUTED_VALUE"""),1674.0)</f>
        <v>1674</v>
      </c>
      <c r="F20" s="5">
        <f>IFERROR(__xludf.DUMMYFUNCTION("""COMPUTED_VALUE"""),1.2373339E7)</f>
        <v>12373339</v>
      </c>
    </row>
    <row r="21">
      <c r="A21" s="6">
        <f>IFERROR(__xludf.DUMMYFUNCTION("""COMPUTED_VALUE"""),45303.64583333333)</f>
        <v>45303.64583</v>
      </c>
      <c r="B21" s="5">
        <f>IFERROR(__xludf.DUMMYFUNCTION("""COMPUTED_VALUE"""),1685.3)</f>
        <v>1685.3</v>
      </c>
      <c r="C21" s="5">
        <f>IFERROR(__xludf.DUMMYFUNCTION("""COMPUTED_VALUE"""),1762.05)</f>
        <v>1762.05</v>
      </c>
      <c r="D21" s="5">
        <f>IFERROR(__xludf.DUMMYFUNCTION("""COMPUTED_VALUE"""),1665.0)</f>
        <v>1665</v>
      </c>
      <c r="E21" s="5">
        <f>IFERROR(__xludf.DUMMYFUNCTION("""COMPUTED_VALUE"""),1710.7)</f>
        <v>1710.7</v>
      </c>
      <c r="F21" s="5">
        <f>IFERROR(__xludf.DUMMYFUNCTION("""COMPUTED_VALUE"""),6100521.0)</f>
        <v>6100521</v>
      </c>
    </row>
    <row r="22">
      <c r="A22" s="6">
        <f>IFERROR(__xludf.DUMMYFUNCTION("""COMPUTED_VALUE"""),45316.64583333333)</f>
        <v>45316.64583</v>
      </c>
      <c r="B22" s="5">
        <f>IFERROR(__xludf.DUMMYFUNCTION("""COMPUTED_VALUE"""),1740.0)</f>
        <v>1740</v>
      </c>
      <c r="C22" s="5">
        <f>IFERROR(__xludf.DUMMYFUNCTION("""COMPUTED_VALUE"""),1745.0)</f>
        <v>1745</v>
      </c>
      <c r="D22" s="5">
        <f>IFERROR(__xludf.DUMMYFUNCTION("""COMPUTED_VALUE"""),1629.0)</f>
        <v>1629</v>
      </c>
      <c r="E22" s="5">
        <f>IFERROR(__xludf.DUMMYFUNCTION("""COMPUTED_VALUE"""),1664.8)</f>
        <v>1664.8</v>
      </c>
      <c r="F22" s="5">
        <f>IFERROR(__xludf.DUMMYFUNCTION("""COMPUTED_VALUE"""),1.2172777E7)</f>
        <v>12172777</v>
      </c>
    </row>
    <row r="23">
      <c r="A23" s="6">
        <f>IFERROR(__xludf.DUMMYFUNCTION("""COMPUTED_VALUE"""),45324.64583333333)</f>
        <v>45324.64583</v>
      </c>
      <c r="B23" s="5">
        <f>IFERROR(__xludf.DUMMYFUNCTION("""COMPUTED_VALUE"""),1684.95)</f>
        <v>1684.95</v>
      </c>
      <c r="C23" s="5">
        <f>IFERROR(__xludf.DUMMYFUNCTION("""COMPUTED_VALUE"""),1750.0)</f>
        <v>1750</v>
      </c>
      <c r="D23" s="5">
        <f>IFERROR(__xludf.DUMMYFUNCTION("""COMPUTED_VALUE"""),1655.65)</f>
        <v>1655.65</v>
      </c>
      <c r="E23" s="5">
        <f>IFERROR(__xludf.DUMMYFUNCTION("""COMPUTED_VALUE"""),1674.25)</f>
        <v>1674.25</v>
      </c>
      <c r="F23" s="5">
        <f>IFERROR(__xludf.DUMMYFUNCTION("""COMPUTED_VALUE"""),7912303.0)</f>
        <v>7912303</v>
      </c>
    </row>
    <row r="24">
      <c r="A24" s="6">
        <f>IFERROR(__xludf.DUMMYFUNCTION("""COMPUTED_VALUE"""),45331.64583333333)</f>
        <v>45331.64583</v>
      </c>
      <c r="B24" s="5">
        <f>IFERROR(__xludf.DUMMYFUNCTION("""COMPUTED_VALUE"""),1684.0)</f>
        <v>1684</v>
      </c>
      <c r="C24" s="5">
        <f>IFERROR(__xludf.DUMMYFUNCTION("""COMPUTED_VALUE"""),1990.0)</f>
        <v>1990</v>
      </c>
      <c r="D24" s="5">
        <f>IFERROR(__xludf.DUMMYFUNCTION("""COMPUTED_VALUE"""),1651.6)</f>
        <v>1651.6</v>
      </c>
      <c r="E24" s="5">
        <f>IFERROR(__xludf.DUMMYFUNCTION("""COMPUTED_VALUE"""),1880.7)</f>
        <v>1880.7</v>
      </c>
      <c r="F24" s="5">
        <f>IFERROR(__xludf.DUMMYFUNCTION("""COMPUTED_VALUE"""),1.6830961E7)</f>
        <v>16830961</v>
      </c>
    </row>
    <row r="25">
      <c r="A25" s="6">
        <f>IFERROR(__xludf.DUMMYFUNCTION("""COMPUTED_VALUE"""),45338.64583333333)</f>
        <v>45338.64583</v>
      </c>
      <c r="B25" s="5">
        <f>IFERROR(__xludf.DUMMYFUNCTION("""COMPUTED_VALUE"""),1888.05)</f>
        <v>1888.05</v>
      </c>
      <c r="C25" s="5">
        <f>IFERROR(__xludf.DUMMYFUNCTION("""COMPUTED_VALUE"""),1959.7)</f>
        <v>1959.7</v>
      </c>
      <c r="D25" s="5">
        <f>IFERROR(__xludf.DUMMYFUNCTION("""COMPUTED_VALUE"""),1734.3)</f>
        <v>1734.3</v>
      </c>
      <c r="E25" s="5">
        <f>IFERROR(__xludf.DUMMYFUNCTION("""COMPUTED_VALUE"""),1904.75)</f>
        <v>1904.75</v>
      </c>
      <c r="F25" s="5">
        <f>IFERROR(__xludf.DUMMYFUNCTION("""COMPUTED_VALUE"""),1.1666983E7)</f>
        <v>11666983</v>
      </c>
    </row>
    <row r="26">
      <c r="A26" s="6">
        <f>IFERROR(__xludf.DUMMYFUNCTION("""COMPUTED_VALUE"""),45345.64583333333)</f>
        <v>45345.64583</v>
      </c>
      <c r="B26" s="5">
        <f>IFERROR(__xludf.DUMMYFUNCTION("""COMPUTED_VALUE"""),1919.0)</f>
        <v>1919</v>
      </c>
      <c r="C26" s="5">
        <f>IFERROR(__xludf.DUMMYFUNCTION("""COMPUTED_VALUE"""),1975.0)</f>
        <v>1975</v>
      </c>
      <c r="D26" s="5">
        <f>IFERROR(__xludf.DUMMYFUNCTION("""COMPUTED_VALUE"""),1866.7)</f>
        <v>1866.7</v>
      </c>
      <c r="E26" s="5">
        <f>IFERROR(__xludf.DUMMYFUNCTION("""COMPUTED_VALUE"""),1923.3)</f>
        <v>1923.3</v>
      </c>
      <c r="F26" s="5">
        <f>IFERROR(__xludf.DUMMYFUNCTION("""COMPUTED_VALUE"""),6118583.0)</f>
        <v>6118583</v>
      </c>
    </row>
    <row r="27">
      <c r="A27" s="6">
        <f>IFERROR(__xludf.DUMMYFUNCTION("""COMPUTED_VALUE"""),45358.64583333333)</f>
        <v>45358.64583</v>
      </c>
      <c r="B27" s="5">
        <f>IFERROR(__xludf.DUMMYFUNCTION("""COMPUTED_VALUE"""),1977.55)</f>
        <v>1977.55</v>
      </c>
      <c r="C27" s="5">
        <f>IFERROR(__xludf.DUMMYFUNCTION("""COMPUTED_VALUE"""),1998.55)</f>
        <v>1998.55</v>
      </c>
      <c r="D27" s="5">
        <f>IFERROR(__xludf.DUMMYFUNCTION("""COMPUTED_VALUE"""),1894.3)</f>
        <v>1894.3</v>
      </c>
      <c r="E27" s="5">
        <f>IFERROR(__xludf.DUMMYFUNCTION("""COMPUTED_VALUE"""),1929.1)</f>
        <v>1929.1</v>
      </c>
      <c r="F27" s="5">
        <f>IFERROR(__xludf.DUMMYFUNCTION("""COMPUTED_VALUE"""),2185805.0)</f>
        <v>2185805</v>
      </c>
    </row>
    <row r="28">
      <c r="A28" s="6">
        <f>IFERROR(__xludf.DUMMYFUNCTION("""COMPUTED_VALUE"""),45366.64583333333)</f>
        <v>45366.64583</v>
      </c>
      <c r="B28" s="5">
        <f>IFERROR(__xludf.DUMMYFUNCTION("""COMPUTED_VALUE"""),1930.0)</f>
        <v>1930</v>
      </c>
      <c r="C28" s="5">
        <f>IFERROR(__xludf.DUMMYFUNCTION("""COMPUTED_VALUE"""),1983.55)</f>
        <v>1983.55</v>
      </c>
      <c r="D28" s="5">
        <f>IFERROR(__xludf.DUMMYFUNCTION("""COMPUTED_VALUE"""),1650.0)</f>
        <v>1650</v>
      </c>
      <c r="E28" s="5">
        <f>IFERROR(__xludf.DUMMYFUNCTION("""COMPUTED_VALUE"""),1902.6)</f>
        <v>1902.6</v>
      </c>
      <c r="F28" s="5">
        <f>IFERROR(__xludf.DUMMYFUNCTION("""COMPUTED_VALUE"""),7369452.0)</f>
        <v>7369452</v>
      </c>
    </row>
    <row r="29">
      <c r="A29" s="6">
        <f>IFERROR(__xludf.DUMMYFUNCTION("""COMPUTED_VALUE"""),45373.64583333333)</f>
        <v>45373.64583</v>
      </c>
      <c r="B29" s="5">
        <f>IFERROR(__xludf.DUMMYFUNCTION("""COMPUTED_VALUE"""),1810.05)</f>
        <v>1810.05</v>
      </c>
      <c r="C29" s="5">
        <f>IFERROR(__xludf.DUMMYFUNCTION("""COMPUTED_VALUE"""),1899.9)</f>
        <v>1899.9</v>
      </c>
      <c r="D29" s="5">
        <f>IFERROR(__xludf.DUMMYFUNCTION("""COMPUTED_VALUE"""),1750.85)</f>
        <v>1750.85</v>
      </c>
      <c r="E29" s="5">
        <f>IFERROR(__xludf.DUMMYFUNCTION("""COMPUTED_VALUE"""),1851.75)</f>
        <v>1851.75</v>
      </c>
      <c r="F29" s="5">
        <f>IFERROR(__xludf.DUMMYFUNCTION("""COMPUTED_VALUE"""),3249862.0)</f>
        <v>3249862</v>
      </c>
    </row>
    <row r="30">
      <c r="A30" s="6">
        <f>IFERROR(__xludf.DUMMYFUNCTION("""COMPUTED_VALUE"""),45379.64583333333)</f>
        <v>45379.64583</v>
      </c>
      <c r="B30" s="5">
        <f>IFERROR(__xludf.DUMMYFUNCTION("""COMPUTED_VALUE"""),1840.0)</f>
        <v>1840</v>
      </c>
      <c r="C30" s="5">
        <f>IFERROR(__xludf.DUMMYFUNCTION("""COMPUTED_VALUE"""),1938.7)</f>
        <v>1938.7</v>
      </c>
      <c r="D30" s="5">
        <f>IFERROR(__xludf.DUMMYFUNCTION("""COMPUTED_VALUE"""),1804.0)</f>
        <v>1804</v>
      </c>
      <c r="E30" s="5">
        <f>IFERROR(__xludf.DUMMYFUNCTION("""COMPUTED_VALUE"""),1835.15)</f>
        <v>1835.15</v>
      </c>
      <c r="F30" s="5">
        <f>IFERROR(__xludf.DUMMYFUNCTION("""COMPUTED_VALUE"""),2733583.0)</f>
        <v>2733583</v>
      </c>
    </row>
    <row r="31">
      <c r="A31" s="6">
        <f>IFERROR(__xludf.DUMMYFUNCTION("""COMPUTED_VALUE"""),45387.64583333333)</f>
        <v>45387.64583</v>
      </c>
      <c r="B31" s="5">
        <f>IFERROR(__xludf.DUMMYFUNCTION("""COMPUTED_VALUE"""),1865.0)</f>
        <v>1865</v>
      </c>
      <c r="C31" s="5">
        <f>IFERROR(__xludf.DUMMYFUNCTION("""COMPUTED_VALUE"""),1937.75)</f>
        <v>1937.75</v>
      </c>
      <c r="D31" s="5">
        <f>IFERROR(__xludf.DUMMYFUNCTION("""COMPUTED_VALUE"""),1865.0)</f>
        <v>1865</v>
      </c>
      <c r="E31" s="5">
        <f>IFERROR(__xludf.DUMMYFUNCTION("""COMPUTED_VALUE"""),1901.95)</f>
        <v>1901.95</v>
      </c>
      <c r="F31" s="5">
        <f>IFERROR(__xludf.DUMMYFUNCTION("""COMPUTED_VALUE"""),3140750.0)</f>
        <v>3140750</v>
      </c>
    </row>
    <row r="32">
      <c r="A32" s="6">
        <f>IFERROR(__xludf.DUMMYFUNCTION("""COMPUTED_VALUE"""),45394.64583333333)</f>
        <v>45394.64583</v>
      </c>
      <c r="B32" s="5">
        <f>IFERROR(__xludf.DUMMYFUNCTION("""COMPUTED_VALUE"""),1948.05)</f>
        <v>1948.05</v>
      </c>
      <c r="C32" s="5">
        <f>IFERROR(__xludf.DUMMYFUNCTION("""COMPUTED_VALUE"""),1974.95)</f>
        <v>1974.95</v>
      </c>
      <c r="D32" s="5">
        <f>IFERROR(__xludf.DUMMYFUNCTION("""COMPUTED_VALUE"""),1880.0)</f>
        <v>1880</v>
      </c>
      <c r="E32" s="5">
        <f>IFERROR(__xludf.DUMMYFUNCTION("""COMPUTED_VALUE"""),1884.05)</f>
        <v>1884.05</v>
      </c>
      <c r="F32" s="5">
        <f>IFERROR(__xludf.DUMMYFUNCTION("""COMPUTED_VALUE"""),1882702.0)</f>
        <v>1882702</v>
      </c>
    </row>
    <row r="33">
      <c r="A33" s="6">
        <f>IFERROR(__xludf.DUMMYFUNCTION("""COMPUTED_VALUE"""),45401.64583333333)</f>
        <v>45401.64583</v>
      </c>
      <c r="B33" s="5">
        <f>IFERROR(__xludf.DUMMYFUNCTION("""COMPUTED_VALUE"""),1801.0)</f>
        <v>1801</v>
      </c>
      <c r="C33" s="5">
        <f>IFERROR(__xludf.DUMMYFUNCTION("""COMPUTED_VALUE"""),1850.0)</f>
        <v>1850</v>
      </c>
      <c r="D33" s="5">
        <f>IFERROR(__xludf.DUMMYFUNCTION("""COMPUTED_VALUE"""),1733.0)</f>
        <v>1733</v>
      </c>
      <c r="E33" s="5">
        <f>IFERROR(__xludf.DUMMYFUNCTION("""COMPUTED_VALUE"""),1770.05)</f>
        <v>1770.05</v>
      </c>
      <c r="F33" s="5">
        <f>IFERROR(__xludf.DUMMYFUNCTION("""COMPUTED_VALUE"""),2814838.0)</f>
        <v>2814838</v>
      </c>
    </row>
    <row r="34">
      <c r="A34" s="6">
        <f>IFERROR(__xludf.DUMMYFUNCTION("""COMPUTED_VALUE"""),45408.64583333333)</f>
        <v>45408.64583</v>
      </c>
      <c r="B34" s="5">
        <f>IFERROR(__xludf.DUMMYFUNCTION("""COMPUTED_VALUE"""),1802.0)</f>
        <v>1802</v>
      </c>
      <c r="C34" s="5">
        <f>IFERROR(__xludf.DUMMYFUNCTION("""COMPUTED_VALUE"""),1840.0)</f>
        <v>1840</v>
      </c>
      <c r="D34" s="5">
        <f>IFERROR(__xludf.DUMMYFUNCTION("""COMPUTED_VALUE"""),1780.0)</f>
        <v>1780</v>
      </c>
      <c r="E34" s="5">
        <f>IFERROR(__xludf.DUMMYFUNCTION("""COMPUTED_VALUE"""),1806.65)</f>
        <v>1806.65</v>
      </c>
      <c r="F34" s="5">
        <f>IFERROR(__xludf.DUMMYFUNCTION("""COMPUTED_VALUE"""),1966626.0)</f>
        <v>1966626</v>
      </c>
    </row>
    <row r="35">
      <c r="A35" s="6">
        <f>IFERROR(__xludf.DUMMYFUNCTION("""COMPUTED_VALUE"""),45415.64583333333)</f>
        <v>45415.64583</v>
      </c>
      <c r="B35" s="5">
        <f>IFERROR(__xludf.DUMMYFUNCTION("""COMPUTED_VALUE"""),1815.9)</f>
        <v>1815.9</v>
      </c>
      <c r="C35" s="5">
        <f>IFERROR(__xludf.DUMMYFUNCTION("""COMPUTED_VALUE"""),1838.8)</f>
        <v>1838.8</v>
      </c>
      <c r="D35" s="5">
        <f>IFERROR(__xludf.DUMMYFUNCTION("""COMPUTED_VALUE"""),1745.25)</f>
        <v>1745.25</v>
      </c>
      <c r="E35" s="5">
        <f>IFERROR(__xludf.DUMMYFUNCTION("""COMPUTED_VALUE"""),1799.8)</f>
        <v>1799.8</v>
      </c>
      <c r="F35" s="5">
        <f>IFERROR(__xludf.DUMMYFUNCTION("""COMPUTED_VALUE"""),2206227.0)</f>
        <v>2206227</v>
      </c>
    </row>
    <row r="36">
      <c r="A36" s="6">
        <f>IFERROR(__xludf.DUMMYFUNCTION("""COMPUTED_VALUE"""),45422.64583333333)</f>
        <v>45422.64583</v>
      </c>
      <c r="B36" s="5">
        <f>IFERROR(__xludf.DUMMYFUNCTION("""COMPUTED_VALUE"""),1760.0)</f>
        <v>1760</v>
      </c>
      <c r="C36" s="5">
        <f>IFERROR(__xludf.DUMMYFUNCTION("""COMPUTED_VALUE"""),1821.65)</f>
        <v>1821.65</v>
      </c>
      <c r="D36" s="5">
        <f>IFERROR(__xludf.DUMMYFUNCTION("""COMPUTED_VALUE"""),1700.05)</f>
        <v>1700.05</v>
      </c>
      <c r="E36" s="5">
        <f>IFERROR(__xludf.DUMMYFUNCTION("""COMPUTED_VALUE"""),1714.75)</f>
        <v>1714.75</v>
      </c>
      <c r="F36" s="5">
        <f>IFERROR(__xludf.DUMMYFUNCTION("""COMPUTED_VALUE"""),4155287.0)</f>
        <v>4155287</v>
      </c>
    </row>
    <row r="37">
      <c r="A37" s="6">
        <f>IFERROR(__xludf.DUMMYFUNCTION("""COMPUTED_VALUE"""),45436.64583333333)</f>
        <v>45436.64583</v>
      </c>
      <c r="B37" s="5">
        <f>IFERROR(__xludf.DUMMYFUNCTION("""COMPUTED_VALUE"""),1825.0)</f>
        <v>1825</v>
      </c>
      <c r="C37" s="5">
        <f>IFERROR(__xludf.DUMMYFUNCTION("""COMPUTED_VALUE"""),1949.0)</f>
        <v>1949</v>
      </c>
      <c r="D37" s="5">
        <f>IFERROR(__xludf.DUMMYFUNCTION("""COMPUTED_VALUE"""),1810.0)</f>
        <v>1810</v>
      </c>
      <c r="E37" s="5">
        <f>IFERROR(__xludf.DUMMYFUNCTION("""COMPUTED_VALUE"""),1926.65)</f>
        <v>1926.65</v>
      </c>
      <c r="F37" s="5">
        <f>IFERROR(__xludf.DUMMYFUNCTION("""COMPUTED_VALUE"""),8674304.0)</f>
        <v>8674304</v>
      </c>
    </row>
    <row r="38">
      <c r="A38" s="6">
        <f>IFERROR(__xludf.DUMMYFUNCTION("""COMPUTED_VALUE"""),45443.64583333333)</f>
        <v>45443.64583</v>
      </c>
      <c r="B38" s="5">
        <f>IFERROR(__xludf.DUMMYFUNCTION("""COMPUTED_VALUE"""),1943.7)</f>
        <v>1943.7</v>
      </c>
      <c r="C38" s="5">
        <f>IFERROR(__xludf.DUMMYFUNCTION("""COMPUTED_VALUE"""),1993.9)</f>
        <v>1993.9</v>
      </c>
      <c r="D38" s="5">
        <f>IFERROR(__xludf.DUMMYFUNCTION("""COMPUTED_VALUE"""),1840.1)</f>
        <v>1840.1</v>
      </c>
      <c r="E38" s="5">
        <f>IFERROR(__xludf.DUMMYFUNCTION("""COMPUTED_VALUE"""),1908.35)</f>
        <v>1908.35</v>
      </c>
      <c r="F38" s="5">
        <f>IFERROR(__xludf.DUMMYFUNCTION("""COMPUTED_VALUE"""),1.1984308E7)</f>
        <v>11984308</v>
      </c>
    </row>
    <row r="39">
      <c r="A39" s="6">
        <f>IFERROR(__xludf.DUMMYFUNCTION("""COMPUTED_VALUE"""),45450.64583333333)</f>
        <v>45450.64583</v>
      </c>
      <c r="B39" s="5">
        <f>IFERROR(__xludf.DUMMYFUNCTION("""COMPUTED_VALUE"""),2125.0)</f>
        <v>2125</v>
      </c>
      <c r="C39" s="5">
        <f>IFERROR(__xludf.DUMMYFUNCTION("""COMPUTED_VALUE"""),2174.1)</f>
        <v>2174.1</v>
      </c>
      <c r="D39" s="5">
        <f>IFERROR(__xludf.DUMMYFUNCTION("""COMPUTED_VALUE"""),1545.15)</f>
        <v>1545.15</v>
      </c>
      <c r="E39" s="5">
        <f>IFERROR(__xludf.DUMMYFUNCTION("""COMPUTED_VALUE"""),1864.25)</f>
        <v>1864.25</v>
      </c>
      <c r="F39" s="5">
        <f>IFERROR(__xludf.DUMMYFUNCTION("""COMPUTED_VALUE"""),2.4379272E7)</f>
        <v>24379272</v>
      </c>
    </row>
    <row r="40">
      <c r="A40" s="6">
        <f>IFERROR(__xludf.DUMMYFUNCTION("""COMPUTED_VALUE"""),45457.64583333333)</f>
        <v>45457.64583</v>
      </c>
      <c r="B40" s="5">
        <f>IFERROR(__xludf.DUMMYFUNCTION("""COMPUTED_VALUE"""),1929.0)</f>
        <v>1929</v>
      </c>
      <c r="C40" s="5">
        <f>IFERROR(__xludf.DUMMYFUNCTION("""COMPUTED_VALUE"""),1935.0)</f>
        <v>1935</v>
      </c>
      <c r="D40" s="5">
        <f>IFERROR(__xludf.DUMMYFUNCTION("""COMPUTED_VALUE"""),1787.05)</f>
        <v>1787.05</v>
      </c>
      <c r="E40" s="5">
        <f>IFERROR(__xludf.DUMMYFUNCTION("""COMPUTED_VALUE"""),1806.3)</f>
        <v>1806.3</v>
      </c>
      <c r="F40" s="5">
        <f>IFERROR(__xludf.DUMMYFUNCTION("""COMPUTED_VALUE"""),4493085.0)</f>
        <v>4493085</v>
      </c>
    </row>
    <row r="41">
      <c r="A41" s="6">
        <f>IFERROR(__xludf.DUMMYFUNCTION("""COMPUTED_VALUE"""),45464.64583333333)</f>
        <v>45464.64583</v>
      </c>
      <c r="B41" s="5">
        <f>IFERROR(__xludf.DUMMYFUNCTION("""COMPUTED_VALUE"""),1825.0)</f>
        <v>1825</v>
      </c>
      <c r="C41" s="5">
        <f>IFERROR(__xludf.DUMMYFUNCTION("""COMPUTED_VALUE"""),1840.3)</f>
        <v>1840.3</v>
      </c>
      <c r="D41" s="5">
        <f>IFERROR(__xludf.DUMMYFUNCTION("""COMPUTED_VALUE"""),1775.0)</f>
        <v>1775</v>
      </c>
      <c r="E41" s="5">
        <f>IFERROR(__xludf.DUMMYFUNCTION("""COMPUTED_VALUE"""),1780.45)</f>
        <v>1780.45</v>
      </c>
      <c r="F41" s="5">
        <f>IFERROR(__xludf.DUMMYFUNCTION("""COMPUTED_VALUE"""),3083220.0)</f>
        <v>3083220</v>
      </c>
    </row>
    <row r="42">
      <c r="A42" s="6">
        <f>IFERROR(__xludf.DUMMYFUNCTION("""COMPUTED_VALUE"""),45471.64583333333)</f>
        <v>45471.64583</v>
      </c>
      <c r="B42" s="5">
        <f>IFERROR(__xludf.DUMMYFUNCTION("""COMPUTED_VALUE"""),1783.8)</f>
        <v>1783.8</v>
      </c>
      <c r="C42" s="5">
        <f>IFERROR(__xludf.DUMMYFUNCTION("""COMPUTED_VALUE"""),1830.0)</f>
        <v>1830</v>
      </c>
      <c r="D42" s="5">
        <f>IFERROR(__xludf.DUMMYFUNCTION("""COMPUTED_VALUE"""),1755.05)</f>
        <v>1755.05</v>
      </c>
      <c r="E42" s="5">
        <f>IFERROR(__xludf.DUMMYFUNCTION("""COMPUTED_VALUE"""),1788.8)</f>
        <v>1788.8</v>
      </c>
      <c r="F42" s="5">
        <f>IFERROR(__xludf.DUMMYFUNCTION("""COMPUTED_VALUE"""),2603827.0)</f>
        <v>2603827</v>
      </c>
    </row>
    <row r="43">
      <c r="A43" s="6">
        <f>IFERROR(__xludf.DUMMYFUNCTION("""COMPUTED_VALUE"""),45478.64583333333)</f>
        <v>45478.64583</v>
      </c>
      <c r="B43" s="5">
        <f>IFERROR(__xludf.DUMMYFUNCTION("""COMPUTED_VALUE"""),1790.0)</f>
        <v>1790</v>
      </c>
      <c r="C43" s="5">
        <f>IFERROR(__xludf.DUMMYFUNCTION("""COMPUTED_VALUE"""),1818.8)</f>
        <v>1818.8</v>
      </c>
      <c r="D43" s="5">
        <f>IFERROR(__xludf.DUMMYFUNCTION("""COMPUTED_VALUE"""),1751.25)</f>
        <v>1751.25</v>
      </c>
      <c r="E43" s="5">
        <f>IFERROR(__xludf.DUMMYFUNCTION("""COMPUTED_VALUE"""),1754.3)</f>
        <v>1754.3</v>
      </c>
      <c r="F43" s="5">
        <f>IFERROR(__xludf.DUMMYFUNCTION("""COMPUTED_VALUE"""),2252742.0)</f>
        <v>2252742</v>
      </c>
    </row>
    <row r="44">
      <c r="A44" s="6">
        <f>IFERROR(__xludf.DUMMYFUNCTION("""COMPUTED_VALUE"""),45485.64583333333)</f>
        <v>45485.64583</v>
      </c>
      <c r="B44" s="5">
        <f>IFERROR(__xludf.DUMMYFUNCTION("""COMPUTED_VALUE"""),1759.95)</f>
        <v>1759.95</v>
      </c>
      <c r="C44" s="5">
        <f>IFERROR(__xludf.DUMMYFUNCTION("""COMPUTED_VALUE"""),1815.0)</f>
        <v>1815</v>
      </c>
      <c r="D44" s="5">
        <f>IFERROR(__xludf.DUMMYFUNCTION("""COMPUTED_VALUE"""),1729.0)</f>
        <v>1729</v>
      </c>
      <c r="E44" s="5">
        <f>IFERROR(__xludf.DUMMYFUNCTION("""COMPUTED_VALUE"""),1735.25)</f>
        <v>1735.25</v>
      </c>
      <c r="F44" s="5">
        <f>IFERROR(__xludf.DUMMYFUNCTION("""COMPUTED_VALUE"""),2320851.0)</f>
        <v>2320851</v>
      </c>
    </row>
    <row r="45">
      <c r="A45" s="6">
        <f>IFERROR(__xludf.DUMMYFUNCTION("""COMPUTED_VALUE"""),45492.64583333333)</f>
        <v>45492.64583</v>
      </c>
      <c r="B45" s="5">
        <f>IFERROR(__xludf.DUMMYFUNCTION("""COMPUTED_VALUE"""),1736.0)</f>
        <v>1736</v>
      </c>
      <c r="C45" s="5">
        <f>IFERROR(__xludf.DUMMYFUNCTION("""COMPUTED_VALUE"""),1820.0)</f>
        <v>1820</v>
      </c>
      <c r="D45" s="5">
        <f>IFERROR(__xludf.DUMMYFUNCTION("""COMPUTED_VALUE"""),1712.6)</f>
        <v>1712.6</v>
      </c>
      <c r="E45" s="5">
        <f>IFERROR(__xludf.DUMMYFUNCTION("""COMPUTED_VALUE"""),1723.3)</f>
        <v>1723.3</v>
      </c>
      <c r="F45" s="5">
        <f>IFERROR(__xludf.DUMMYFUNCTION("""COMPUTED_VALUE"""),2707096.0)</f>
        <v>2707096</v>
      </c>
    </row>
    <row r="46">
      <c r="A46" s="6">
        <f>IFERROR(__xludf.DUMMYFUNCTION("""COMPUTED_VALUE"""),45499.64583333333)</f>
        <v>45499.64583</v>
      </c>
      <c r="B46" s="5">
        <f>IFERROR(__xludf.DUMMYFUNCTION("""COMPUTED_VALUE"""),1723.95)</f>
        <v>1723.95</v>
      </c>
      <c r="C46" s="5">
        <f>IFERROR(__xludf.DUMMYFUNCTION("""COMPUTED_VALUE"""),1903.65)</f>
        <v>1903.65</v>
      </c>
      <c r="D46" s="5">
        <f>IFERROR(__xludf.DUMMYFUNCTION("""COMPUTED_VALUE"""),1680.0)</f>
        <v>1680</v>
      </c>
      <c r="E46" s="5">
        <f>IFERROR(__xludf.DUMMYFUNCTION("""COMPUTED_VALUE"""),1803.7)</f>
        <v>1803.7</v>
      </c>
      <c r="F46" s="5">
        <f>IFERROR(__xludf.DUMMYFUNCTION("""COMPUTED_VALUE"""),8864204.0)</f>
        <v>8864204</v>
      </c>
    </row>
    <row r="47">
      <c r="A47" s="6">
        <f>IFERROR(__xludf.DUMMYFUNCTION("""COMPUTED_VALUE"""),45506.64583333333)</f>
        <v>45506.64583</v>
      </c>
      <c r="B47" s="5">
        <f>IFERROR(__xludf.DUMMYFUNCTION("""COMPUTED_VALUE"""),1824.85)</f>
        <v>1824.85</v>
      </c>
      <c r="C47" s="5">
        <f>IFERROR(__xludf.DUMMYFUNCTION("""COMPUTED_VALUE"""),1920.0)</f>
        <v>1920</v>
      </c>
      <c r="D47" s="5">
        <f>IFERROR(__xludf.DUMMYFUNCTION("""COMPUTED_VALUE"""),1800.1)</f>
        <v>1800.1</v>
      </c>
      <c r="E47" s="5">
        <f>IFERROR(__xludf.DUMMYFUNCTION("""COMPUTED_VALUE"""),1881.4)</f>
        <v>1881.4</v>
      </c>
      <c r="F47" s="5">
        <f>IFERROR(__xludf.DUMMYFUNCTION("""COMPUTED_VALUE"""),4.132444E7)</f>
        <v>41324440</v>
      </c>
    </row>
    <row r="48">
      <c r="A48" s="6">
        <f>IFERROR(__xludf.DUMMYFUNCTION("""COMPUTED_VALUE"""),45513.64583333333)</f>
        <v>45513.64583</v>
      </c>
      <c r="B48" s="5">
        <f>IFERROR(__xludf.DUMMYFUNCTION("""COMPUTED_VALUE"""),1810.0)</f>
        <v>1810</v>
      </c>
      <c r="C48" s="5">
        <f>IFERROR(__xludf.DUMMYFUNCTION("""COMPUTED_VALUE"""),1854.5)</f>
        <v>1854.5</v>
      </c>
      <c r="D48" s="5">
        <f>IFERROR(__xludf.DUMMYFUNCTION("""COMPUTED_VALUE"""),1742.3)</f>
        <v>1742.3</v>
      </c>
      <c r="E48" s="5">
        <f>IFERROR(__xludf.DUMMYFUNCTION("""COMPUTED_VALUE"""),1780.85)</f>
        <v>1780.85</v>
      </c>
      <c r="F48" s="5">
        <f>IFERROR(__xludf.DUMMYFUNCTION("""COMPUTED_VALUE"""),4393439.0)</f>
        <v>4393439</v>
      </c>
    </row>
    <row r="49">
      <c r="A49" s="6">
        <f>IFERROR(__xludf.DUMMYFUNCTION("""COMPUTED_VALUE"""),45520.64583333333)</f>
        <v>45520.64583</v>
      </c>
      <c r="B49" s="5">
        <f>IFERROR(__xludf.DUMMYFUNCTION("""COMPUTED_VALUE"""),1725.0)</f>
        <v>1725</v>
      </c>
      <c r="C49" s="5">
        <f>IFERROR(__xludf.DUMMYFUNCTION("""COMPUTED_VALUE"""),1847.4)</f>
        <v>1847.4</v>
      </c>
      <c r="D49" s="5">
        <f>IFERROR(__xludf.DUMMYFUNCTION("""COMPUTED_VALUE"""),1667.5)</f>
        <v>1667.5</v>
      </c>
      <c r="E49" s="5">
        <f>IFERROR(__xludf.DUMMYFUNCTION("""COMPUTED_VALUE"""),1831.0)</f>
        <v>1831</v>
      </c>
      <c r="F49" s="5">
        <f>IFERROR(__xludf.DUMMYFUNCTION("""COMPUTED_VALUE"""),7031857.0)</f>
        <v>7031857</v>
      </c>
    </row>
    <row r="50">
      <c r="A50" s="6">
        <f>IFERROR(__xludf.DUMMYFUNCTION("""COMPUTED_VALUE"""),45527.64583333333)</f>
        <v>45527.64583</v>
      </c>
      <c r="B50" s="5">
        <f>IFERROR(__xludf.DUMMYFUNCTION("""COMPUTED_VALUE"""),1811.0)</f>
        <v>1811</v>
      </c>
      <c r="C50" s="5">
        <f>IFERROR(__xludf.DUMMYFUNCTION("""COMPUTED_VALUE"""),1992.95)</f>
        <v>1992.95</v>
      </c>
      <c r="D50" s="5">
        <f>IFERROR(__xludf.DUMMYFUNCTION("""COMPUTED_VALUE"""),1810.2)</f>
        <v>1810.2</v>
      </c>
      <c r="E50" s="5">
        <f>IFERROR(__xludf.DUMMYFUNCTION("""COMPUTED_VALUE"""),1900.9)</f>
        <v>1900.9</v>
      </c>
      <c r="F50" s="5">
        <f>IFERROR(__xludf.DUMMYFUNCTION("""COMPUTED_VALUE"""),5848183.0)</f>
        <v>5848183</v>
      </c>
    </row>
    <row r="51">
      <c r="A51" s="6">
        <f>IFERROR(__xludf.DUMMYFUNCTION("""COMPUTED_VALUE"""),45534.64583333333)</f>
        <v>45534.64583</v>
      </c>
      <c r="B51" s="5">
        <f>IFERROR(__xludf.DUMMYFUNCTION("""COMPUTED_VALUE"""),1914.0)</f>
        <v>1914</v>
      </c>
      <c r="C51" s="5">
        <f>IFERROR(__xludf.DUMMYFUNCTION("""COMPUTED_VALUE"""),1914.0)</f>
        <v>1914</v>
      </c>
      <c r="D51" s="5">
        <f>IFERROR(__xludf.DUMMYFUNCTION("""COMPUTED_VALUE"""),1811.6)</f>
        <v>1811.6</v>
      </c>
      <c r="E51" s="5">
        <f>IFERROR(__xludf.DUMMYFUNCTION("""COMPUTED_VALUE"""),1838.15)</f>
        <v>1838.15</v>
      </c>
      <c r="F51" s="5">
        <f>IFERROR(__xludf.DUMMYFUNCTION("""COMPUTED_VALUE"""),2680484.0)</f>
        <v>2680484</v>
      </c>
    </row>
    <row r="52">
      <c r="A52" s="6">
        <f>IFERROR(__xludf.DUMMYFUNCTION("""COMPUTED_VALUE"""),45541.64583333333)</f>
        <v>45541.64583</v>
      </c>
      <c r="B52" s="5">
        <f>IFERROR(__xludf.DUMMYFUNCTION("""COMPUTED_VALUE"""),1839.1)</f>
        <v>1839.1</v>
      </c>
      <c r="C52" s="5">
        <f>IFERROR(__xludf.DUMMYFUNCTION("""COMPUTED_VALUE"""),1960.0)</f>
        <v>1960</v>
      </c>
      <c r="D52" s="5">
        <f>IFERROR(__xludf.DUMMYFUNCTION("""COMPUTED_VALUE"""),1839.1)</f>
        <v>1839.1</v>
      </c>
      <c r="E52" s="5">
        <f>IFERROR(__xludf.DUMMYFUNCTION("""COMPUTED_VALUE"""),1863.3)</f>
        <v>1863.3</v>
      </c>
      <c r="F52" s="5">
        <f>IFERROR(__xludf.DUMMYFUNCTION("""COMPUTED_VALUE"""),5953621.0)</f>
        <v>5953621</v>
      </c>
    </row>
    <row r="53">
      <c r="A53" s="6">
        <f>IFERROR(__xludf.DUMMYFUNCTION("""COMPUTED_VALUE"""),45548.64583333333)</f>
        <v>45548.64583</v>
      </c>
      <c r="B53" s="5">
        <f>IFERROR(__xludf.DUMMYFUNCTION("""COMPUTED_VALUE"""),1865.0)</f>
        <v>1865</v>
      </c>
      <c r="C53" s="5">
        <f>IFERROR(__xludf.DUMMYFUNCTION("""COMPUTED_VALUE"""),1893.0)</f>
        <v>1893</v>
      </c>
      <c r="D53" s="5">
        <f>IFERROR(__xludf.DUMMYFUNCTION("""COMPUTED_VALUE"""),1780.4)</f>
        <v>1780.4</v>
      </c>
      <c r="E53" s="5">
        <f>IFERROR(__xludf.DUMMYFUNCTION("""COMPUTED_VALUE"""),1788.2)</f>
        <v>1788.2</v>
      </c>
      <c r="F53" s="5">
        <f>IFERROR(__xludf.DUMMYFUNCTION("""COMPUTED_VALUE"""),2676886.0)</f>
        <v>2676886</v>
      </c>
    </row>
    <row r="54">
      <c r="A54" s="6">
        <f>IFERROR(__xludf.DUMMYFUNCTION("""COMPUTED_VALUE"""),45555.64583333333)</f>
        <v>45555.64583</v>
      </c>
      <c r="B54" s="5">
        <f>IFERROR(__xludf.DUMMYFUNCTION("""COMPUTED_VALUE"""),1850.0)</f>
        <v>1850</v>
      </c>
      <c r="C54" s="5">
        <f>IFERROR(__xludf.DUMMYFUNCTION("""COMPUTED_VALUE"""),2019.95)</f>
        <v>2019.95</v>
      </c>
      <c r="D54" s="5">
        <f>IFERROR(__xludf.DUMMYFUNCTION("""COMPUTED_VALUE"""),1833.15)</f>
        <v>1833.15</v>
      </c>
      <c r="E54" s="5">
        <f>IFERROR(__xludf.DUMMYFUNCTION("""COMPUTED_VALUE"""),2003.95)</f>
        <v>2003.95</v>
      </c>
      <c r="F54" s="5">
        <f>IFERROR(__xludf.DUMMYFUNCTION("""COMPUTED_VALUE"""),2.2931088E7)</f>
        <v>22931088</v>
      </c>
    </row>
    <row r="55">
      <c r="A55" s="6">
        <f>IFERROR(__xludf.DUMMYFUNCTION("""COMPUTED_VALUE"""),45562.64583333333)</f>
        <v>45562.64583</v>
      </c>
      <c r="B55" s="5">
        <f>IFERROR(__xludf.DUMMYFUNCTION("""COMPUTED_VALUE"""),2028.95)</f>
        <v>2028.95</v>
      </c>
      <c r="C55" s="5">
        <f>IFERROR(__xludf.DUMMYFUNCTION("""COMPUTED_VALUE"""),2091.0)</f>
        <v>2091</v>
      </c>
      <c r="D55" s="5">
        <f>IFERROR(__xludf.DUMMYFUNCTION("""COMPUTED_VALUE"""),1963.05)</f>
        <v>1963.05</v>
      </c>
      <c r="E55" s="5">
        <f>IFERROR(__xludf.DUMMYFUNCTION("""COMPUTED_VALUE"""),1981.85)</f>
        <v>1981.85</v>
      </c>
      <c r="F55" s="5">
        <f>IFERROR(__xludf.DUMMYFUNCTION("""COMPUTED_VALUE"""),1.0436244E7)</f>
        <v>10436244</v>
      </c>
    </row>
    <row r="56">
      <c r="A56" s="6">
        <f>IFERROR(__xludf.DUMMYFUNCTION("""COMPUTED_VALUE"""),45569.64583333333)</f>
        <v>45569.64583</v>
      </c>
      <c r="B56" s="5">
        <f>IFERROR(__xludf.DUMMYFUNCTION("""COMPUTED_VALUE"""),1985.0)</f>
        <v>1985</v>
      </c>
      <c r="C56" s="5">
        <f>IFERROR(__xludf.DUMMYFUNCTION("""COMPUTED_VALUE"""),1988.45)</f>
        <v>1988.45</v>
      </c>
      <c r="D56" s="5">
        <f>IFERROR(__xludf.DUMMYFUNCTION("""COMPUTED_VALUE"""),1775.75)</f>
        <v>1775.75</v>
      </c>
      <c r="E56" s="5">
        <f>IFERROR(__xludf.DUMMYFUNCTION("""COMPUTED_VALUE"""),1801.2)</f>
        <v>1801.2</v>
      </c>
      <c r="F56" s="5">
        <f>IFERROR(__xludf.DUMMYFUNCTION("""COMPUTED_VALUE"""),4745234.0)</f>
        <v>4745234</v>
      </c>
    </row>
    <row r="57">
      <c r="A57" s="6">
        <f>IFERROR(__xludf.DUMMYFUNCTION("""COMPUTED_VALUE"""),45576.64583333333)</f>
        <v>45576.64583</v>
      </c>
      <c r="B57" s="5">
        <f>IFERROR(__xludf.DUMMYFUNCTION("""COMPUTED_VALUE"""),1801.15)</f>
        <v>1801.15</v>
      </c>
      <c r="C57" s="5">
        <f>IFERROR(__xludf.DUMMYFUNCTION("""COMPUTED_VALUE"""),1833.95)</f>
        <v>1833.95</v>
      </c>
      <c r="D57" s="5">
        <f>IFERROR(__xludf.DUMMYFUNCTION("""COMPUTED_VALUE"""),1725.55)</f>
        <v>1725.55</v>
      </c>
      <c r="E57" s="5">
        <f>IFERROR(__xludf.DUMMYFUNCTION("""COMPUTED_VALUE"""),1792.2)</f>
        <v>1792.2</v>
      </c>
      <c r="F57" s="5">
        <f>IFERROR(__xludf.DUMMYFUNCTION("""COMPUTED_VALUE"""),3061375.0)</f>
        <v>3061375</v>
      </c>
    </row>
    <row r="58">
      <c r="A58" s="6">
        <f>IFERROR(__xludf.DUMMYFUNCTION("""COMPUTED_VALUE"""),45583.64583333333)</f>
        <v>45583.64583</v>
      </c>
      <c r="B58" s="5">
        <f>IFERROR(__xludf.DUMMYFUNCTION("""COMPUTED_VALUE"""),1793.0)</f>
        <v>1793</v>
      </c>
      <c r="C58" s="5">
        <f>IFERROR(__xludf.DUMMYFUNCTION("""COMPUTED_VALUE"""),1804.35)</f>
        <v>1804.35</v>
      </c>
      <c r="D58" s="5">
        <f>IFERROR(__xludf.DUMMYFUNCTION("""COMPUTED_VALUE"""),1703.0)</f>
        <v>1703</v>
      </c>
      <c r="E58" s="5">
        <f>IFERROR(__xludf.DUMMYFUNCTION("""COMPUTED_VALUE"""),1736.05)</f>
        <v>1736.05</v>
      </c>
      <c r="F58" s="5">
        <f>IFERROR(__xludf.DUMMYFUNCTION("""COMPUTED_VALUE"""),1849692.0)</f>
        <v>1849692</v>
      </c>
    </row>
    <row r="59">
      <c r="A59" s="6">
        <f>IFERROR(__xludf.DUMMYFUNCTION("""COMPUTED_VALUE"""),45590.64583333333)</f>
        <v>45590.64583</v>
      </c>
      <c r="B59" s="5">
        <f>IFERROR(__xludf.DUMMYFUNCTION("""COMPUTED_VALUE"""),1741.0)</f>
        <v>1741</v>
      </c>
      <c r="C59" s="5">
        <f>IFERROR(__xludf.DUMMYFUNCTION("""COMPUTED_VALUE"""),1753.0)</f>
        <v>1753</v>
      </c>
      <c r="D59" s="5">
        <f>IFERROR(__xludf.DUMMYFUNCTION("""COMPUTED_VALUE"""),1625.0)</f>
        <v>1625</v>
      </c>
      <c r="E59" s="5">
        <f>IFERROR(__xludf.DUMMYFUNCTION("""COMPUTED_VALUE"""),1644.0)</f>
        <v>1644</v>
      </c>
      <c r="F59" s="5">
        <f>IFERROR(__xludf.DUMMYFUNCTION("""COMPUTED_VALUE"""),3792259.0)</f>
        <v>3792259</v>
      </c>
    </row>
    <row r="60">
      <c r="A60" s="6">
        <f>IFERROR(__xludf.DUMMYFUNCTION("""COMPUTED_VALUE"""),45604.64583333333)</f>
        <v>45604.64583</v>
      </c>
      <c r="B60" s="5">
        <f>IFERROR(__xludf.DUMMYFUNCTION("""COMPUTED_VALUE"""),1625.0)</f>
        <v>1625</v>
      </c>
      <c r="C60" s="5">
        <f>IFERROR(__xludf.DUMMYFUNCTION("""COMPUTED_VALUE"""),1733.95)</f>
        <v>1733.95</v>
      </c>
      <c r="D60" s="5">
        <f>IFERROR(__xludf.DUMMYFUNCTION("""COMPUTED_VALUE"""),1581.4)</f>
        <v>1581.4</v>
      </c>
      <c r="E60" s="5">
        <f>IFERROR(__xludf.DUMMYFUNCTION("""COMPUTED_VALUE"""),1598.55)</f>
        <v>1598.55</v>
      </c>
      <c r="F60" s="5">
        <f>IFERROR(__xludf.DUMMYFUNCTION("""COMPUTED_VALUE"""),3129132.0)</f>
        <v>3129132</v>
      </c>
    </row>
    <row r="61">
      <c r="A61" s="6">
        <f>IFERROR(__xludf.DUMMYFUNCTION("""COMPUTED_VALUE"""),45610.64583333333)</f>
        <v>45610.64583</v>
      </c>
      <c r="B61" s="5">
        <f>IFERROR(__xludf.DUMMYFUNCTION("""COMPUTED_VALUE"""),1590.1)</f>
        <v>1590.1</v>
      </c>
      <c r="C61" s="5">
        <f>IFERROR(__xludf.DUMMYFUNCTION("""COMPUTED_VALUE"""),1599.55)</f>
        <v>1599.55</v>
      </c>
      <c r="D61" s="5">
        <f>IFERROR(__xludf.DUMMYFUNCTION("""COMPUTED_VALUE"""),1459.55)</f>
        <v>1459.55</v>
      </c>
      <c r="E61" s="5">
        <f>IFERROR(__xludf.DUMMYFUNCTION("""COMPUTED_VALUE"""),1490.3)</f>
        <v>1490.3</v>
      </c>
      <c r="F61" s="5">
        <f>IFERROR(__xludf.DUMMYFUNCTION("""COMPUTED_VALUE"""),2157357.0)</f>
        <v>2157357</v>
      </c>
    </row>
    <row r="62">
      <c r="A62" s="6">
        <f>IFERROR(__xludf.DUMMYFUNCTION("""COMPUTED_VALUE"""),45618.64583333333)</f>
        <v>45618.64583</v>
      </c>
      <c r="B62" s="5">
        <f>IFERROR(__xludf.DUMMYFUNCTION("""COMPUTED_VALUE"""),1512.45)</f>
        <v>1512.45</v>
      </c>
      <c r="C62" s="5">
        <f>IFERROR(__xludf.DUMMYFUNCTION("""COMPUTED_VALUE"""),1517.75)</f>
        <v>1517.75</v>
      </c>
      <c r="D62" s="5">
        <f>IFERROR(__xludf.DUMMYFUNCTION("""COMPUTED_VALUE"""),1021.0)</f>
        <v>1021</v>
      </c>
      <c r="E62" s="5">
        <f>IFERROR(__xludf.DUMMYFUNCTION("""COMPUTED_VALUE"""),1051.8)</f>
        <v>1051.8</v>
      </c>
      <c r="F62" s="5">
        <f>IFERROR(__xludf.DUMMYFUNCTION("""COMPUTED_VALUE"""),3.3159034E7)</f>
        <v>33159034</v>
      </c>
    </row>
    <row r="63">
      <c r="A63" s="6">
        <f>IFERROR(__xludf.DUMMYFUNCTION("""COMPUTED_VALUE"""),45625.64583333333)</f>
        <v>45625.64583</v>
      </c>
      <c r="B63" s="5">
        <f>IFERROR(__xludf.DUMMYFUNCTION("""COMPUTED_VALUE"""),1080.2)</f>
        <v>1080.2</v>
      </c>
      <c r="C63" s="5">
        <f>IFERROR(__xludf.DUMMYFUNCTION("""COMPUTED_VALUE"""),1368.0)</f>
        <v>1368</v>
      </c>
      <c r="D63" s="5">
        <f>IFERROR(__xludf.DUMMYFUNCTION("""COMPUTED_VALUE"""),870.25)</f>
        <v>870.25</v>
      </c>
      <c r="E63" s="5">
        <f>IFERROR(__xludf.DUMMYFUNCTION("""COMPUTED_VALUE"""),1323.9)</f>
        <v>1323.9</v>
      </c>
      <c r="F63" s="5">
        <f>IFERROR(__xludf.DUMMYFUNCTION("""COMPUTED_VALUE"""),7.8757013E7)</f>
        <v>78757013</v>
      </c>
    </row>
    <row r="64">
      <c r="A64" s="6">
        <f>IFERROR(__xludf.DUMMYFUNCTION("""COMPUTED_VALUE"""),45632.64583333333)</f>
        <v>45632.64583</v>
      </c>
      <c r="B64" s="5">
        <f>IFERROR(__xludf.DUMMYFUNCTION("""COMPUTED_VALUE"""),1360.55)</f>
        <v>1360.55</v>
      </c>
      <c r="C64" s="5">
        <f>IFERROR(__xludf.DUMMYFUNCTION("""COMPUTED_VALUE"""),1447.7)</f>
        <v>1447.7</v>
      </c>
      <c r="D64" s="5">
        <f>IFERROR(__xludf.DUMMYFUNCTION("""COMPUTED_VALUE"""),1205.15)</f>
        <v>1205.15</v>
      </c>
      <c r="E64" s="5">
        <f>IFERROR(__xludf.DUMMYFUNCTION("""COMPUTED_VALUE"""),1210.65)</f>
        <v>1210.65</v>
      </c>
      <c r="F64" s="5">
        <f>IFERROR(__xludf.DUMMYFUNCTION("""COMPUTED_VALUE"""),4.0812456E7)</f>
        <v>40812456</v>
      </c>
    </row>
    <row r="65">
      <c r="A65" s="6">
        <f>IFERROR(__xludf.DUMMYFUNCTION("""COMPUTED_VALUE"""),45639.64583333333)</f>
        <v>45639.64583</v>
      </c>
      <c r="B65" s="5">
        <f>IFERROR(__xludf.DUMMYFUNCTION("""COMPUTED_VALUE"""),1210.65)</f>
        <v>1210.65</v>
      </c>
      <c r="C65" s="5">
        <f>IFERROR(__xludf.DUMMYFUNCTION("""COMPUTED_VALUE"""),1252.3)</f>
        <v>1252.3</v>
      </c>
      <c r="D65" s="5">
        <f>IFERROR(__xludf.DUMMYFUNCTION("""COMPUTED_VALUE"""),1124.2)</f>
        <v>1124.2</v>
      </c>
      <c r="E65" s="5">
        <f>IFERROR(__xludf.DUMMYFUNCTION("""COMPUTED_VALUE"""),1198.4)</f>
        <v>1198.4</v>
      </c>
      <c r="F65" s="5">
        <f>IFERROR(__xludf.DUMMYFUNCTION("""COMPUTED_VALUE"""),2.6983719E7)</f>
        <v>26983719</v>
      </c>
    </row>
    <row r="66">
      <c r="A66" s="6">
        <f>IFERROR(__xludf.DUMMYFUNCTION("""COMPUTED_VALUE"""),45646.64583333333)</f>
        <v>45646.64583</v>
      </c>
      <c r="B66" s="5">
        <f>IFERROR(__xludf.DUMMYFUNCTION("""COMPUTED_VALUE"""),1200.95)</f>
        <v>1200.95</v>
      </c>
      <c r="C66" s="5">
        <f>IFERROR(__xludf.DUMMYFUNCTION("""COMPUTED_VALUE"""),1210.5)</f>
        <v>1210.5</v>
      </c>
      <c r="D66" s="5">
        <f>IFERROR(__xludf.DUMMYFUNCTION("""COMPUTED_VALUE"""),1015.1)</f>
        <v>1015.1</v>
      </c>
      <c r="E66" s="5">
        <f>IFERROR(__xludf.DUMMYFUNCTION("""COMPUTED_VALUE"""),1034.35)</f>
        <v>1034.35</v>
      </c>
      <c r="F66" s="5">
        <f>IFERROR(__xludf.DUMMYFUNCTION("""COMPUTED_VALUE"""),2.495521E7)</f>
        <v>24955210</v>
      </c>
    </row>
    <row r="67">
      <c r="A67" s="6">
        <f>IFERROR(__xludf.DUMMYFUNCTION("""COMPUTED_VALUE"""),45653.64583333333)</f>
        <v>45653.64583</v>
      </c>
      <c r="B67" s="5">
        <f>IFERROR(__xludf.DUMMYFUNCTION("""COMPUTED_VALUE"""),1049.7)</f>
        <v>1049.7</v>
      </c>
      <c r="C67" s="5">
        <f>IFERROR(__xludf.DUMMYFUNCTION("""COMPUTED_VALUE"""),1082.2)</f>
        <v>1082.2</v>
      </c>
      <c r="D67" s="5">
        <f>IFERROR(__xludf.DUMMYFUNCTION("""COMPUTED_VALUE"""),1020.0)</f>
        <v>1020</v>
      </c>
      <c r="E67" s="5">
        <f>IFERROR(__xludf.DUMMYFUNCTION("""COMPUTED_VALUE"""),1054.0)</f>
        <v>1054</v>
      </c>
      <c r="F67" s="5">
        <f>IFERROR(__xludf.DUMMYFUNCTION("""COMPUTED_VALUE"""),1.3757297E7)</f>
        <v>13757297</v>
      </c>
    </row>
    <row r="68">
      <c r="A68" s="6">
        <f>IFERROR(__xludf.DUMMYFUNCTION("""COMPUTED_VALUE"""),45660.64583333333)</f>
        <v>45660.64583</v>
      </c>
      <c r="B68" s="5">
        <f>IFERROR(__xludf.DUMMYFUNCTION("""COMPUTED_VALUE"""),1060.0)</f>
        <v>1060</v>
      </c>
      <c r="C68" s="5">
        <f>IFERROR(__xludf.DUMMYFUNCTION("""COMPUTED_VALUE"""),1113.7)</f>
        <v>1113.7</v>
      </c>
      <c r="D68" s="5">
        <f>IFERROR(__xludf.DUMMYFUNCTION("""COMPUTED_VALUE"""),1029.0)</f>
        <v>1029</v>
      </c>
      <c r="E68" s="5">
        <f>IFERROR(__xludf.DUMMYFUNCTION("""COMPUTED_VALUE"""),1038.25)</f>
        <v>1038.25</v>
      </c>
      <c r="F68" s="5">
        <f>IFERROR(__xludf.DUMMYFUNCTION("""COMPUTED_VALUE"""),1.4683949E7)</f>
        <v>14683949</v>
      </c>
    </row>
    <row r="69">
      <c r="A69" s="6">
        <f>IFERROR(__xludf.DUMMYFUNCTION("""COMPUTED_VALUE"""),45667.64583333333)</f>
        <v>45667.64583</v>
      </c>
      <c r="B69" s="5">
        <f>IFERROR(__xludf.DUMMYFUNCTION("""COMPUTED_VALUE"""),1039.0)</f>
        <v>1039</v>
      </c>
      <c r="C69" s="5">
        <f>IFERROR(__xludf.DUMMYFUNCTION("""COMPUTED_VALUE"""),1040.5)</f>
        <v>1040.5</v>
      </c>
      <c r="D69" s="5">
        <f>IFERROR(__xludf.DUMMYFUNCTION("""COMPUTED_VALUE"""),940.4)</f>
        <v>940.4</v>
      </c>
      <c r="E69" s="5">
        <f>IFERROR(__xludf.DUMMYFUNCTION("""COMPUTED_VALUE"""),943.05)</f>
        <v>943.05</v>
      </c>
      <c r="F69" s="5">
        <f>IFERROR(__xludf.DUMMYFUNCTION("""COMPUTED_VALUE"""),1.0996123E7)</f>
        <v>10996123</v>
      </c>
    </row>
    <row r="70">
      <c r="A70" s="6">
        <f>IFERROR(__xludf.DUMMYFUNCTION("""COMPUTED_VALUE"""),45674.64583333333)</f>
        <v>45674.64583</v>
      </c>
      <c r="B70" s="5">
        <f>IFERROR(__xludf.DUMMYFUNCTION("""COMPUTED_VALUE"""),937.8)</f>
        <v>937.8</v>
      </c>
      <c r="C70" s="5">
        <f>IFERROR(__xludf.DUMMYFUNCTION("""COMPUTED_VALUE"""),1127.0)</f>
        <v>1127</v>
      </c>
      <c r="D70" s="5">
        <f>IFERROR(__xludf.DUMMYFUNCTION("""COMPUTED_VALUE"""),885.0)</f>
        <v>885</v>
      </c>
      <c r="E70" s="5">
        <f>IFERROR(__xludf.DUMMYFUNCTION("""COMPUTED_VALUE"""),1078.2)</f>
        <v>1078.2</v>
      </c>
      <c r="F70" s="5">
        <f>IFERROR(__xludf.DUMMYFUNCTION("""COMPUTED_VALUE"""),4.3666267E7)</f>
        <v>43666267</v>
      </c>
    </row>
    <row r="71">
      <c r="A71" s="6">
        <f>IFERROR(__xludf.DUMMYFUNCTION("""COMPUTED_VALUE"""),45681.64583333333)</f>
        <v>45681.64583</v>
      </c>
      <c r="B71" s="5">
        <f>IFERROR(__xludf.DUMMYFUNCTION("""COMPUTED_VALUE"""),1082.0)</f>
        <v>1082</v>
      </c>
      <c r="C71" s="5">
        <f>IFERROR(__xludf.DUMMYFUNCTION("""COMPUTED_VALUE"""),1088.0)</f>
        <v>1088</v>
      </c>
      <c r="D71" s="5">
        <f>IFERROR(__xludf.DUMMYFUNCTION("""COMPUTED_VALUE"""),1006.0)</f>
        <v>1006</v>
      </c>
      <c r="E71" s="5">
        <f>IFERROR(__xludf.DUMMYFUNCTION("""COMPUTED_VALUE"""),1012.1)</f>
        <v>1012.1</v>
      </c>
      <c r="F71" s="5">
        <f>IFERROR(__xludf.DUMMYFUNCTION("""COMPUTED_VALUE"""),1.5136726E7)</f>
        <v>15136726</v>
      </c>
    </row>
    <row r="72">
      <c r="A72" s="6">
        <f>IFERROR(__xludf.DUMMYFUNCTION("""COMPUTED_VALUE"""),45695.64583333333)</f>
        <v>45695.64583</v>
      </c>
      <c r="B72" s="5">
        <f>IFERROR(__xludf.DUMMYFUNCTION("""COMPUTED_VALUE"""),994.9)</f>
        <v>994.9</v>
      </c>
      <c r="C72" s="5">
        <f>IFERROR(__xludf.DUMMYFUNCTION("""COMPUTED_VALUE"""),1028.7)</f>
        <v>1028.7</v>
      </c>
      <c r="D72" s="5">
        <f>IFERROR(__xludf.DUMMYFUNCTION("""COMPUTED_VALUE"""),967.5)</f>
        <v>967.5</v>
      </c>
      <c r="E72" s="5">
        <f>IFERROR(__xludf.DUMMYFUNCTION("""COMPUTED_VALUE"""),989.5)</f>
        <v>989.5</v>
      </c>
      <c r="F72" s="5">
        <f>IFERROR(__xludf.DUMMYFUNCTION("""COMPUTED_VALUE"""),7775821.0)</f>
        <v>7775821</v>
      </c>
    </row>
    <row r="73">
      <c r="A73" s="6">
        <f>IFERROR(__xludf.DUMMYFUNCTION("""COMPUTED_VALUE"""),45702.64583333333)</f>
        <v>45702.64583</v>
      </c>
      <c r="B73" s="5">
        <f>IFERROR(__xludf.DUMMYFUNCTION("""COMPUTED_VALUE"""),996.0)</f>
        <v>996</v>
      </c>
      <c r="C73" s="5">
        <f>IFERROR(__xludf.DUMMYFUNCTION("""COMPUTED_VALUE"""),998.95)</f>
        <v>998.95</v>
      </c>
      <c r="D73" s="5">
        <f>IFERROR(__xludf.DUMMYFUNCTION("""COMPUTED_VALUE"""),873.0)</f>
        <v>873</v>
      </c>
      <c r="E73" s="5">
        <f>IFERROR(__xludf.DUMMYFUNCTION("""COMPUTED_VALUE"""),884.4)</f>
        <v>884.4</v>
      </c>
      <c r="F73" s="5">
        <f>IFERROR(__xludf.DUMMYFUNCTION("""COMPUTED_VALUE"""),1.474237E7)</f>
        <v>14742370</v>
      </c>
    </row>
    <row r="74">
      <c r="A74" s="6">
        <f>IFERROR(__xludf.DUMMYFUNCTION("""COMPUTED_VALUE"""),45709.64583333333)</f>
        <v>45709.64583</v>
      </c>
      <c r="B74" s="5">
        <f>IFERROR(__xludf.DUMMYFUNCTION("""COMPUTED_VALUE"""),878.95)</f>
        <v>878.95</v>
      </c>
      <c r="C74" s="5">
        <f>IFERROR(__xludf.DUMMYFUNCTION("""COMPUTED_VALUE"""),904.9)</f>
        <v>904.9</v>
      </c>
      <c r="D74" s="5">
        <f>IFERROR(__xludf.DUMMYFUNCTION("""COMPUTED_VALUE"""),840.45)</f>
        <v>840.45</v>
      </c>
      <c r="E74" s="5">
        <f>IFERROR(__xludf.DUMMYFUNCTION("""COMPUTED_VALUE"""),849.35)</f>
        <v>849.35</v>
      </c>
      <c r="F74" s="5">
        <f>IFERROR(__xludf.DUMMYFUNCTION("""COMPUTED_VALUE"""),1.7578325E7)</f>
        <v>17578325</v>
      </c>
    </row>
    <row r="75">
      <c r="A75" s="6">
        <f>IFERROR(__xludf.DUMMYFUNCTION("""COMPUTED_VALUE"""),45716.64583333333)</f>
        <v>45716.64583</v>
      </c>
      <c r="B75" s="5">
        <f>IFERROR(__xludf.DUMMYFUNCTION("""COMPUTED_VALUE"""),840.0)</f>
        <v>840</v>
      </c>
      <c r="C75" s="5">
        <f>IFERROR(__xludf.DUMMYFUNCTION("""COMPUTED_VALUE"""),867.0)</f>
        <v>867</v>
      </c>
      <c r="D75" s="5">
        <f>IFERROR(__xludf.DUMMYFUNCTION("""COMPUTED_VALUE"""),760.15)</f>
        <v>760.15</v>
      </c>
      <c r="E75" s="5">
        <f>IFERROR(__xludf.DUMMYFUNCTION("""COMPUTED_VALUE"""),774.4)</f>
        <v>774.4</v>
      </c>
      <c r="F75" s="5">
        <f>IFERROR(__xludf.DUMMYFUNCTION("""COMPUTED_VALUE"""),5.8541597E7)</f>
        <v>58541597</v>
      </c>
    </row>
    <row r="76">
      <c r="A76" s="6">
        <f>IFERROR(__xludf.DUMMYFUNCTION("""COMPUTED_VALUE"""),45723.64583333333)</f>
        <v>45723.64583</v>
      </c>
      <c r="B76" s="5">
        <f>IFERROR(__xludf.DUMMYFUNCTION("""COMPUTED_VALUE"""),775.0)</f>
        <v>775</v>
      </c>
      <c r="C76" s="5">
        <f>IFERROR(__xludf.DUMMYFUNCTION("""COMPUTED_VALUE"""),872.45)</f>
        <v>872.45</v>
      </c>
      <c r="D76" s="5">
        <f>IFERROR(__xludf.DUMMYFUNCTION("""COMPUTED_VALUE"""),758.0)</f>
        <v>758</v>
      </c>
      <c r="E76" s="5">
        <f>IFERROR(__xludf.DUMMYFUNCTION("""COMPUTED_VALUE"""),837.2)</f>
        <v>837.2</v>
      </c>
      <c r="F76" s="5">
        <f>IFERROR(__xludf.DUMMYFUNCTION("""COMPUTED_VALUE"""),4.7594218E7)</f>
        <v>47594218</v>
      </c>
    </row>
    <row r="77">
      <c r="A77" s="6">
        <f>IFERROR(__xludf.DUMMYFUNCTION("""COMPUTED_VALUE"""),45729.64583333333)</f>
        <v>45729.64583</v>
      </c>
      <c r="B77" s="5">
        <f>IFERROR(__xludf.DUMMYFUNCTION("""COMPUTED_VALUE"""),840.9)</f>
        <v>840.9</v>
      </c>
      <c r="C77" s="5">
        <f>IFERROR(__xludf.DUMMYFUNCTION("""COMPUTED_VALUE"""),896.85)</f>
        <v>896.85</v>
      </c>
      <c r="D77" s="5">
        <f>IFERROR(__xludf.DUMMYFUNCTION("""COMPUTED_VALUE"""),806.35)</f>
        <v>806.35</v>
      </c>
      <c r="E77" s="5">
        <f>IFERROR(__xludf.DUMMYFUNCTION("""COMPUTED_VALUE"""),873.65)</f>
        <v>873.65</v>
      </c>
      <c r="F77" s="5">
        <f>IFERROR(__xludf.DUMMYFUNCTION("""COMPUTED_VALUE"""),2.6695872E7)</f>
        <v>26695872</v>
      </c>
    </row>
    <row r="78">
      <c r="A78" s="6">
        <f>IFERROR(__xludf.DUMMYFUNCTION("""COMPUTED_VALUE"""),45737.64583333333)</f>
        <v>45737.64583</v>
      </c>
      <c r="B78" s="5">
        <f>IFERROR(__xludf.DUMMYFUNCTION("""COMPUTED_VALUE"""),873.65)</f>
        <v>873.65</v>
      </c>
      <c r="C78" s="5">
        <f>IFERROR(__xludf.DUMMYFUNCTION("""COMPUTED_VALUE"""),983.35)</f>
        <v>983.35</v>
      </c>
      <c r="D78" s="5">
        <f>IFERROR(__xludf.DUMMYFUNCTION("""COMPUTED_VALUE"""),868.85)</f>
        <v>868.85</v>
      </c>
      <c r="E78" s="5">
        <f>IFERROR(__xludf.DUMMYFUNCTION("""COMPUTED_VALUE"""),954.25)</f>
        <v>954.25</v>
      </c>
      <c r="F78" s="5">
        <f>IFERROR(__xludf.DUMMYFUNCTION("""COMPUTED_VALUE"""),2.44637E7)</f>
        <v>24463700</v>
      </c>
    </row>
    <row r="79">
      <c r="A79" s="6">
        <f>IFERROR(__xludf.DUMMYFUNCTION("""COMPUTED_VALUE"""),45744.64583333333)</f>
        <v>45744.64583</v>
      </c>
      <c r="B79" s="5">
        <f>IFERROR(__xludf.DUMMYFUNCTION("""COMPUTED_VALUE"""),972.0)</f>
        <v>972</v>
      </c>
      <c r="C79" s="5">
        <f>IFERROR(__xludf.DUMMYFUNCTION("""COMPUTED_VALUE"""),981.0)</f>
        <v>981</v>
      </c>
      <c r="D79" s="5">
        <f>IFERROR(__xludf.DUMMYFUNCTION("""COMPUTED_VALUE"""),905.2)</f>
        <v>905.2</v>
      </c>
      <c r="E79" s="5">
        <f>IFERROR(__xludf.DUMMYFUNCTION("""COMPUTED_VALUE"""),948.65)</f>
        <v>948.65</v>
      </c>
      <c r="F79" s="5">
        <f>IFERROR(__xludf.DUMMYFUNCTION("""COMPUTED_VALUE"""),2.0333545E7)</f>
        <v>20333545</v>
      </c>
    </row>
    <row r="80">
      <c r="A80" s="6">
        <f>IFERROR(__xludf.DUMMYFUNCTION("""COMPUTED_VALUE"""),45751.64583333333)</f>
        <v>45751.64583</v>
      </c>
      <c r="B80" s="5">
        <f>IFERROR(__xludf.DUMMYFUNCTION("""COMPUTED_VALUE"""),948.0)</f>
        <v>948</v>
      </c>
      <c r="C80" s="5">
        <f>IFERROR(__xludf.DUMMYFUNCTION("""COMPUTED_VALUE"""),966.5)</f>
        <v>966.5</v>
      </c>
      <c r="D80" s="5">
        <f>IFERROR(__xludf.DUMMYFUNCTION("""COMPUTED_VALUE"""),910.7)</f>
        <v>910.7</v>
      </c>
      <c r="E80" s="5">
        <f>IFERROR(__xludf.DUMMYFUNCTION("""COMPUTED_VALUE"""),923.8)</f>
        <v>923.8</v>
      </c>
      <c r="F80" s="5">
        <f>IFERROR(__xludf.DUMMYFUNCTION("""COMPUTED_VALUE"""),1.2890963E7)</f>
        <v>12890963</v>
      </c>
    </row>
    <row r="81">
      <c r="A81" s="6">
        <f>IFERROR(__xludf.DUMMYFUNCTION("""COMPUTED_VALUE"""),45758.64583333333)</f>
        <v>45758.64583</v>
      </c>
      <c r="B81" s="5">
        <f>IFERROR(__xludf.DUMMYFUNCTION("""COMPUTED_VALUE"""),850.0)</f>
        <v>850</v>
      </c>
      <c r="C81" s="5">
        <f>IFERROR(__xludf.DUMMYFUNCTION("""COMPUTED_VALUE"""),908.1)</f>
        <v>908.1</v>
      </c>
      <c r="D81" s="5">
        <f>IFERROR(__xludf.DUMMYFUNCTION("""COMPUTED_VALUE"""),850.0)</f>
        <v>850</v>
      </c>
      <c r="E81" s="5">
        <f>IFERROR(__xludf.DUMMYFUNCTION("""COMPUTED_VALUE"""),893.65)</f>
        <v>893.65</v>
      </c>
      <c r="F81" s="5">
        <f>IFERROR(__xludf.DUMMYFUNCTION("""COMPUTED_VALUE"""),1.1580241E7)</f>
        <v>11580241</v>
      </c>
    </row>
    <row r="82">
      <c r="A82" s="6">
        <f>IFERROR(__xludf.DUMMYFUNCTION("""COMPUTED_VALUE"""),45764.64583333333)</f>
        <v>45764.64583</v>
      </c>
      <c r="B82" s="5">
        <f>IFERROR(__xludf.DUMMYFUNCTION("""COMPUTED_VALUE"""),910.0)</f>
        <v>910</v>
      </c>
      <c r="C82" s="5">
        <f>IFERROR(__xludf.DUMMYFUNCTION("""COMPUTED_VALUE"""),972.0)</f>
        <v>972</v>
      </c>
      <c r="D82" s="5">
        <f>IFERROR(__xludf.DUMMYFUNCTION("""COMPUTED_VALUE"""),901.3)</f>
        <v>901.3</v>
      </c>
      <c r="E82" s="5">
        <f>IFERROR(__xludf.DUMMYFUNCTION("""COMPUTED_VALUE"""),947.15)</f>
        <v>947.15</v>
      </c>
      <c r="F82" s="5">
        <f>IFERROR(__xludf.DUMMYFUNCTION("""COMPUTED_VALUE"""),8053762.0)</f>
        <v>8053762</v>
      </c>
    </row>
    <row r="83">
      <c r="A83" s="6">
        <f>IFERROR(__xludf.DUMMYFUNCTION("""COMPUTED_VALUE"""),45772.64583333333)</f>
        <v>45772.64583</v>
      </c>
      <c r="B83" s="5">
        <f>IFERROR(__xludf.DUMMYFUNCTION("""COMPUTED_VALUE"""),954.7)</f>
        <v>954.7</v>
      </c>
      <c r="C83" s="5">
        <f>IFERROR(__xludf.DUMMYFUNCTION("""COMPUTED_VALUE"""),975.85)</f>
        <v>975.85</v>
      </c>
      <c r="D83" s="5">
        <f>IFERROR(__xludf.DUMMYFUNCTION("""COMPUTED_VALUE"""),903.7)</f>
        <v>903.7</v>
      </c>
      <c r="E83" s="5">
        <f>IFERROR(__xludf.DUMMYFUNCTION("""COMPUTED_VALUE"""),912.55)</f>
        <v>912.55</v>
      </c>
      <c r="F83" s="5">
        <f>IFERROR(__xludf.DUMMYFUNCTION("""COMPUTED_VALUE"""),1.7476844E7)</f>
        <v>17476844</v>
      </c>
    </row>
    <row r="84">
      <c r="A84" s="6">
        <f>IFERROR(__xludf.DUMMYFUNCTION("""COMPUTED_VALUE"""),45779.64583333333)</f>
        <v>45779.64583</v>
      </c>
      <c r="B84" s="5">
        <f>IFERROR(__xludf.DUMMYFUNCTION("""COMPUTED_VALUE"""),915.35)</f>
        <v>915.35</v>
      </c>
      <c r="C84" s="5">
        <f>IFERROR(__xludf.DUMMYFUNCTION("""COMPUTED_VALUE"""),961.9)</f>
        <v>961.9</v>
      </c>
      <c r="D84" s="5">
        <f>IFERROR(__xludf.DUMMYFUNCTION("""COMPUTED_VALUE"""),895.0)</f>
        <v>895</v>
      </c>
      <c r="E84" s="5">
        <f>IFERROR(__xludf.DUMMYFUNCTION("""COMPUTED_VALUE"""),905.25)</f>
        <v>905.25</v>
      </c>
      <c r="F84" s="5">
        <f>IFERROR(__xludf.DUMMYFUNCTION("""COMPUTED_VALUE"""),1.577906E7)</f>
        <v>15779060</v>
      </c>
    </row>
    <row r="85">
      <c r="A85" s="6">
        <f>IFERROR(__xludf.DUMMYFUNCTION("""COMPUTED_VALUE"""),45786.64583333333)</f>
        <v>45786.64583</v>
      </c>
      <c r="B85" s="5">
        <f>IFERROR(__xludf.DUMMYFUNCTION("""COMPUTED_VALUE"""),912.7)</f>
        <v>912.7</v>
      </c>
      <c r="C85" s="5">
        <f>IFERROR(__xludf.DUMMYFUNCTION("""COMPUTED_VALUE"""),1003.5)</f>
        <v>1003.5</v>
      </c>
      <c r="D85" s="5">
        <f>IFERROR(__xludf.DUMMYFUNCTION("""COMPUTED_VALUE"""),854.35)</f>
        <v>854.35</v>
      </c>
      <c r="E85" s="5">
        <f>IFERROR(__xludf.DUMMYFUNCTION("""COMPUTED_VALUE"""),879.45)</f>
        <v>879.45</v>
      </c>
      <c r="F85" s="5">
        <f>IFERROR(__xludf.DUMMYFUNCTION("""COMPUTED_VALUE"""),2.8318802E7)</f>
        <v>28318802</v>
      </c>
    </row>
    <row r="86">
      <c r="A86" s="6">
        <f>IFERROR(__xludf.DUMMYFUNCTION("""COMPUTED_VALUE"""),45793.64583333333)</f>
        <v>45793.64583</v>
      </c>
      <c r="B86" s="5">
        <f>IFERROR(__xludf.DUMMYFUNCTION("""COMPUTED_VALUE"""),914.9)</f>
        <v>914.9</v>
      </c>
      <c r="C86" s="5">
        <f>IFERROR(__xludf.DUMMYFUNCTION("""COMPUTED_VALUE"""),1025.0)</f>
        <v>1025</v>
      </c>
      <c r="D86" s="5">
        <f>IFERROR(__xludf.DUMMYFUNCTION("""COMPUTED_VALUE"""),911.05)</f>
        <v>911.05</v>
      </c>
      <c r="E86" s="5">
        <f>IFERROR(__xludf.DUMMYFUNCTION("""COMPUTED_VALUE"""),1020.1)</f>
        <v>1020.1</v>
      </c>
      <c r="F86" s="5">
        <f>IFERROR(__xludf.DUMMYFUNCTION("""COMPUTED_VALUE"""),2.6713858E7)</f>
        <v>26713858</v>
      </c>
    </row>
    <row r="87">
      <c r="A87" s="6">
        <f>IFERROR(__xludf.DUMMYFUNCTION("""COMPUTED_VALUE"""),45800.64583333333)</f>
        <v>45800.64583</v>
      </c>
      <c r="B87" s="5">
        <f>IFERROR(__xludf.DUMMYFUNCTION("""COMPUTED_VALUE"""),1031.95)</f>
        <v>1031.95</v>
      </c>
      <c r="C87" s="5">
        <f>IFERROR(__xludf.DUMMYFUNCTION("""COMPUTED_VALUE"""),1038.35)</f>
        <v>1038.35</v>
      </c>
      <c r="D87" s="5">
        <f>IFERROR(__xludf.DUMMYFUNCTION("""COMPUTED_VALUE"""),976.0)</f>
        <v>976</v>
      </c>
      <c r="E87" s="5">
        <f>IFERROR(__xludf.DUMMYFUNCTION("""COMPUTED_VALUE"""),986.95)</f>
        <v>986.95</v>
      </c>
      <c r="F87" s="5">
        <f>IFERROR(__xludf.DUMMYFUNCTION("""COMPUTED_VALUE"""),1.2891609E7)</f>
        <v>12891609</v>
      </c>
    </row>
    <row r="88">
      <c r="A88" s="6">
        <f>IFERROR(__xludf.DUMMYFUNCTION("""COMPUTED_VALUE"""),45807.64583333333)</f>
        <v>45807.64583</v>
      </c>
      <c r="B88" s="5">
        <f>IFERROR(__xludf.DUMMYFUNCTION("""COMPUTED_VALUE"""),997.0)</f>
        <v>997</v>
      </c>
      <c r="C88" s="5">
        <f>IFERROR(__xludf.DUMMYFUNCTION("""COMPUTED_VALUE"""),1028.0)</f>
        <v>1028</v>
      </c>
      <c r="D88" s="5">
        <f>IFERROR(__xludf.DUMMYFUNCTION("""COMPUTED_VALUE"""),993.3)</f>
        <v>993.3</v>
      </c>
      <c r="E88" s="5">
        <f>IFERROR(__xludf.DUMMYFUNCTION("""COMPUTED_VALUE"""),1014.35)</f>
        <v>1014.35</v>
      </c>
      <c r="F88" s="5">
        <f>IFERROR(__xludf.DUMMYFUNCTION("""COMPUTED_VALUE"""),1.1614279E7)</f>
        <v>11614279</v>
      </c>
    </row>
    <row r="89">
      <c r="A89" s="6">
        <f>IFERROR(__xludf.DUMMYFUNCTION("""COMPUTED_VALUE"""),45814.64583333333)</f>
        <v>45814.64583</v>
      </c>
      <c r="B89" s="5">
        <f>IFERROR(__xludf.DUMMYFUNCTION("""COMPUTED_VALUE"""),1018.5)</f>
        <v>1018.5</v>
      </c>
      <c r="C89" s="5">
        <f>IFERROR(__xludf.DUMMYFUNCTION("""COMPUTED_VALUE"""),1024.7)</f>
        <v>1024.7</v>
      </c>
      <c r="D89" s="5">
        <f>IFERROR(__xludf.DUMMYFUNCTION("""COMPUTED_VALUE"""),983.7)</f>
        <v>983.7</v>
      </c>
      <c r="E89" s="5">
        <f>IFERROR(__xludf.DUMMYFUNCTION("""COMPUTED_VALUE"""),1018.8)</f>
        <v>1018.8</v>
      </c>
      <c r="F89" s="5">
        <f>IFERROR(__xludf.DUMMYFUNCTION("""COMPUTED_VALUE"""),1.0442037E7)</f>
        <v>10442037</v>
      </c>
    </row>
    <row r="90">
      <c r="A90" s="6">
        <f>IFERROR(__xludf.DUMMYFUNCTION("""COMPUTED_VALUE"""),45821.64583333333)</f>
        <v>45821.64583</v>
      </c>
      <c r="B90" s="5">
        <f>IFERROR(__xludf.DUMMYFUNCTION("""COMPUTED_VALUE"""),1024.2)</f>
        <v>1024.2</v>
      </c>
      <c r="C90" s="5">
        <f>IFERROR(__xludf.DUMMYFUNCTION("""COMPUTED_VALUE"""),1077.0)</f>
        <v>1077</v>
      </c>
      <c r="D90" s="5">
        <f>IFERROR(__xludf.DUMMYFUNCTION("""COMPUTED_VALUE"""),985.3)</f>
        <v>985.3</v>
      </c>
      <c r="E90" s="5">
        <f>IFERROR(__xludf.DUMMYFUNCTION("""COMPUTED_VALUE"""),989.5)</f>
        <v>989.5</v>
      </c>
      <c r="F90" s="5">
        <f>IFERROR(__xludf.DUMMYFUNCTION("""COMPUTED_VALUE"""),1.6277253E7)</f>
        <v>16277253</v>
      </c>
    </row>
    <row r="91">
      <c r="A91" s="6">
        <f>IFERROR(__xludf.DUMMYFUNCTION("""COMPUTED_VALUE"""),45828.64583333333)</f>
        <v>45828.64583</v>
      </c>
      <c r="B91" s="5">
        <f>IFERROR(__xludf.DUMMYFUNCTION("""COMPUTED_VALUE"""),989.5)</f>
        <v>989.5</v>
      </c>
      <c r="C91" s="5">
        <f>IFERROR(__xludf.DUMMYFUNCTION("""COMPUTED_VALUE"""),997.5)</f>
        <v>997.5</v>
      </c>
      <c r="D91" s="5">
        <f>IFERROR(__xludf.DUMMYFUNCTION("""COMPUTED_VALUE"""),929.0)</f>
        <v>929</v>
      </c>
      <c r="E91" s="5">
        <f>IFERROR(__xludf.DUMMYFUNCTION("""COMPUTED_VALUE"""),947.7)</f>
        <v>947.7</v>
      </c>
      <c r="F91" s="5">
        <f>IFERROR(__xludf.DUMMYFUNCTION("""COMPUTED_VALUE"""),1.0536198E7)</f>
        <v>10536198</v>
      </c>
    </row>
    <row r="92">
      <c r="A92" s="6">
        <f>IFERROR(__xludf.DUMMYFUNCTION("""COMPUTED_VALUE"""),45835.64583333333)</f>
        <v>45835.64583</v>
      </c>
      <c r="B92" s="5">
        <f>IFERROR(__xludf.DUMMYFUNCTION("""COMPUTED_VALUE"""),939.8)</f>
        <v>939.8</v>
      </c>
      <c r="C92" s="5">
        <f>IFERROR(__xludf.DUMMYFUNCTION("""COMPUTED_VALUE"""),1046.9)</f>
        <v>1046.9</v>
      </c>
      <c r="D92" s="5">
        <f>IFERROR(__xludf.DUMMYFUNCTION("""COMPUTED_VALUE"""),935.0)</f>
        <v>935</v>
      </c>
      <c r="E92" s="5">
        <f>IFERROR(__xludf.DUMMYFUNCTION("""COMPUTED_VALUE"""),1015.6)</f>
        <v>1015.6</v>
      </c>
      <c r="F92" s="5">
        <f>IFERROR(__xludf.DUMMYFUNCTION("""COMPUTED_VALUE"""),1.5820821E7)</f>
        <v>15820821</v>
      </c>
    </row>
    <row r="93">
      <c r="A93" s="6">
        <f>IFERROR(__xludf.DUMMYFUNCTION("""COMPUTED_VALUE"""),45842.64583333333)</f>
        <v>45842.64583</v>
      </c>
      <c r="B93" s="5">
        <f>IFERROR(__xludf.DUMMYFUNCTION("""COMPUTED_VALUE"""),1020.0)</f>
        <v>1020</v>
      </c>
      <c r="C93" s="5">
        <f>IFERROR(__xludf.DUMMYFUNCTION("""COMPUTED_VALUE"""),1038.0)</f>
        <v>1038</v>
      </c>
      <c r="D93" s="5">
        <f>IFERROR(__xludf.DUMMYFUNCTION("""COMPUTED_VALUE"""),990.0)</f>
        <v>990</v>
      </c>
      <c r="E93" s="5">
        <f>IFERROR(__xludf.DUMMYFUNCTION("""COMPUTED_VALUE"""),996.8)</f>
        <v>996.8</v>
      </c>
      <c r="F93" s="5">
        <f>IFERROR(__xludf.DUMMYFUNCTION("""COMPUTED_VALUE"""),7965251.0)</f>
        <v>7965251</v>
      </c>
    </row>
    <row r="94">
      <c r="A94" s="6">
        <f>IFERROR(__xludf.DUMMYFUNCTION("""COMPUTED_VALUE"""),45849.64583333333)</f>
        <v>45849.64583</v>
      </c>
      <c r="B94" s="5">
        <f>IFERROR(__xludf.DUMMYFUNCTION("""COMPUTED_VALUE"""),997.0)</f>
        <v>997</v>
      </c>
      <c r="C94" s="5">
        <f>IFERROR(__xludf.DUMMYFUNCTION("""COMPUTED_VALUE"""),1011.0)</f>
        <v>1011</v>
      </c>
      <c r="D94" s="5">
        <f>IFERROR(__xludf.DUMMYFUNCTION("""COMPUTED_VALUE"""),981.3)</f>
        <v>981.3</v>
      </c>
      <c r="E94" s="5">
        <f>IFERROR(__xludf.DUMMYFUNCTION("""COMPUTED_VALUE"""),995.2)</f>
        <v>995.2</v>
      </c>
      <c r="F94" s="5">
        <f>IFERROR(__xludf.DUMMYFUNCTION("""COMPUTED_VALUE"""),6321013.0)</f>
        <v>6321013</v>
      </c>
    </row>
    <row r="95">
      <c r="A95" s="6">
        <f>IFERROR(__xludf.DUMMYFUNCTION("""COMPUTED_VALUE"""),45856.64583333333)</f>
        <v>45856.64583</v>
      </c>
      <c r="B95" s="5">
        <f>IFERROR(__xludf.DUMMYFUNCTION("""COMPUTED_VALUE"""),995.8)</f>
        <v>995.8</v>
      </c>
      <c r="C95" s="5">
        <f>IFERROR(__xludf.DUMMYFUNCTION("""COMPUTED_VALUE"""),1054.9)</f>
        <v>1054.9</v>
      </c>
      <c r="D95" s="5">
        <f>IFERROR(__xludf.DUMMYFUNCTION("""COMPUTED_VALUE"""),994.2)</f>
        <v>994.2</v>
      </c>
      <c r="E95" s="5">
        <f>IFERROR(__xludf.DUMMYFUNCTION("""COMPUTED_VALUE"""),1030.2)</f>
        <v>1030.2</v>
      </c>
      <c r="F95" s="5">
        <f>IFERROR(__xludf.DUMMYFUNCTION("""COMPUTED_VALUE"""),1.3838345E7)</f>
        <v>13838345</v>
      </c>
    </row>
    <row r="96">
      <c r="A96" s="6">
        <f>IFERROR(__xludf.DUMMYFUNCTION("""COMPUTED_VALUE"""),45863.64583333333)</f>
        <v>45863.64583</v>
      </c>
      <c r="B96" s="5">
        <f>IFERROR(__xludf.DUMMYFUNCTION("""COMPUTED_VALUE"""),1031.2)</f>
        <v>1031.2</v>
      </c>
      <c r="C96" s="5">
        <f>IFERROR(__xludf.DUMMYFUNCTION("""COMPUTED_VALUE"""),1042.2)</f>
        <v>1042.2</v>
      </c>
      <c r="D96" s="5">
        <f>IFERROR(__xludf.DUMMYFUNCTION("""COMPUTED_VALUE"""),973.0)</f>
        <v>973</v>
      </c>
      <c r="E96" s="5">
        <f>IFERROR(__xludf.DUMMYFUNCTION("""COMPUTED_VALUE"""),975.9)</f>
        <v>975.9</v>
      </c>
      <c r="F96" s="5">
        <f>IFERROR(__xludf.DUMMYFUNCTION("""COMPUTED_VALUE"""),7760691.0)</f>
        <v>7760691</v>
      </c>
    </row>
    <row r="97">
      <c r="A97" s="6">
        <f>IFERROR(__xludf.DUMMYFUNCTION("""COMPUTED_VALUE"""),45870.64583333333)</f>
        <v>45870.64583</v>
      </c>
      <c r="B97" s="5">
        <f>IFERROR(__xludf.DUMMYFUNCTION("""COMPUTED_VALUE"""),979.7)</f>
        <v>979.7</v>
      </c>
      <c r="C97" s="5">
        <f>IFERROR(__xludf.DUMMYFUNCTION("""COMPUTED_VALUE"""),1024.5)</f>
        <v>1024.5</v>
      </c>
      <c r="D97" s="5">
        <f>IFERROR(__xludf.DUMMYFUNCTION("""COMPUTED_VALUE"""),968.0)</f>
        <v>968</v>
      </c>
      <c r="E97" s="5">
        <f>IFERROR(__xludf.DUMMYFUNCTION("""COMPUTED_VALUE"""),972.6)</f>
        <v>972.6</v>
      </c>
      <c r="F97" s="5">
        <f>IFERROR(__xludf.DUMMYFUNCTION("""COMPUTED_VALUE"""),1.2769086E7)</f>
        <v>12769086</v>
      </c>
    </row>
    <row r="98">
      <c r="A98" s="6">
        <f>IFERROR(__xludf.DUMMYFUNCTION("""COMPUTED_VALUE"""),45877.64583333333)</f>
        <v>45877.64583</v>
      </c>
      <c r="B98" s="5">
        <f>IFERROR(__xludf.DUMMYFUNCTION("""COMPUTED_VALUE"""),980.0)</f>
        <v>980</v>
      </c>
      <c r="C98" s="5">
        <f>IFERROR(__xludf.DUMMYFUNCTION("""COMPUTED_VALUE"""),997.0)</f>
        <v>997</v>
      </c>
      <c r="D98" s="5">
        <f>IFERROR(__xludf.DUMMYFUNCTION("""COMPUTED_VALUE"""),903.5)</f>
        <v>903.5</v>
      </c>
      <c r="E98" s="5">
        <f>IFERROR(__xludf.DUMMYFUNCTION("""COMPUTED_VALUE"""),914.05)</f>
        <v>914.05</v>
      </c>
      <c r="F98" s="5">
        <f>IFERROR(__xludf.DUMMYFUNCTION("""COMPUTED_VALUE"""),9559399.0)</f>
        <v>9559399</v>
      </c>
    </row>
    <row r="99">
      <c r="A99" s="6">
        <f>IFERROR(__xludf.DUMMYFUNCTION("""COMPUTED_VALUE"""),45883.64583333333)</f>
        <v>45883.64583</v>
      </c>
      <c r="B99" s="5">
        <f>IFERROR(__xludf.DUMMYFUNCTION("""COMPUTED_VALUE"""),914.05)</f>
        <v>914.05</v>
      </c>
      <c r="C99" s="5">
        <f>IFERROR(__xludf.DUMMYFUNCTION("""COMPUTED_VALUE"""),941.0)</f>
        <v>941</v>
      </c>
      <c r="D99" s="5">
        <f>IFERROR(__xludf.DUMMYFUNCTION("""COMPUTED_VALUE"""),908.0)</f>
        <v>908</v>
      </c>
      <c r="E99" s="5">
        <f>IFERROR(__xludf.DUMMYFUNCTION("""COMPUTED_VALUE"""),917.5)</f>
        <v>917.5</v>
      </c>
      <c r="F99" s="5">
        <f>IFERROR(__xludf.DUMMYFUNCTION("""COMPUTED_VALUE"""),4764732.0)</f>
        <v>4764732</v>
      </c>
    </row>
    <row r="100">
      <c r="A100" s="6">
        <f>IFERROR(__xludf.DUMMYFUNCTION("""COMPUTED_VALUE"""),45891.64583333333)</f>
        <v>45891.64583</v>
      </c>
      <c r="B100" s="5">
        <f>IFERROR(__xludf.DUMMYFUNCTION("""COMPUTED_VALUE"""),929.0)</f>
        <v>929</v>
      </c>
      <c r="C100" s="5">
        <f>IFERROR(__xludf.DUMMYFUNCTION("""COMPUTED_VALUE"""),984.0)</f>
        <v>984</v>
      </c>
      <c r="D100" s="5">
        <f>IFERROR(__xludf.DUMMYFUNCTION("""COMPUTED_VALUE"""),925.75)</f>
        <v>925.75</v>
      </c>
      <c r="E100" s="5">
        <f>IFERROR(__xludf.DUMMYFUNCTION("""COMPUTED_VALUE"""),957.2)</f>
        <v>957.2</v>
      </c>
      <c r="F100" s="5">
        <f>IFERROR(__xludf.DUMMYFUNCTION("""COMPUTED_VALUE"""),7093515.0)</f>
        <v>7093515</v>
      </c>
    </row>
  </sheetData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IFERROR(__xludf.DUMMYFUNCTION("GOOGLEFINANCE(""NSE:HUDCO"", ""all"",ConfigSheet!B2 -ConfigSheet!B1,ConfigSheet!B2,ConfigSheet!B3)"),"#N/A")</f>
        <v>#N/A</v>
      </c>
    </row>
  </sheetData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IFERROR(__xludf.DUMMYFUNCTION("GOOGLEFINANCE(""NSE:HYUNDAI"", ""all"",ConfigSheet!B2 -ConfigSheet!B1,ConfigSheet!B2,ConfigSheet!B3)"),"#N/A")</f>
        <v>#N/A</v>
      </c>
    </row>
  </sheetData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IFERROR(__xludf.DUMMYFUNCTION("GOOGLEFINANCE(""NSE:ICICIBANK"", ""all"",ConfigSheet!B2 -ConfigSheet!B1,ConfigSheet!B2,ConfigSheet!B3)"),"#N/A")</f>
        <v>#N/A</v>
      </c>
    </row>
  </sheetData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IFERROR(__xludf.DUMMYFUNCTION("GOOGLEFINANCE(""NSE:ICICIGI"", ""all"",ConfigSheet!B2 -ConfigSheet!B1,ConfigSheet!B2,ConfigSheet!B3)"),"#N/A")</f>
        <v>#N/A</v>
      </c>
    </row>
  </sheetData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IFERROR(__xludf.DUMMYFUNCTION("GOOGLEFINANCE(""NSE:ICICIPRULI"", ""all"",ConfigSheet!B2 -ConfigSheet!B1,ConfigSheet!B2,ConfigSheet!B3)"),"#N/A")</f>
        <v>#N/A</v>
      </c>
    </row>
  </sheetData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IFERROR(__xludf.DUMMYFUNCTION("GOOGLEFINANCE(""NSE:IDEA"", ""all"",ConfigSheet!B2 -ConfigSheet!B1,ConfigSheet!B2,ConfigSheet!B3)"),"#N/A")</f>
        <v>#N/A</v>
      </c>
    </row>
    <row r="3">
      <c r="C3" s="7"/>
    </row>
  </sheetData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IFERROR(__xludf.DUMMYFUNCTION("GOOGLEFINANCE(""NSE:IDFCFIRSTB"", ""all"",ConfigSheet!B2 -ConfigSheet!B1,ConfigSheet!B2,ConfigSheet!B3)"),"#N/A")</f>
        <v>#N/A</v>
      </c>
    </row>
  </sheetData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IFERROR(__xludf.DUMMYFUNCTION("GOOGLEFINANCE(""NSE:IGL"", ""all"",ConfigSheet!B2 -ConfigSheet!B1,ConfigSheet!B2,ConfigSheet!B3)"),"#N/A")</f>
        <v>#N/A</v>
      </c>
    </row>
  </sheetData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IFERROR(__xludf.DUMMYFUNCTION("GOOGLEFINANCE(""NSE:INDHOTEL"", ""all"",ConfigSheet!B2 -ConfigSheet!B1,ConfigSheet!B2,ConfigSheet!B3)"),"#N/A")</f>
        <v>#N/A</v>
      </c>
    </row>
  </sheetData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IFERROR(__xludf.DUMMYFUNCTION("GOOGLEFINANCE(""NSE:INDIANB"", ""all"",ConfigSheet!B2 -ConfigSheet!B1,ConfigSheet!B2,ConfigSheet!B3)"),"#N/A")</f>
        <v>#N/A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IFERROR(__xludf.DUMMYFUNCTION("GOOGLEFINANCE(""NSE:ADANIPORTS"", ""all"",ConfigSheet!B2 -ConfigSheet!B1,ConfigSheet!B2,ConfigSheet!B3)"),"Date")</f>
        <v>Date</v>
      </c>
      <c r="B1" s="5" t="str">
        <f>IFERROR(__xludf.DUMMYFUNCTION("""COMPUTED_VALUE"""),"Open")</f>
        <v>Open</v>
      </c>
      <c r="C1" s="5" t="str">
        <f>IFERROR(__xludf.DUMMYFUNCTION("""COMPUTED_VALUE"""),"High")</f>
        <v>High</v>
      </c>
      <c r="D1" s="5" t="str">
        <f>IFERROR(__xludf.DUMMYFUNCTION("""COMPUTED_VALUE"""),"Low")</f>
        <v>Low</v>
      </c>
      <c r="E1" s="5" t="str">
        <f>IFERROR(__xludf.DUMMYFUNCTION("""COMPUTED_VALUE"""),"Close")</f>
        <v>Close</v>
      </c>
      <c r="F1" s="5" t="str">
        <f>IFERROR(__xludf.DUMMYFUNCTION("""COMPUTED_VALUE"""),"Volume")</f>
        <v>Volume</v>
      </c>
    </row>
    <row r="2">
      <c r="A2" s="6">
        <f>IFERROR(__xludf.DUMMYFUNCTION("""COMPUTED_VALUE"""),45170.64583333333)</f>
        <v>45170.64583</v>
      </c>
      <c r="B2" s="5">
        <f>IFERROR(__xludf.DUMMYFUNCTION("""COMPUTED_VALUE"""),816.0)</f>
        <v>816</v>
      </c>
      <c r="C2" s="5">
        <f>IFERROR(__xludf.DUMMYFUNCTION("""COMPUTED_VALUE"""),833.0)</f>
        <v>833</v>
      </c>
      <c r="D2" s="5">
        <f>IFERROR(__xludf.DUMMYFUNCTION("""COMPUTED_VALUE"""),779.65)</f>
        <v>779.65</v>
      </c>
      <c r="E2" s="5">
        <f>IFERROR(__xludf.DUMMYFUNCTION("""COMPUTED_VALUE"""),799.5)</f>
        <v>799.5</v>
      </c>
      <c r="F2" s="5">
        <f>IFERROR(__xludf.DUMMYFUNCTION("""COMPUTED_VALUE"""),4.1493486E7)</f>
        <v>41493486</v>
      </c>
    </row>
    <row r="3">
      <c r="A3" s="6">
        <f>IFERROR(__xludf.DUMMYFUNCTION("""COMPUTED_VALUE"""),45177.64583333333)</f>
        <v>45177.64583</v>
      </c>
      <c r="B3" s="5">
        <f>IFERROR(__xludf.DUMMYFUNCTION("""COMPUTED_VALUE"""),807.55)</f>
        <v>807.55</v>
      </c>
      <c r="C3" s="5">
        <f>IFERROR(__xludf.DUMMYFUNCTION("""COMPUTED_VALUE"""),828.8)</f>
        <v>828.8</v>
      </c>
      <c r="D3" s="5">
        <f>IFERROR(__xludf.DUMMYFUNCTION("""COMPUTED_VALUE"""),795.55)</f>
        <v>795.55</v>
      </c>
      <c r="E3" s="5">
        <f>IFERROR(__xludf.DUMMYFUNCTION("""COMPUTED_VALUE"""),825.0)</f>
        <v>825</v>
      </c>
      <c r="F3" s="5">
        <f>IFERROR(__xludf.DUMMYFUNCTION("""COMPUTED_VALUE"""),5.120632E7)</f>
        <v>51206320</v>
      </c>
    </row>
    <row r="4">
      <c r="A4" s="6">
        <f>IFERROR(__xludf.DUMMYFUNCTION("""COMPUTED_VALUE"""),45184.64583333333)</f>
        <v>45184.64583</v>
      </c>
      <c r="B4" s="5">
        <f>IFERROR(__xludf.DUMMYFUNCTION("""COMPUTED_VALUE"""),840.0)</f>
        <v>840</v>
      </c>
      <c r="C4" s="5">
        <f>IFERROR(__xludf.DUMMYFUNCTION("""COMPUTED_VALUE"""),889.5)</f>
        <v>889.5</v>
      </c>
      <c r="D4" s="5">
        <f>IFERROR(__xludf.DUMMYFUNCTION("""COMPUTED_VALUE"""),835.0)</f>
        <v>835</v>
      </c>
      <c r="E4" s="5">
        <f>IFERROR(__xludf.DUMMYFUNCTION("""COMPUTED_VALUE"""),845.65)</f>
        <v>845.65</v>
      </c>
      <c r="F4" s="5">
        <f>IFERROR(__xludf.DUMMYFUNCTION("""COMPUTED_VALUE"""),4.6103776E7)</f>
        <v>46103776</v>
      </c>
    </row>
    <row r="5">
      <c r="A5" s="6">
        <f>IFERROR(__xludf.DUMMYFUNCTION("""COMPUTED_VALUE"""),45191.64583333333)</f>
        <v>45191.64583</v>
      </c>
      <c r="B5" s="5">
        <f>IFERROR(__xludf.DUMMYFUNCTION("""COMPUTED_VALUE"""),848.05)</f>
        <v>848.05</v>
      </c>
      <c r="C5" s="5">
        <f>IFERROR(__xludf.DUMMYFUNCTION("""COMPUTED_VALUE"""),848.05)</f>
        <v>848.05</v>
      </c>
      <c r="D5" s="5">
        <f>IFERROR(__xludf.DUMMYFUNCTION("""COMPUTED_VALUE"""),815.0)</f>
        <v>815</v>
      </c>
      <c r="E5" s="5">
        <f>IFERROR(__xludf.DUMMYFUNCTION("""COMPUTED_VALUE"""),827.05)</f>
        <v>827.05</v>
      </c>
      <c r="F5" s="5">
        <f>IFERROR(__xludf.DUMMYFUNCTION("""COMPUTED_VALUE"""),1.5411442E7)</f>
        <v>15411442</v>
      </c>
    </row>
    <row r="6">
      <c r="A6" s="6">
        <f>IFERROR(__xludf.DUMMYFUNCTION("""COMPUTED_VALUE"""),45198.64583333333)</f>
        <v>45198.64583</v>
      </c>
      <c r="B6" s="5">
        <f>IFERROR(__xludf.DUMMYFUNCTION("""COMPUTED_VALUE"""),828.7)</f>
        <v>828.7</v>
      </c>
      <c r="C6" s="5">
        <f>IFERROR(__xludf.DUMMYFUNCTION("""COMPUTED_VALUE"""),841.35)</f>
        <v>841.35</v>
      </c>
      <c r="D6" s="5">
        <f>IFERROR(__xludf.DUMMYFUNCTION("""COMPUTED_VALUE"""),818.95)</f>
        <v>818.95</v>
      </c>
      <c r="E6" s="5">
        <f>IFERROR(__xludf.DUMMYFUNCTION("""COMPUTED_VALUE"""),825.15)</f>
        <v>825.15</v>
      </c>
      <c r="F6" s="5">
        <f>IFERROR(__xludf.DUMMYFUNCTION("""COMPUTED_VALUE"""),1.2955695E7)</f>
        <v>12955695</v>
      </c>
    </row>
    <row r="7">
      <c r="A7" s="6">
        <f>IFERROR(__xludf.DUMMYFUNCTION("""COMPUTED_VALUE"""),45205.64583333333)</f>
        <v>45205.64583</v>
      </c>
      <c r="B7" s="5">
        <f>IFERROR(__xludf.DUMMYFUNCTION("""COMPUTED_VALUE"""),826.0)</f>
        <v>826</v>
      </c>
      <c r="C7" s="5">
        <f>IFERROR(__xludf.DUMMYFUNCTION("""COMPUTED_VALUE"""),845.45)</f>
        <v>845.45</v>
      </c>
      <c r="D7" s="5">
        <f>IFERROR(__xludf.DUMMYFUNCTION("""COMPUTED_VALUE"""),819.35)</f>
        <v>819.35</v>
      </c>
      <c r="E7" s="5">
        <f>IFERROR(__xludf.DUMMYFUNCTION("""COMPUTED_VALUE"""),830.75)</f>
        <v>830.75</v>
      </c>
      <c r="F7" s="5">
        <f>IFERROR(__xludf.DUMMYFUNCTION("""COMPUTED_VALUE"""),1.05103E7)</f>
        <v>10510300</v>
      </c>
    </row>
    <row r="8">
      <c r="A8" s="6">
        <f>IFERROR(__xludf.DUMMYFUNCTION("""COMPUTED_VALUE"""),45212.64583333333)</f>
        <v>45212.64583</v>
      </c>
      <c r="B8" s="5">
        <f>IFERROR(__xludf.DUMMYFUNCTION("""COMPUTED_VALUE"""),815.0)</f>
        <v>815</v>
      </c>
      <c r="C8" s="5">
        <f>IFERROR(__xludf.DUMMYFUNCTION("""COMPUTED_VALUE"""),827.4)</f>
        <v>827.4</v>
      </c>
      <c r="D8" s="5">
        <f>IFERROR(__xludf.DUMMYFUNCTION("""COMPUTED_VALUE"""),785.0)</f>
        <v>785</v>
      </c>
      <c r="E8" s="5">
        <f>IFERROR(__xludf.DUMMYFUNCTION("""COMPUTED_VALUE"""),813.75)</f>
        <v>813.75</v>
      </c>
      <c r="F8" s="5">
        <f>IFERROR(__xludf.DUMMYFUNCTION("""COMPUTED_VALUE"""),2.3231602E7)</f>
        <v>23231602</v>
      </c>
    </row>
    <row r="9">
      <c r="A9" s="6">
        <f>IFERROR(__xludf.DUMMYFUNCTION("""COMPUTED_VALUE"""),45219.64583333333)</f>
        <v>45219.64583</v>
      </c>
      <c r="B9" s="5">
        <f>IFERROR(__xludf.DUMMYFUNCTION("""COMPUTED_VALUE"""),818.5)</f>
        <v>818.5</v>
      </c>
      <c r="C9" s="5">
        <f>IFERROR(__xludf.DUMMYFUNCTION("""COMPUTED_VALUE"""),818.5)</f>
        <v>818.5</v>
      </c>
      <c r="D9" s="5">
        <f>IFERROR(__xludf.DUMMYFUNCTION("""COMPUTED_VALUE"""),787.45)</f>
        <v>787.45</v>
      </c>
      <c r="E9" s="5">
        <f>IFERROR(__xludf.DUMMYFUNCTION("""COMPUTED_VALUE"""),793.65)</f>
        <v>793.65</v>
      </c>
      <c r="F9" s="5">
        <f>IFERROR(__xludf.DUMMYFUNCTION("""COMPUTED_VALUE"""),1.2396275E7)</f>
        <v>12396275</v>
      </c>
    </row>
    <row r="10">
      <c r="A10" s="6">
        <f>IFERROR(__xludf.DUMMYFUNCTION("""COMPUTED_VALUE"""),45226.64583333333)</f>
        <v>45226.64583</v>
      </c>
      <c r="B10" s="5">
        <f>IFERROR(__xludf.DUMMYFUNCTION("""COMPUTED_VALUE"""),793.65)</f>
        <v>793.65</v>
      </c>
      <c r="C10" s="5">
        <f>IFERROR(__xludf.DUMMYFUNCTION("""COMPUTED_VALUE"""),795.8)</f>
        <v>795.8</v>
      </c>
      <c r="D10" s="5">
        <f>IFERROR(__xludf.DUMMYFUNCTION("""COMPUTED_VALUE"""),754.5)</f>
        <v>754.5</v>
      </c>
      <c r="E10" s="5">
        <f>IFERROR(__xludf.DUMMYFUNCTION("""COMPUTED_VALUE"""),782.4)</f>
        <v>782.4</v>
      </c>
      <c r="F10" s="5">
        <f>IFERROR(__xludf.DUMMYFUNCTION("""COMPUTED_VALUE"""),1.1434637E7)</f>
        <v>11434637</v>
      </c>
    </row>
    <row r="11">
      <c r="A11" s="6">
        <f>IFERROR(__xludf.DUMMYFUNCTION("""COMPUTED_VALUE"""),45233.64583333333)</f>
        <v>45233.64583</v>
      </c>
      <c r="B11" s="5">
        <f>IFERROR(__xludf.DUMMYFUNCTION("""COMPUTED_VALUE"""),785.9)</f>
        <v>785.9</v>
      </c>
      <c r="C11" s="5">
        <f>IFERROR(__xludf.DUMMYFUNCTION("""COMPUTED_VALUE"""),798.8)</f>
        <v>798.8</v>
      </c>
      <c r="D11" s="5">
        <f>IFERROR(__xludf.DUMMYFUNCTION("""COMPUTED_VALUE"""),767.2)</f>
        <v>767.2</v>
      </c>
      <c r="E11" s="5">
        <f>IFERROR(__xludf.DUMMYFUNCTION("""COMPUTED_VALUE"""),795.4)</f>
        <v>795.4</v>
      </c>
      <c r="F11" s="5">
        <f>IFERROR(__xludf.DUMMYFUNCTION("""COMPUTED_VALUE"""),1.509416E7)</f>
        <v>15094160</v>
      </c>
    </row>
    <row r="12">
      <c r="A12" s="6">
        <f>IFERROR(__xludf.DUMMYFUNCTION("""COMPUTED_VALUE"""),45240.64583333333)</f>
        <v>45240.64583</v>
      </c>
      <c r="B12" s="5">
        <f>IFERROR(__xludf.DUMMYFUNCTION("""COMPUTED_VALUE"""),801.5)</f>
        <v>801.5</v>
      </c>
      <c r="C12" s="5">
        <f>IFERROR(__xludf.DUMMYFUNCTION("""COMPUTED_VALUE"""),827.7)</f>
        <v>827.7</v>
      </c>
      <c r="D12" s="5">
        <f>IFERROR(__xludf.DUMMYFUNCTION("""COMPUTED_VALUE"""),796.0)</f>
        <v>796</v>
      </c>
      <c r="E12" s="5">
        <f>IFERROR(__xludf.DUMMYFUNCTION("""COMPUTED_VALUE"""),808.6)</f>
        <v>808.6</v>
      </c>
      <c r="F12" s="5">
        <f>IFERROR(__xludf.DUMMYFUNCTION("""COMPUTED_VALUE"""),1.8673647E7)</f>
        <v>18673647</v>
      </c>
    </row>
    <row r="13">
      <c r="A13" s="6">
        <f>IFERROR(__xludf.DUMMYFUNCTION("""COMPUTED_VALUE"""),45247.64583333333)</f>
        <v>45247.64583</v>
      </c>
      <c r="B13" s="5">
        <f>IFERROR(__xludf.DUMMYFUNCTION("""COMPUTED_VALUE"""),816.7)</f>
        <v>816.7</v>
      </c>
      <c r="C13" s="5">
        <f>IFERROR(__xludf.DUMMYFUNCTION("""COMPUTED_VALUE"""),828.0)</f>
        <v>828</v>
      </c>
      <c r="D13" s="5">
        <f>IFERROR(__xludf.DUMMYFUNCTION("""COMPUTED_VALUE"""),807.5)</f>
        <v>807.5</v>
      </c>
      <c r="E13" s="5">
        <f>IFERROR(__xludf.DUMMYFUNCTION("""COMPUTED_VALUE"""),810.05)</f>
        <v>810.05</v>
      </c>
      <c r="F13" s="5">
        <f>IFERROR(__xludf.DUMMYFUNCTION("""COMPUTED_VALUE"""),7919560.0)</f>
        <v>7919560</v>
      </c>
    </row>
    <row r="14">
      <c r="A14" s="6">
        <f>IFERROR(__xludf.DUMMYFUNCTION("""COMPUTED_VALUE"""),45254.64583333333)</f>
        <v>45254.64583</v>
      </c>
      <c r="B14" s="5">
        <f>IFERROR(__xludf.DUMMYFUNCTION("""COMPUTED_VALUE"""),810.05)</f>
        <v>810.05</v>
      </c>
      <c r="C14" s="5">
        <f>IFERROR(__xludf.DUMMYFUNCTION("""COMPUTED_VALUE"""),816.0)</f>
        <v>816</v>
      </c>
      <c r="D14" s="5">
        <f>IFERROR(__xludf.DUMMYFUNCTION("""COMPUTED_VALUE"""),785.0)</f>
        <v>785</v>
      </c>
      <c r="E14" s="5">
        <f>IFERROR(__xludf.DUMMYFUNCTION("""COMPUTED_VALUE"""),795.55)</f>
        <v>795.55</v>
      </c>
      <c r="F14" s="5">
        <f>IFERROR(__xludf.DUMMYFUNCTION("""COMPUTED_VALUE"""),1.8281617E7)</f>
        <v>18281617</v>
      </c>
    </row>
    <row r="15">
      <c r="A15" s="6">
        <f>IFERROR(__xludf.DUMMYFUNCTION("""COMPUTED_VALUE"""),45261.64583333333)</f>
        <v>45261.64583</v>
      </c>
      <c r="B15" s="5">
        <f>IFERROR(__xludf.DUMMYFUNCTION("""COMPUTED_VALUE"""),806.0)</f>
        <v>806</v>
      </c>
      <c r="C15" s="5">
        <f>IFERROR(__xludf.DUMMYFUNCTION("""COMPUTED_VALUE"""),854.4)</f>
        <v>854.4</v>
      </c>
      <c r="D15" s="5">
        <f>IFERROR(__xludf.DUMMYFUNCTION("""COMPUTED_VALUE"""),806.0)</f>
        <v>806</v>
      </c>
      <c r="E15" s="5">
        <f>IFERROR(__xludf.DUMMYFUNCTION("""COMPUTED_VALUE"""),827.8)</f>
        <v>827.8</v>
      </c>
      <c r="F15" s="5">
        <f>IFERROR(__xludf.DUMMYFUNCTION("""COMPUTED_VALUE"""),3.2918447E7)</f>
        <v>32918447</v>
      </c>
    </row>
    <row r="16">
      <c r="A16" s="6">
        <f>IFERROR(__xludf.DUMMYFUNCTION("""COMPUTED_VALUE"""),45268.64583333333)</f>
        <v>45268.64583</v>
      </c>
      <c r="B16" s="5">
        <f>IFERROR(__xludf.DUMMYFUNCTION("""COMPUTED_VALUE"""),865.0)</f>
        <v>865</v>
      </c>
      <c r="C16" s="5">
        <f>IFERROR(__xludf.DUMMYFUNCTION("""COMPUTED_VALUE"""),1082.5)</f>
        <v>1082.5</v>
      </c>
      <c r="D16" s="5">
        <f>IFERROR(__xludf.DUMMYFUNCTION("""COMPUTED_VALUE"""),858.5)</f>
        <v>858.5</v>
      </c>
      <c r="E16" s="5">
        <f>IFERROR(__xludf.DUMMYFUNCTION("""COMPUTED_VALUE"""),1022.95)</f>
        <v>1022.95</v>
      </c>
      <c r="F16" s="5">
        <f>IFERROR(__xludf.DUMMYFUNCTION("""COMPUTED_VALUE"""),1.25680697E8)</f>
        <v>125680697</v>
      </c>
    </row>
    <row r="17">
      <c r="A17" s="6">
        <f>IFERROR(__xludf.DUMMYFUNCTION("""COMPUTED_VALUE"""),45275.64583333333)</f>
        <v>45275.64583</v>
      </c>
      <c r="B17" s="5">
        <f>IFERROR(__xludf.DUMMYFUNCTION("""COMPUTED_VALUE"""),1026.8)</f>
        <v>1026.8</v>
      </c>
      <c r="C17" s="5">
        <f>IFERROR(__xludf.DUMMYFUNCTION("""COMPUTED_VALUE"""),1089.9)</f>
        <v>1089.9</v>
      </c>
      <c r="D17" s="5">
        <f>IFERROR(__xludf.DUMMYFUNCTION("""COMPUTED_VALUE"""),1015.65)</f>
        <v>1015.65</v>
      </c>
      <c r="E17" s="5">
        <f>IFERROR(__xludf.DUMMYFUNCTION("""COMPUTED_VALUE"""),1078.55)</f>
        <v>1078.55</v>
      </c>
      <c r="F17" s="5">
        <f>IFERROR(__xludf.DUMMYFUNCTION("""COMPUTED_VALUE"""),4.0620512E7)</f>
        <v>40620512</v>
      </c>
    </row>
    <row r="18">
      <c r="A18" s="6">
        <f>IFERROR(__xludf.DUMMYFUNCTION("""COMPUTED_VALUE"""),45282.64583333333)</f>
        <v>45282.64583</v>
      </c>
      <c r="B18" s="5">
        <f>IFERROR(__xludf.DUMMYFUNCTION("""COMPUTED_VALUE"""),1079.0)</f>
        <v>1079</v>
      </c>
      <c r="C18" s="5">
        <f>IFERROR(__xludf.DUMMYFUNCTION("""COMPUTED_VALUE"""),1102.4)</f>
        <v>1102.4</v>
      </c>
      <c r="D18" s="5">
        <f>IFERROR(__xludf.DUMMYFUNCTION("""COMPUTED_VALUE"""),989.25)</f>
        <v>989.25</v>
      </c>
      <c r="E18" s="5">
        <f>IFERROR(__xludf.DUMMYFUNCTION("""COMPUTED_VALUE"""),1027.5)</f>
        <v>1027.5</v>
      </c>
      <c r="F18" s="5">
        <f>IFERROR(__xludf.DUMMYFUNCTION("""COMPUTED_VALUE"""),3.0513321E7)</f>
        <v>30513321</v>
      </c>
    </row>
    <row r="19">
      <c r="A19" s="6">
        <f>IFERROR(__xludf.DUMMYFUNCTION("""COMPUTED_VALUE"""),45289.64583333333)</f>
        <v>45289.64583</v>
      </c>
      <c r="B19" s="5">
        <f>IFERROR(__xludf.DUMMYFUNCTION("""COMPUTED_VALUE"""),1034.1)</f>
        <v>1034.1</v>
      </c>
      <c r="C19" s="5">
        <f>IFERROR(__xludf.DUMMYFUNCTION("""COMPUTED_VALUE"""),1041.0)</f>
        <v>1041</v>
      </c>
      <c r="D19" s="5">
        <f>IFERROR(__xludf.DUMMYFUNCTION("""COMPUTED_VALUE"""),1014.65)</f>
        <v>1014.65</v>
      </c>
      <c r="E19" s="5">
        <f>IFERROR(__xludf.DUMMYFUNCTION("""COMPUTED_VALUE"""),1024.35)</f>
        <v>1024.35</v>
      </c>
      <c r="F19" s="5">
        <f>IFERROR(__xludf.DUMMYFUNCTION("""COMPUTED_VALUE"""),1.2275625E7)</f>
        <v>12275625</v>
      </c>
    </row>
    <row r="20">
      <c r="A20" s="6">
        <f>IFERROR(__xludf.DUMMYFUNCTION("""COMPUTED_VALUE"""),45296.64583333333)</f>
        <v>45296.64583</v>
      </c>
      <c r="B20" s="5">
        <f>IFERROR(__xludf.DUMMYFUNCTION("""COMPUTED_VALUE"""),1026.55)</f>
        <v>1026.55</v>
      </c>
      <c r="C20" s="5">
        <f>IFERROR(__xludf.DUMMYFUNCTION("""COMPUTED_VALUE"""),1160.0)</f>
        <v>1160</v>
      </c>
      <c r="D20" s="5">
        <f>IFERROR(__xludf.DUMMYFUNCTION("""COMPUTED_VALUE"""),1023.0)</f>
        <v>1023</v>
      </c>
      <c r="E20" s="5">
        <f>IFERROR(__xludf.DUMMYFUNCTION("""COMPUTED_VALUE"""),1154.25)</f>
        <v>1154.25</v>
      </c>
      <c r="F20" s="5">
        <f>IFERROR(__xludf.DUMMYFUNCTION("""COMPUTED_VALUE"""),6.3789894E7)</f>
        <v>63789894</v>
      </c>
    </row>
    <row r="21">
      <c r="A21" s="6">
        <f>IFERROR(__xludf.DUMMYFUNCTION("""COMPUTED_VALUE"""),45303.64583333333)</f>
        <v>45303.64583</v>
      </c>
      <c r="B21" s="5">
        <f>IFERROR(__xludf.DUMMYFUNCTION("""COMPUTED_VALUE"""),1160.0)</f>
        <v>1160</v>
      </c>
      <c r="C21" s="5">
        <f>IFERROR(__xludf.DUMMYFUNCTION("""COMPUTED_VALUE"""),1229.9)</f>
        <v>1229.9</v>
      </c>
      <c r="D21" s="5">
        <f>IFERROR(__xludf.DUMMYFUNCTION("""COMPUTED_VALUE"""),1152.0)</f>
        <v>1152</v>
      </c>
      <c r="E21" s="5">
        <f>IFERROR(__xludf.DUMMYFUNCTION("""COMPUTED_VALUE"""),1207.1)</f>
        <v>1207.1</v>
      </c>
      <c r="F21" s="5">
        <f>IFERROR(__xludf.DUMMYFUNCTION("""COMPUTED_VALUE"""),3.8131907E7)</f>
        <v>38131907</v>
      </c>
    </row>
    <row r="22">
      <c r="A22" s="6">
        <f>IFERROR(__xludf.DUMMYFUNCTION("""COMPUTED_VALUE"""),45316.64583333333)</f>
        <v>45316.64583</v>
      </c>
      <c r="B22" s="5">
        <f>IFERROR(__xludf.DUMMYFUNCTION("""COMPUTED_VALUE"""),1199.15)</f>
        <v>1199.15</v>
      </c>
      <c r="C22" s="5">
        <f>IFERROR(__xludf.DUMMYFUNCTION("""COMPUTED_VALUE"""),1207.2)</f>
        <v>1207.2</v>
      </c>
      <c r="D22" s="5">
        <f>IFERROR(__xludf.DUMMYFUNCTION("""COMPUTED_VALUE"""),1111.6)</f>
        <v>1111.6</v>
      </c>
      <c r="E22" s="5">
        <f>IFERROR(__xludf.DUMMYFUNCTION("""COMPUTED_VALUE"""),1146.3)</f>
        <v>1146.3</v>
      </c>
      <c r="F22" s="5">
        <f>IFERROR(__xludf.DUMMYFUNCTION("""COMPUTED_VALUE"""),2.9879969E7)</f>
        <v>29879969</v>
      </c>
    </row>
    <row r="23">
      <c r="A23" s="6">
        <f>IFERROR(__xludf.DUMMYFUNCTION("""COMPUTED_VALUE"""),45324.64583333333)</f>
        <v>45324.64583</v>
      </c>
      <c r="B23" s="5">
        <f>IFERROR(__xludf.DUMMYFUNCTION("""COMPUTED_VALUE"""),1155.0)</f>
        <v>1155</v>
      </c>
      <c r="C23" s="5">
        <f>IFERROR(__xludf.DUMMYFUNCTION("""COMPUTED_VALUE"""),1287.5)</f>
        <v>1287.5</v>
      </c>
      <c r="D23" s="5">
        <f>IFERROR(__xludf.DUMMYFUNCTION("""COMPUTED_VALUE"""),1151.0)</f>
        <v>1151</v>
      </c>
      <c r="E23" s="5">
        <f>IFERROR(__xludf.DUMMYFUNCTION("""COMPUTED_VALUE"""),1261.45)</f>
        <v>1261.45</v>
      </c>
      <c r="F23" s="5">
        <f>IFERROR(__xludf.DUMMYFUNCTION("""COMPUTED_VALUE"""),3.4845859E7)</f>
        <v>34845859</v>
      </c>
    </row>
    <row r="24">
      <c r="A24" s="6">
        <f>IFERROR(__xludf.DUMMYFUNCTION("""COMPUTED_VALUE"""),45331.64583333333)</f>
        <v>45331.64583</v>
      </c>
      <c r="B24" s="5">
        <f>IFERROR(__xludf.DUMMYFUNCTION("""COMPUTED_VALUE"""),1269.5)</f>
        <v>1269.5</v>
      </c>
      <c r="C24" s="5">
        <f>IFERROR(__xludf.DUMMYFUNCTION("""COMPUTED_VALUE"""),1291.25)</f>
        <v>1291.25</v>
      </c>
      <c r="D24" s="5">
        <f>IFERROR(__xludf.DUMMYFUNCTION("""COMPUTED_VALUE"""),1232.1)</f>
        <v>1232.1</v>
      </c>
      <c r="E24" s="5">
        <f>IFERROR(__xludf.DUMMYFUNCTION("""COMPUTED_VALUE"""),1271.5)</f>
        <v>1271.5</v>
      </c>
      <c r="F24" s="5">
        <f>IFERROR(__xludf.DUMMYFUNCTION("""COMPUTED_VALUE"""),2.0271836E7)</f>
        <v>20271836</v>
      </c>
    </row>
    <row r="25">
      <c r="A25" s="6">
        <f>IFERROR(__xludf.DUMMYFUNCTION("""COMPUTED_VALUE"""),45338.64583333333)</f>
        <v>45338.64583</v>
      </c>
      <c r="B25" s="5">
        <f>IFERROR(__xludf.DUMMYFUNCTION("""COMPUTED_VALUE"""),1278.0)</f>
        <v>1278</v>
      </c>
      <c r="C25" s="5">
        <f>IFERROR(__xludf.DUMMYFUNCTION("""COMPUTED_VALUE"""),1311.0)</f>
        <v>1311</v>
      </c>
      <c r="D25" s="5">
        <f>IFERROR(__xludf.DUMMYFUNCTION("""COMPUTED_VALUE"""),1226.65)</f>
        <v>1226.65</v>
      </c>
      <c r="E25" s="5">
        <f>IFERROR(__xludf.DUMMYFUNCTION("""COMPUTED_VALUE"""),1306.85)</f>
        <v>1306.85</v>
      </c>
      <c r="F25" s="5">
        <f>IFERROR(__xludf.DUMMYFUNCTION("""COMPUTED_VALUE"""),1.6691829E7)</f>
        <v>16691829</v>
      </c>
    </row>
    <row r="26">
      <c r="A26" s="6">
        <f>IFERROR(__xludf.DUMMYFUNCTION("""COMPUTED_VALUE"""),45345.64583333333)</f>
        <v>45345.64583</v>
      </c>
      <c r="B26" s="5">
        <f>IFERROR(__xludf.DUMMYFUNCTION("""COMPUTED_VALUE"""),1313.4)</f>
        <v>1313.4</v>
      </c>
      <c r="C26" s="5">
        <f>IFERROR(__xludf.DUMMYFUNCTION("""COMPUTED_VALUE"""),1332.0)</f>
        <v>1332</v>
      </c>
      <c r="D26" s="5">
        <f>IFERROR(__xludf.DUMMYFUNCTION("""COMPUTED_VALUE"""),1281.0)</f>
        <v>1281</v>
      </c>
      <c r="E26" s="5">
        <f>IFERROR(__xludf.DUMMYFUNCTION("""COMPUTED_VALUE"""),1320.7)</f>
        <v>1320.7</v>
      </c>
      <c r="F26" s="5">
        <f>IFERROR(__xludf.DUMMYFUNCTION("""COMPUTED_VALUE"""),1.2808306E7)</f>
        <v>12808306</v>
      </c>
    </row>
    <row r="27">
      <c r="A27" s="6">
        <f>IFERROR(__xludf.DUMMYFUNCTION("""COMPUTED_VALUE"""),45358.64583333333)</f>
        <v>45358.64583</v>
      </c>
      <c r="B27" s="5">
        <f>IFERROR(__xludf.DUMMYFUNCTION("""COMPUTED_VALUE"""),1345.25)</f>
        <v>1345.25</v>
      </c>
      <c r="C27" s="5">
        <f>IFERROR(__xludf.DUMMYFUNCTION("""COMPUTED_VALUE"""),1356.55)</f>
        <v>1356.55</v>
      </c>
      <c r="D27" s="5">
        <f>IFERROR(__xludf.DUMMYFUNCTION("""COMPUTED_VALUE"""),1304.0)</f>
        <v>1304</v>
      </c>
      <c r="E27" s="5">
        <f>IFERROR(__xludf.DUMMYFUNCTION("""COMPUTED_VALUE"""),1325.45)</f>
        <v>1325.45</v>
      </c>
      <c r="F27" s="5">
        <f>IFERROR(__xludf.DUMMYFUNCTION("""COMPUTED_VALUE"""),8384881.0)</f>
        <v>8384881</v>
      </c>
    </row>
    <row r="28">
      <c r="A28" s="6">
        <f>IFERROR(__xludf.DUMMYFUNCTION("""COMPUTED_VALUE"""),45366.64583333333)</f>
        <v>45366.64583</v>
      </c>
      <c r="B28" s="5">
        <f>IFERROR(__xludf.DUMMYFUNCTION("""COMPUTED_VALUE"""),1331.0)</f>
        <v>1331</v>
      </c>
      <c r="C28" s="5">
        <f>IFERROR(__xludf.DUMMYFUNCTION("""COMPUTED_VALUE"""),1346.95)</f>
        <v>1346.95</v>
      </c>
      <c r="D28" s="5">
        <f>IFERROR(__xludf.DUMMYFUNCTION("""COMPUTED_VALUE"""),1188.1)</f>
        <v>1188.1</v>
      </c>
      <c r="E28" s="5">
        <f>IFERROR(__xludf.DUMMYFUNCTION("""COMPUTED_VALUE"""),1283.0)</f>
        <v>1283</v>
      </c>
      <c r="F28" s="5">
        <f>IFERROR(__xludf.DUMMYFUNCTION("""COMPUTED_VALUE"""),2.5247966E7)</f>
        <v>25247966</v>
      </c>
    </row>
    <row r="29">
      <c r="A29" s="6">
        <f>IFERROR(__xludf.DUMMYFUNCTION("""COMPUTED_VALUE"""),45373.64583333333)</f>
        <v>45373.64583</v>
      </c>
      <c r="B29" s="5">
        <f>IFERROR(__xludf.DUMMYFUNCTION("""COMPUTED_VALUE"""),1250.0)</f>
        <v>1250</v>
      </c>
      <c r="C29" s="5">
        <f>IFERROR(__xludf.DUMMYFUNCTION("""COMPUTED_VALUE"""),1289.1)</f>
        <v>1289.1</v>
      </c>
      <c r="D29" s="5">
        <f>IFERROR(__xludf.DUMMYFUNCTION("""COMPUTED_VALUE"""),1227.25)</f>
        <v>1227.25</v>
      </c>
      <c r="E29" s="5">
        <f>IFERROR(__xludf.DUMMYFUNCTION("""COMPUTED_VALUE"""),1281.6)</f>
        <v>1281.6</v>
      </c>
      <c r="F29" s="5">
        <f>IFERROR(__xludf.DUMMYFUNCTION("""COMPUTED_VALUE"""),1.6174355E7)</f>
        <v>16174355</v>
      </c>
    </row>
    <row r="30">
      <c r="A30" s="6">
        <f>IFERROR(__xludf.DUMMYFUNCTION("""COMPUTED_VALUE"""),45379.64583333333)</f>
        <v>45379.64583</v>
      </c>
      <c r="B30" s="5">
        <f>IFERROR(__xludf.DUMMYFUNCTION("""COMPUTED_VALUE"""),1281.6)</f>
        <v>1281.6</v>
      </c>
      <c r="C30" s="5">
        <f>IFERROR(__xludf.DUMMYFUNCTION("""COMPUTED_VALUE"""),1358.7)</f>
        <v>1358.7</v>
      </c>
      <c r="D30" s="5">
        <f>IFERROR(__xludf.DUMMYFUNCTION("""COMPUTED_VALUE"""),1281.0)</f>
        <v>1281</v>
      </c>
      <c r="E30" s="5">
        <f>IFERROR(__xludf.DUMMYFUNCTION("""COMPUTED_VALUE"""),1341.85)</f>
        <v>1341.85</v>
      </c>
      <c r="F30" s="5">
        <f>IFERROR(__xludf.DUMMYFUNCTION("""COMPUTED_VALUE"""),1.2737785E7)</f>
        <v>12737785</v>
      </c>
    </row>
    <row r="31">
      <c r="A31" s="6">
        <f>IFERROR(__xludf.DUMMYFUNCTION("""COMPUTED_VALUE"""),45387.64583333333)</f>
        <v>45387.64583</v>
      </c>
      <c r="B31" s="5">
        <f>IFERROR(__xludf.DUMMYFUNCTION("""COMPUTED_VALUE"""),1356.8)</f>
        <v>1356.8</v>
      </c>
      <c r="C31" s="5">
        <f>IFERROR(__xludf.DUMMYFUNCTION("""COMPUTED_VALUE"""),1424.95)</f>
        <v>1424.95</v>
      </c>
      <c r="D31" s="5">
        <f>IFERROR(__xludf.DUMMYFUNCTION("""COMPUTED_VALUE"""),1350.25)</f>
        <v>1350.25</v>
      </c>
      <c r="E31" s="5">
        <f>IFERROR(__xludf.DUMMYFUNCTION("""COMPUTED_VALUE"""),1375.55)</f>
        <v>1375.55</v>
      </c>
      <c r="F31" s="5">
        <f>IFERROR(__xludf.DUMMYFUNCTION("""COMPUTED_VALUE"""),1.7798862E7)</f>
        <v>17798862</v>
      </c>
    </row>
    <row r="32">
      <c r="A32" s="6">
        <f>IFERROR(__xludf.DUMMYFUNCTION("""COMPUTED_VALUE"""),45394.64583333333)</f>
        <v>45394.64583</v>
      </c>
      <c r="B32" s="5">
        <f>IFERROR(__xludf.DUMMYFUNCTION("""COMPUTED_VALUE"""),1381.95)</f>
        <v>1381.95</v>
      </c>
      <c r="C32" s="5">
        <f>IFERROR(__xludf.DUMMYFUNCTION("""COMPUTED_VALUE"""),1381.95)</f>
        <v>1381.95</v>
      </c>
      <c r="D32" s="5">
        <f>IFERROR(__xludf.DUMMYFUNCTION("""COMPUTED_VALUE"""),1337.0)</f>
        <v>1337</v>
      </c>
      <c r="E32" s="5">
        <f>IFERROR(__xludf.DUMMYFUNCTION("""COMPUTED_VALUE"""),1344.2)</f>
        <v>1344.2</v>
      </c>
      <c r="F32" s="5">
        <f>IFERROR(__xludf.DUMMYFUNCTION("""COMPUTED_VALUE"""),2.2141892E7)</f>
        <v>22141892</v>
      </c>
    </row>
    <row r="33">
      <c r="A33" s="6">
        <f>IFERROR(__xludf.DUMMYFUNCTION("""COMPUTED_VALUE"""),45401.64583333333)</f>
        <v>45401.64583</v>
      </c>
      <c r="B33" s="5">
        <f>IFERROR(__xludf.DUMMYFUNCTION("""COMPUTED_VALUE"""),1320.0)</f>
        <v>1320</v>
      </c>
      <c r="C33" s="5">
        <f>IFERROR(__xludf.DUMMYFUNCTION("""COMPUTED_VALUE"""),1336.5)</f>
        <v>1336.5</v>
      </c>
      <c r="D33" s="5">
        <f>IFERROR(__xludf.DUMMYFUNCTION("""COMPUTED_VALUE"""),1270.0)</f>
        <v>1270</v>
      </c>
      <c r="E33" s="5">
        <f>IFERROR(__xludf.DUMMYFUNCTION("""COMPUTED_VALUE"""),1310.0)</f>
        <v>1310</v>
      </c>
      <c r="F33" s="5">
        <f>IFERROR(__xludf.DUMMYFUNCTION("""COMPUTED_VALUE"""),1.6187516E7)</f>
        <v>16187516</v>
      </c>
    </row>
    <row r="34">
      <c r="A34" s="6">
        <f>IFERROR(__xludf.DUMMYFUNCTION("""COMPUTED_VALUE"""),45408.64583333333)</f>
        <v>45408.64583</v>
      </c>
      <c r="B34" s="5">
        <f>IFERROR(__xludf.DUMMYFUNCTION("""COMPUTED_VALUE"""),1321.1)</f>
        <v>1321.1</v>
      </c>
      <c r="C34" s="5">
        <f>IFERROR(__xludf.DUMMYFUNCTION("""COMPUTED_VALUE"""),1341.6)</f>
        <v>1341.6</v>
      </c>
      <c r="D34" s="5">
        <f>IFERROR(__xludf.DUMMYFUNCTION("""COMPUTED_VALUE"""),1315.0)</f>
        <v>1315</v>
      </c>
      <c r="E34" s="5">
        <f>IFERROR(__xludf.DUMMYFUNCTION("""COMPUTED_VALUE"""),1324.6)</f>
        <v>1324.6</v>
      </c>
      <c r="F34" s="5">
        <f>IFERROR(__xludf.DUMMYFUNCTION("""COMPUTED_VALUE"""),2.3966614E7)</f>
        <v>23966614</v>
      </c>
    </row>
    <row r="35">
      <c r="A35" s="6">
        <f>IFERROR(__xludf.DUMMYFUNCTION("""COMPUTED_VALUE"""),45415.64583333333)</f>
        <v>45415.64583</v>
      </c>
      <c r="B35" s="5">
        <f>IFERROR(__xludf.DUMMYFUNCTION("""COMPUTED_VALUE"""),1334.3)</f>
        <v>1334.3</v>
      </c>
      <c r="C35" s="5">
        <f>IFERROR(__xludf.DUMMYFUNCTION("""COMPUTED_VALUE"""),1354.0)</f>
        <v>1354</v>
      </c>
      <c r="D35" s="5">
        <f>IFERROR(__xludf.DUMMYFUNCTION("""COMPUTED_VALUE"""),1306.55)</f>
        <v>1306.55</v>
      </c>
      <c r="E35" s="5">
        <f>IFERROR(__xludf.DUMMYFUNCTION("""COMPUTED_VALUE"""),1320.3)</f>
        <v>1320.3</v>
      </c>
      <c r="F35" s="5">
        <f>IFERROR(__xludf.DUMMYFUNCTION("""COMPUTED_VALUE"""),1.6032968E7)</f>
        <v>16032968</v>
      </c>
    </row>
    <row r="36">
      <c r="A36" s="6">
        <f>IFERROR(__xludf.DUMMYFUNCTION("""COMPUTED_VALUE"""),45422.64583333333)</f>
        <v>45422.64583</v>
      </c>
      <c r="B36" s="5">
        <f>IFERROR(__xludf.DUMMYFUNCTION("""COMPUTED_VALUE"""),1322.5)</f>
        <v>1322.5</v>
      </c>
      <c r="C36" s="5">
        <f>IFERROR(__xludf.DUMMYFUNCTION("""COMPUTED_VALUE"""),1322.5)</f>
        <v>1322.5</v>
      </c>
      <c r="D36" s="5">
        <f>IFERROR(__xludf.DUMMYFUNCTION("""COMPUTED_VALUE"""),1240.0)</f>
        <v>1240</v>
      </c>
      <c r="E36" s="5">
        <f>IFERROR(__xludf.DUMMYFUNCTION("""COMPUTED_VALUE"""),1266.75)</f>
        <v>1266.75</v>
      </c>
      <c r="F36" s="5">
        <f>IFERROR(__xludf.DUMMYFUNCTION("""COMPUTED_VALUE"""),1.3716474E7)</f>
        <v>13716474</v>
      </c>
    </row>
    <row r="37">
      <c r="A37" s="6">
        <f>IFERROR(__xludf.DUMMYFUNCTION("""COMPUTED_VALUE"""),45436.64583333333)</f>
        <v>45436.64583</v>
      </c>
      <c r="B37" s="5">
        <f>IFERROR(__xludf.DUMMYFUNCTION("""COMPUTED_VALUE"""),1344.0)</f>
        <v>1344</v>
      </c>
      <c r="C37" s="5">
        <f>IFERROR(__xludf.DUMMYFUNCTION("""COMPUTED_VALUE"""),1448.8)</f>
        <v>1448.8</v>
      </c>
      <c r="D37" s="5">
        <f>IFERROR(__xludf.DUMMYFUNCTION("""COMPUTED_VALUE"""),1333.0)</f>
        <v>1333</v>
      </c>
      <c r="E37" s="5">
        <f>IFERROR(__xludf.DUMMYFUNCTION("""COMPUTED_VALUE"""),1416.1)</f>
        <v>1416.1</v>
      </c>
      <c r="F37" s="5">
        <f>IFERROR(__xludf.DUMMYFUNCTION("""COMPUTED_VALUE"""),3.3000437E7)</f>
        <v>33000437</v>
      </c>
    </row>
    <row r="38">
      <c r="A38" s="6">
        <f>IFERROR(__xludf.DUMMYFUNCTION("""COMPUTED_VALUE"""),45443.64583333333)</f>
        <v>45443.64583</v>
      </c>
      <c r="B38" s="5">
        <f>IFERROR(__xludf.DUMMYFUNCTION("""COMPUTED_VALUE"""),1445.0)</f>
        <v>1445</v>
      </c>
      <c r="C38" s="5">
        <f>IFERROR(__xludf.DUMMYFUNCTION("""COMPUTED_VALUE"""),1457.05)</f>
        <v>1457.05</v>
      </c>
      <c r="D38" s="5">
        <f>IFERROR(__xludf.DUMMYFUNCTION("""COMPUTED_VALUE"""),1373.65)</f>
        <v>1373.65</v>
      </c>
      <c r="E38" s="5">
        <f>IFERROR(__xludf.DUMMYFUNCTION("""COMPUTED_VALUE"""),1437.4)</f>
        <v>1437.4</v>
      </c>
      <c r="F38" s="5">
        <f>IFERROR(__xludf.DUMMYFUNCTION("""COMPUTED_VALUE"""),2.4519069E7)</f>
        <v>24519069</v>
      </c>
    </row>
    <row r="39">
      <c r="A39" s="6">
        <f>IFERROR(__xludf.DUMMYFUNCTION("""COMPUTED_VALUE"""),45450.64583333333)</f>
        <v>45450.64583</v>
      </c>
      <c r="B39" s="5">
        <f>IFERROR(__xludf.DUMMYFUNCTION("""COMPUTED_VALUE"""),1549.0)</f>
        <v>1549</v>
      </c>
      <c r="C39" s="5">
        <f>IFERROR(__xludf.DUMMYFUNCTION("""COMPUTED_VALUE"""),1621.4)</f>
        <v>1621.4</v>
      </c>
      <c r="D39" s="5">
        <f>IFERROR(__xludf.DUMMYFUNCTION("""COMPUTED_VALUE"""),1160.6)</f>
        <v>1160.6</v>
      </c>
      <c r="E39" s="5">
        <f>IFERROR(__xludf.DUMMYFUNCTION("""COMPUTED_VALUE"""),1378.85)</f>
        <v>1378.85</v>
      </c>
      <c r="F39" s="5">
        <f>IFERROR(__xludf.DUMMYFUNCTION("""COMPUTED_VALUE"""),1.14425754E8)</f>
        <v>114425754</v>
      </c>
    </row>
    <row r="40">
      <c r="A40" s="6">
        <f>IFERROR(__xludf.DUMMYFUNCTION("""COMPUTED_VALUE"""),45457.64583333333)</f>
        <v>45457.64583</v>
      </c>
      <c r="B40" s="5">
        <f>IFERROR(__xludf.DUMMYFUNCTION("""COMPUTED_VALUE"""),1404.0)</f>
        <v>1404</v>
      </c>
      <c r="C40" s="5">
        <f>IFERROR(__xludf.DUMMYFUNCTION("""COMPUTED_VALUE"""),1442.0)</f>
        <v>1442</v>
      </c>
      <c r="D40" s="5">
        <f>IFERROR(__xludf.DUMMYFUNCTION("""COMPUTED_VALUE"""),1381.25)</f>
        <v>1381.25</v>
      </c>
      <c r="E40" s="5">
        <f>IFERROR(__xludf.DUMMYFUNCTION("""COMPUTED_VALUE"""),1430.7)</f>
        <v>1430.7</v>
      </c>
      <c r="F40" s="5">
        <f>IFERROR(__xludf.DUMMYFUNCTION("""COMPUTED_VALUE"""),2.0715027E7)</f>
        <v>20715027</v>
      </c>
    </row>
    <row r="41">
      <c r="A41" s="6">
        <f>IFERROR(__xludf.DUMMYFUNCTION("""COMPUTED_VALUE"""),45464.64583333333)</f>
        <v>45464.64583</v>
      </c>
      <c r="B41" s="5">
        <f>IFERROR(__xludf.DUMMYFUNCTION("""COMPUTED_VALUE"""),1447.0)</f>
        <v>1447</v>
      </c>
      <c r="C41" s="5">
        <f>IFERROR(__xludf.DUMMYFUNCTION("""COMPUTED_VALUE"""),1498.9)</f>
        <v>1498.9</v>
      </c>
      <c r="D41" s="5">
        <f>IFERROR(__xludf.DUMMYFUNCTION("""COMPUTED_VALUE"""),1420.45)</f>
        <v>1420.45</v>
      </c>
      <c r="E41" s="5">
        <f>IFERROR(__xludf.DUMMYFUNCTION("""COMPUTED_VALUE"""),1485.5)</f>
        <v>1485.5</v>
      </c>
      <c r="F41" s="5">
        <f>IFERROR(__xludf.DUMMYFUNCTION("""COMPUTED_VALUE"""),4.0934136E7)</f>
        <v>40934136</v>
      </c>
    </row>
    <row r="42">
      <c r="A42" s="6">
        <f>IFERROR(__xludf.DUMMYFUNCTION("""COMPUTED_VALUE"""),45471.64583333333)</f>
        <v>45471.64583</v>
      </c>
      <c r="B42" s="5">
        <f>IFERROR(__xludf.DUMMYFUNCTION("""COMPUTED_VALUE"""),1474.85)</f>
        <v>1474.85</v>
      </c>
      <c r="C42" s="5">
        <f>IFERROR(__xludf.DUMMYFUNCTION("""COMPUTED_VALUE"""),1494.0)</f>
        <v>1494</v>
      </c>
      <c r="D42" s="5">
        <f>IFERROR(__xludf.DUMMYFUNCTION("""COMPUTED_VALUE"""),1437.0)</f>
        <v>1437</v>
      </c>
      <c r="E42" s="5">
        <f>IFERROR(__xludf.DUMMYFUNCTION("""COMPUTED_VALUE"""),1478.1)</f>
        <v>1478.1</v>
      </c>
      <c r="F42" s="5">
        <f>IFERROR(__xludf.DUMMYFUNCTION("""COMPUTED_VALUE"""),2.8909237E7)</f>
        <v>28909237</v>
      </c>
    </row>
    <row r="43">
      <c r="A43" s="6">
        <f>IFERROR(__xludf.DUMMYFUNCTION("""COMPUTED_VALUE"""),45478.64583333333)</f>
        <v>45478.64583</v>
      </c>
      <c r="B43" s="5">
        <f>IFERROR(__xludf.DUMMYFUNCTION("""COMPUTED_VALUE"""),1483.0)</f>
        <v>1483</v>
      </c>
      <c r="C43" s="5">
        <f>IFERROR(__xludf.DUMMYFUNCTION("""COMPUTED_VALUE"""),1520.0)</f>
        <v>1520</v>
      </c>
      <c r="D43" s="5">
        <f>IFERROR(__xludf.DUMMYFUNCTION("""COMPUTED_VALUE"""),1455.05)</f>
        <v>1455.05</v>
      </c>
      <c r="E43" s="5">
        <f>IFERROR(__xludf.DUMMYFUNCTION("""COMPUTED_VALUE"""),1500.45)</f>
        <v>1500.45</v>
      </c>
      <c r="F43" s="5">
        <f>IFERROR(__xludf.DUMMYFUNCTION("""COMPUTED_VALUE"""),1.8269328E7)</f>
        <v>18269328</v>
      </c>
    </row>
    <row r="44">
      <c r="A44" s="6">
        <f>IFERROR(__xludf.DUMMYFUNCTION("""COMPUTED_VALUE"""),45485.64583333333)</f>
        <v>45485.64583</v>
      </c>
      <c r="B44" s="5">
        <f>IFERROR(__xludf.DUMMYFUNCTION("""COMPUTED_VALUE"""),1496.0)</f>
        <v>1496</v>
      </c>
      <c r="C44" s="5">
        <f>IFERROR(__xludf.DUMMYFUNCTION("""COMPUTED_VALUE"""),1503.95)</f>
        <v>1503.95</v>
      </c>
      <c r="D44" s="5">
        <f>IFERROR(__xludf.DUMMYFUNCTION("""COMPUTED_VALUE"""),1460.0)</f>
        <v>1460</v>
      </c>
      <c r="E44" s="5">
        <f>IFERROR(__xludf.DUMMYFUNCTION("""COMPUTED_VALUE"""),1486.7)</f>
        <v>1486.7</v>
      </c>
      <c r="F44" s="5">
        <f>IFERROR(__xludf.DUMMYFUNCTION("""COMPUTED_VALUE"""),1.0300965E7)</f>
        <v>10300965</v>
      </c>
    </row>
    <row r="45">
      <c r="A45" s="6">
        <f>IFERROR(__xludf.DUMMYFUNCTION("""COMPUTED_VALUE"""),45492.64583333333)</f>
        <v>45492.64583</v>
      </c>
      <c r="B45" s="5">
        <f>IFERROR(__xludf.DUMMYFUNCTION("""COMPUTED_VALUE"""),1494.0)</f>
        <v>1494</v>
      </c>
      <c r="C45" s="5">
        <f>IFERROR(__xludf.DUMMYFUNCTION("""COMPUTED_VALUE"""),1510.6)</f>
        <v>1510.6</v>
      </c>
      <c r="D45" s="5">
        <f>IFERROR(__xludf.DUMMYFUNCTION("""COMPUTED_VALUE"""),1465.5)</f>
        <v>1465.5</v>
      </c>
      <c r="E45" s="5">
        <f>IFERROR(__xludf.DUMMYFUNCTION("""COMPUTED_VALUE"""),1469.3)</f>
        <v>1469.3</v>
      </c>
      <c r="F45" s="5">
        <f>IFERROR(__xludf.DUMMYFUNCTION("""COMPUTED_VALUE"""),9915071.0)</f>
        <v>9915071</v>
      </c>
    </row>
    <row r="46">
      <c r="A46" s="6">
        <f>IFERROR(__xludf.DUMMYFUNCTION("""COMPUTED_VALUE"""),45499.64583333333)</f>
        <v>45499.64583</v>
      </c>
      <c r="B46" s="5">
        <f>IFERROR(__xludf.DUMMYFUNCTION("""COMPUTED_VALUE"""),1470.0)</f>
        <v>1470</v>
      </c>
      <c r="C46" s="5">
        <f>IFERROR(__xludf.DUMMYFUNCTION("""COMPUTED_VALUE"""),1547.9)</f>
        <v>1547.9</v>
      </c>
      <c r="D46" s="5">
        <f>IFERROR(__xludf.DUMMYFUNCTION("""COMPUTED_VALUE"""),1419.0)</f>
        <v>1419</v>
      </c>
      <c r="E46" s="5">
        <f>IFERROR(__xludf.DUMMYFUNCTION("""COMPUTED_VALUE"""),1542.75)</f>
        <v>1542.75</v>
      </c>
      <c r="F46" s="5">
        <f>IFERROR(__xludf.DUMMYFUNCTION("""COMPUTED_VALUE"""),1.6622452E7)</f>
        <v>16622452</v>
      </c>
    </row>
    <row r="47">
      <c r="A47" s="6">
        <f>IFERROR(__xludf.DUMMYFUNCTION("""COMPUTED_VALUE"""),45506.64583333333)</f>
        <v>45506.64583</v>
      </c>
      <c r="B47" s="5">
        <f>IFERROR(__xludf.DUMMYFUNCTION("""COMPUTED_VALUE"""),1547.9)</f>
        <v>1547.9</v>
      </c>
      <c r="C47" s="5">
        <f>IFERROR(__xludf.DUMMYFUNCTION("""COMPUTED_VALUE"""),1604.95)</f>
        <v>1604.95</v>
      </c>
      <c r="D47" s="5">
        <f>IFERROR(__xludf.DUMMYFUNCTION("""COMPUTED_VALUE"""),1536.0)</f>
        <v>1536</v>
      </c>
      <c r="E47" s="5">
        <f>IFERROR(__xludf.DUMMYFUNCTION("""COMPUTED_VALUE"""),1588.0)</f>
        <v>1588</v>
      </c>
      <c r="F47" s="5">
        <f>IFERROR(__xludf.DUMMYFUNCTION("""COMPUTED_VALUE"""),1.8825426E7)</f>
        <v>18825426</v>
      </c>
    </row>
    <row r="48">
      <c r="A48" s="6">
        <f>IFERROR(__xludf.DUMMYFUNCTION("""COMPUTED_VALUE"""),45513.64583333333)</f>
        <v>45513.64583</v>
      </c>
      <c r="B48" s="5">
        <f>IFERROR(__xludf.DUMMYFUNCTION("""COMPUTED_VALUE"""),1540.0)</f>
        <v>1540</v>
      </c>
      <c r="C48" s="5">
        <f>IFERROR(__xludf.DUMMYFUNCTION("""COMPUTED_VALUE"""),1563.45)</f>
        <v>1563.45</v>
      </c>
      <c r="D48" s="5">
        <f>IFERROR(__xludf.DUMMYFUNCTION("""COMPUTED_VALUE"""),1471.55)</f>
        <v>1471.55</v>
      </c>
      <c r="E48" s="5">
        <f>IFERROR(__xludf.DUMMYFUNCTION("""COMPUTED_VALUE"""),1533.8)</f>
        <v>1533.8</v>
      </c>
      <c r="F48" s="5">
        <f>IFERROR(__xludf.DUMMYFUNCTION("""COMPUTED_VALUE"""),1.6536798E7)</f>
        <v>16536798</v>
      </c>
    </row>
    <row r="49">
      <c r="A49" s="6">
        <f>IFERROR(__xludf.DUMMYFUNCTION("""COMPUTED_VALUE"""),45520.64583333333)</f>
        <v>45520.64583</v>
      </c>
      <c r="B49" s="5">
        <f>IFERROR(__xludf.DUMMYFUNCTION("""COMPUTED_VALUE"""),1500.0)</f>
        <v>1500</v>
      </c>
      <c r="C49" s="5">
        <f>IFERROR(__xludf.DUMMYFUNCTION("""COMPUTED_VALUE"""),1524.25)</f>
        <v>1524.25</v>
      </c>
      <c r="D49" s="5">
        <f>IFERROR(__xludf.DUMMYFUNCTION("""COMPUTED_VALUE"""),1452.0)</f>
        <v>1452</v>
      </c>
      <c r="E49" s="5">
        <f>IFERROR(__xludf.DUMMYFUNCTION("""COMPUTED_VALUE"""),1493.45)</f>
        <v>1493.45</v>
      </c>
      <c r="F49" s="5">
        <f>IFERROR(__xludf.DUMMYFUNCTION("""COMPUTED_VALUE"""),1.634933E7)</f>
        <v>16349330</v>
      </c>
    </row>
    <row r="50">
      <c r="A50" s="6">
        <f>IFERROR(__xludf.DUMMYFUNCTION("""COMPUTED_VALUE"""),45527.64583333333)</f>
        <v>45527.64583</v>
      </c>
      <c r="B50" s="5">
        <f>IFERROR(__xludf.DUMMYFUNCTION("""COMPUTED_VALUE"""),1500.95)</f>
        <v>1500.95</v>
      </c>
      <c r="C50" s="5">
        <f>IFERROR(__xludf.DUMMYFUNCTION("""COMPUTED_VALUE"""),1517.0)</f>
        <v>1517</v>
      </c>
      <c r="D50" s="5">
        <f>IFERROR(__xludf.DUMMYFUNCTION("""COMPUTED_VALUE"""),1486.1)</f>
        <v>1486.1</v>
      </c>
      <c r="E50" s="5">
        <f>IFERROR(__xludf.DUMMYFUNCTION("""COMPUTED_VALUE"""),1491.3)</f>
        <v>1491.3</v>
      </c>
      <c r="F50" s="5">
        <f>IFERROR(__xludf.DUMMYFUNCTION("""COMPUTED_VALUE"""),6508605.0)</f>
        <v>6508605</v>
      </c>
    </row>
    <row r="51">
      <c r="A51" s="6">
        <f>IFERROR(__xludf.DUMMYFUNCTION("""COMPUTED_VALUE"""),45534.64583333333)</f>
        <v>45534.64583</v>
      </c>
      <c r="B51" s="5">
        <f>IFERROR(__xludf.DUMMYFUNCTION("""COMPUTED_VALUE"""),1495.5)</f>
        <v>1495.5</v>
      </c>
      <c r="C51" s="5">
        <f>IFERROR(__xludf.DUMMYFUNCTION("""COMPUTED_VALUE"""),1497.0)</f>
        <v>1497</v>
      </c>
      <c r="D51" s="5">
        <f>IFERROR(__xludf.DUMMYFUNCTION("""COMPUTED_VALUE"""),1452.6)</f>
        <v>1452.6</v>
      </c>
      <c r="E51" s="5">
        <f>IFERROR(__xludf.DUMMYFUNCTION("""COMPUTED_VALUE"""),1481.9)</f>
        <v>1481.9</v>
      </c>
      <c r="F51" s="5">
        <f>IFERROR(__xludf.DUMMYFUNCTION("""COMPUTED_VALUE"""),8578664.0)</f>
        <v>8578664</v>
      </c>
    </row>
    <row r="52">
      <c r="A52" s="6">
        <f>IFERROR(__xludf.DUMMYFUNCTION("""COMPUTED_VALUE"""),45541.64583333333)</f>
        <v>45541.64583</v>
      </c>
      <c r="B52" s="5">
        <f>IFERROR(__xludf.DUMMYFUNCTION("""COMPUTED_VALUE"""),1490.0)</f>
        <v>1490</v>
      </c>
      <c r="C52" s="5">
        <f>IFERROR(__xludf.DUMMYFUNCTION("""COMPUTED_VALUE"""),1499.5)</f>
        <v>1499.5</v>
      </c>
      <c r="D52" s="5">
        <f>IFERROR(__xludf.DUMMYFUNCTION("""COMPUTED_VALUE"""),1427.55)</f>
        <v>1427.55</v>
      </c>
      <c r="E52" s="5">
        <f>IFERROR(__xludf.DUMMYFUNCTION("""COMPUTED_VALUE"""),1442.4)</f>
        <v>1442.4</v>
      </c>
      <c r="F52" s="5">
        <f>IFERROR(__xludf.DUMMYFUNCTION("""COMPUTED_VALUE"""),8359516.0)</f>
        <v>8359516</v>
      </c>
    </row>
    <row r="53">
      <c r="A53" s="6">
        <f>IFERROR(__xludf.DUMMYFUNCTION("""COMPUTED_VALUE"""),45548.64583333333)</f>
        <v>45548.64583</v>
      </c>
      <c r="B53" s="5">
        <f>IFERROR(__xludf.DUMMYFUNCTION("""COMPUTED_VALUE"""),1431.0)</f>
        <v>1431</v>
      </c>
      <c r="C53" s="5">
        <f>IFERROR(__xludf.DUMMYFUNCTION("""COMPUTED_VALUE"""),1475.65)</f>
        <v>1475.65</v>
      </c>
      <c r="D53" s="5">
        <f>IFERROR(__xludf.DUMMYFUNCTION("""COMPUTED_VALUE"""),1411.0)</f>
        <v>1411</v>
      </c>
      <c r="E53" s="5">
        <f>IFERROR(__xludf.DUMMYFUNCTION("""COMPUTED_VALUE"""),1452.1)</f>
        <v>1452.1</v>
      </c>
      <c r="F53" s="5">
        <f>IFERROR(__xludf.DUMMYFUNCTION("""COMPUTED_VALUE"""),1.0488983E7)</f>
        <v>10488983</v>
      </c>
    </row>
    <row r="54">
      <c r="A54" s="6">
        <f>IFERROR(__xludf.DUMMYFUNCTION("""COMPUTED_VALUE"""),45555.64583333333)</f>
        <v>45555.64583</v>
      </c>
      <c r="B54" s="5">
        <f>IFERROR(__xludf.DUMMYFUNCTION("""COMPUTED_VALUE"""),1455.1)</f>
        <v>1455.1</v>
      </c>
      <c r="C54" s="5">
        <f>IFERROR(__xludf.DUMMYFUNCTION("""COMPUTED_VALUE"""),1461.15)</f>
        <v>1461.15</v>
      </c>
      <c r="D54" s="5">
        <f>IFERROR(__xludf.DUMMYFUNCTION("""COMPUTED_VALUE"""),1394.45)</f>
        <v>1394.45</v>
      </c>
      <c r="E54" s="5">
        <f>IFERROR(__xludf.DUMMYFUNCTION("""COMPUTED_VALUE"""),1438.7)</f>
        <v>1438.7</v>
      </c>
      <c r="F54" s="5">
        <f>IFERROR(__xludf.DUMMYFUNCTION("""COMPUTED_VALUE"""),1.089655E7)</f>
        <v>10896550</v>
      </c>
    </row>
    <row r="55">
      <c r="A55" s="6">
        <f>IFERROR(__xludf.DUMMYFUNCTION("""COMPUTED_VALUE"""),45562.64583333333)</f>
        <v>45562.64583</v>
      </c>
      <c r="B55" s="5">
        <f>IFERROR(__xludf.DUMMYFUNCTION("""COMPUTED_VALUE"""),1448.0)</f>
        <v>1448</v>
      </c>
      <c r="C55" s="5">
        <f>IFERROR(__xludf.DUMMYFUNCTION("""COMPUTED_VALUE"""),1485.0)</f>
        <v>1485</v>
      </c>
      <c r="D55" s="5">
        <f>IFERROR(__xludf.DUMMYFUNCTION("""COMPUTED_VALUE"""),1438.2)</f>
        <v>1438.2</v>
      </c>
      <c r="E55" s="5">
        <f>IFERROR(__xludf.DUMMYFUNCTION("""COMPUTED_VALUE"""),1456.7)</f>
        <v>1456.7</v>
      </c>
      <c r="F55" s="5">
        <f>IFERROR(__xludf.DUMMYFUNCTION("""COMPUTED_VALUE"""),8666122.0)</f>
        <v>8666122</v>
      </c>
    </row>
    <row r="56">
      <c r="A56" s="6">
        <f>IFERROR(__xludf.DUMMYFUNCTION("""COMPUTED_VALUE"""),45569.64583333333)</f>
        <v>45569.64583</v>
      </c>
      <c r="B56" s="5">
        <f>IFERROR(__xludf.DUMMYFUNCTION("""COMPUTED_VALUE"""),1456.7)</f>
        <v>1456.7</v>
      </c>
      <c r="C56" s="5">
        <f>IFERROR(__xludf.DUMMYFUNCTION("""COMPUTED_VALUE"""),1472.85)</f>
        <v>1472.85</v>
      </c>
      <c r="D56" s="5">
        <f>IFERROR(__xludf.DUMMYFUNCTION("""COMPUTED_VALUE"""),1404.2)</f>
        <v>1404.2</v>
      </c>
      <c r="E56" s="5">
        <f>IFERROR(__xludf.DUMMYFUNCTION("""COMPUTED_VALUE"""),1413.7)</f>
        <v>1413.7</v>
      </c>
      <c r="F56" s="5">
        <f>IFERROR(__xludf.DUMMYFUNCTION("""COMPUTED_VALUE"""),1.0309527E7)</f>
        <v>10309527</v>
      </c>
    </row>
    <row r="57">
      <c r="A57" s="6">
        <f>IFERROR(__xludf.DUMMYFUNCTION("""COMPUTED_VALUE"""),45576.64583333333)</f>
        <v>45576.64583</v>
      </c>
      <c r="B57" s="5">
        <f>IFERROR(__xludf.DUMMYFUNCTION("""COMPUTED_VALUE"""),1410.0)</f>
        <v>1410</v>
      </c>
      <c r="C57" s="5">
        <f>IFERROR(__xludf.DUMMYFUNCTION("""COMPUTED_VALUE"""),1432.95)</f>
        <v>1432.95</v>
      </c>
      <c r="D57" s="5">
        <f>IFERROR(__xludf.DUMMYFUNCTION("""COMPUTED_VALUE"""),1337.0)</f>
        <v>1337</v>
      </c>
      <c r="E57" s="5">
        <f>IFERROR(__xludf.DUMMYFUNCTION("""COMPUTED_VALUE"""),1408.25)</f>
        <v>1408.25</v>
      </c>
      <c r="F57" s="5">
        <f>IFERROR(__xludf.DUMMYFUNCTION("""COMPUTED_VALUE"""),1.1857803E7)</f>
        <v>11857803</v>
      </c>
    </row>
    <row r="58">
      <c r="A58" s="6">
        <f>IFERROR(__xludf.DUMMYFUNCTION("""COMPUTED_VALUE"""),45583.64583333333)</f>
        <v>45583.64583</v>
      </c>
      <c r="B58" s="5">
        <f>IFERROR(__xludf.DUMMYFUNCTION("""COMPUTED_VALUE"""),1418.0)</f>
        <v>1418</v>
      </c>
      <c r="C58" s="5">
        <f>IFERROR(__xludf.DUMMYFUNCTION("""COMPUTED_VALUE"""),1426.0)</f>
        <v>1426</v>
      </c>
      <c r="D58" s="5">
        <f>IFERROR(__xludf.DUMMYFUNCTION("""COMPUTED_VALUE"""),1376.0)</f>
        <v>1376</v>
      </c>
      <c r="E58" s="5">
        <f>IFERROR(__xludf.DUMMYFUNCTION("""COMPUTED_VALUE"""),1405.6)</f>
        <v>1405.6</v>
      </c>
      <c r="F58" s="5">
        <f>IFERROR(__xludf.DUMMYFUNCTION("""COMPUTED_VALUE"""),5940252.0)</f>
        <v>5940252</v>
      </c>
    </row>
    <row r="59">
      <c r="A59" s="6">
        <f>IFERROR(__xludf.DUMMYFUNCTION("""COMPUTED_VALUE"""),45590.64583333333)</f>
        <v>45590.64583</v>
      </c>
      <c r="B59" s="5">
        <f>IFERROR(__xludf.DUMMYFUNCTION("""COMPUTED_VALUE"""),1409.9)</f>
        <v>1409.9</v>
      </c>
      <c r="C59" s="5">
        <f>IFERROR(__xludf.DUMMYFUNCTION("""COMPUTED_VALUE"""),1412.9)</f>
        <v>1412.9</v>
      </c>
      <c r="D59" s="5">
        <f>IFERROR(__xludf.DUMMYFUNCTION("""COMPUTED_VALUE"""),1304.15)</f>
        <v>1304.15</v>
      </c>
      <c r="E59" s="5">
        <f>IFERROR(__xludf.DUMMYFUNCTION("""COMPUTED_VALUE"""),1318.7)</f>
        <v>1318.7</v>
      </c>
      <c r="F59" s="5">
        <f>IFERROR(__xludf.DUMMYFUNCTION("""COMPUTED_VALUE"""),9222167.0)</f>
        <v>9222167</v>
      </c>
    </row>
    <row r="60">
      <c r="A60" s="6">
        <f>IFERROR(__xludf.DUMMYFUNCTION("""COMPUTED_VALUE"""),45604.64583333333)</f>
        <v>45604.64583</v>
      </c>
      <c r="B60" s="5">
        <f>IFERROR(__xludf.DUMMYFUNCTION("""COMPUTED_VALUE"""),1394.2)</f>
        <v>1394.2</v>
      </c>
      <c r="C60" s="5">
        <f>IFERROR(__xludf.DUMMYFUNCTION("""COMPUTED_VALUE"""),1395.0)</f>
        <v>1395</v>
      </c>
      <c r="D60" s="5">
        <f>IFERROR(__xludf.DUMMYFUNCTION("""COMPUTED_VALUE"""),1295.9)</f>
        <v>1295.9</v>
      </c>
      <c r="E60" s="5">
        <f>IFERROR(__xludf.DUMMYFUNCTION("""COMPUTED_VALUE"""),1362.1)</f>
        <v>1362.1</v>
      </c>
      <c r="F60" s="5">
        <f>IFERROR(__xludf.DUMMYFUNCTION("""COMPUTED_VALUE"""),1.2892066E7)</f>
        <v>12892066</v>
      </c>
    </row>
    <row r="61">
      <c r="A61" s="6">
        <f>IFERROR(__xludf.DUMMYFUNCTION("""COMPUTED_VALUE"""),45610.64583333333)</f>
        <v>45610.64583</v>
      </c>
      <c r="B61" s="5">
        <f>IFERROR(__xludf.DUMMYFUNCTION("""COMPUTED_VALUE"""),1355.1)</f>
        <v>1355.1</v>
      </c>
      <c r="C61" s="5">
        <f>IFERROR(__xludf.DUMMYFUNCTION("""COMPUTED_VALUE"""),1357.95)</f>
        <v>1357.95</v>
      </c>
      <c r="D61" s="5">
        <f>IFERROR(__xludf.DUMMYFUNCTION("""COMPUTED_VALUE"""),1260.65)</f>
        <v>1260.65</v>
      </c>
      <c r="E61" s="5">
        <f>IFERROR(__xludf.DUMMYFUNCTION("""COMPUTED_VALUE"""),1264.55)</f>
        <v>1264.55</v>
      </c>
      <c r="F61" s="5">
        <f>IFERROR(__xludf.DUMMYFUNCTION("""COMPUTED_VALUE"""),6707625.0)</f>
        <v>6707625</v>
      </c>
    </row>
    <row r="62">
      <c r="A62" s="6">
        <f>IFERROR(__xludf.DUMMYFUNCTION("""COMPUTED_VALUE"""),45618.64583333333)</f>
        <v>45618.64583</v>
      </c>
      <c r="B62" s="5">
        <f>IFERROR(__xludf.DUMMYFUNCTION("""COMPUTED_VALUE"""),1264.0)</f>
        <v>1264</v>
      </c>
      <c r="C62" s="5">
        <f>IFERROR(__xludf.DUMMYFUNCTION("""COMPUTED_VALUE"""),1321.45)</f>
        <v>1321.45</v>
      </c>
      <c r="D62" s="5">
        <f>IFERROR(__xludf.DUMMYFUNCTION("""COMPUTED_VALUE"""),995.65)</f>
        <v>995.65</v>
      </c>
      <c r="E62" s="5">
        <f>IFERROR(__xludf.DUMMYFUNCTION("""COMPUTED_VALUE"""),1136.75)</f>
        <v>1136.75</v>
      </c>
      <c r="F62" s="5">
        <f>IFERROR(__xludf.DUMMYFUNCTION("""COMPUTED_VALUE"""),7.809027E7)</f>
        <v>78090270</v>
      </c>
    </row>
    <row r="63">
      <c r="A63" s="6">
        <f>IFERROR(__xludf.DUMMYFUNCTION("""COMPUTED_VALUE"""),45625.64583333333)</f>
        <v>45625.64583</v>
      </c>
      <c r="B63" s="5">
        <f>IFERROR(__xludf.DUMMYFUNCTION("""COMPUTED_VALUE"""),1185.0)</f>
        <v>1185</v>
      </c>
      <c r="C63" s="5">
        <f>IFERROR(__xludf.DUMMYFUNCTION("""COMPUTED_VALUE"""),1231.7)</f>
        <v>1231.7</v>
      </c>
      <c r="D63" s="5">
        <f>IFERROR(__xludf.DUMMYFUNCTION("""COMPUTED_VALUE"""),1102.0)</f>
        <v>1102</v>
      </c>
      <c r="E63" s="5">
        <f>IFERROR(__xludf.DUMMYFUNCTION("""COMPUTED_VALUE"""),1190.05)</f>
        <v>1190.05</v>
      </c>
      <c r="F63" s="5">
        <f>IFERROR(__xludf.DUMMYFUNCTION("""COMPUTED_VALUE"""),6.5784773E7)</f>
        <v>65784773</v>
      </c>
    </row>
    <row r="64">
      <c r="A64" s="6">
        <f>IFERROR(__xludf.DUMMYFUNCTION("""COMPUTED_VALUE"""),45632.64583333333)</f>
        <v>45632.64583</v>
      </c>
      <c r="B64" s="5">
        <f>IFERROR(__xludf.DUMMYFUNCTION("""COMPUTED_VALUE"""),1201.9)</f>
        <v>1201.9</v>
      </c>
      <c r="C64" s="5">
        <f>IFERROR(__xludf.DUMMYFUNCTION("""COMPUTED_VALUE"""),1309.5)</f>
        <v>1309.5</v>
      </c>
      <c r="D64" s="5">
        <f>IFERROR(__xludf.DUMMYFUNCTION("""COMPUTED_VALUE"""),1189.4)</f>
        <v>1189.4</v>
      </c>
      <c r="E64" s="5">
        <f>IFERROR(__xludf.DUMMYFUNCTION("""COMPUTED_VALUE"""),1259.05)</f>
        <v>1259.05</v>
      </c>
      <c r="F64" s="5">
        <f>IFERROR(__xludf.DUMMYFUNCTION("""COMPUTED_VALUE"""),3.5171556E7)</f>
        <v>35171556</v>
      </c>
    </row>
    <row r="65">
      <c r="A65" s="6">
        <f>IFERROR(__xludf.DUMMYFUNCTION("""COMPUTED_VALUE"""),45639.64583333333)</f>
        <v>45639.64583</v>
      </c>
      <c r="B65" s="5">
        <f>IFERROR(__xludf.DUMMYFUNCTION("""COMPUTED_VALUE"""),1257.8)</f>
        <v>1257.8</v>
      </c>
      <c r="C65" s="5">
        <f>IFERROR(__xludf.DUMMYFUNCTION("""COMPUTED_VALUE"""),1277.55)</f>
        <v>1277.55</v>
      </c>
      <c r="D65" s="5">
        <f>IFERROR(__xludf.DUMMYFUNCTION("""COMPUTED_VALUE"""),1223.45)</f>
        <v>1223.45</v>
      </c>
      <c r="E65" s="5">
        <f>IFERROR(__xludf.DUMMYFUNCTION("""COMPUTED_VALUE"""),1259.95)</f>
        <v>1259.95</v>
      </c>
      <c r="F65" s="5">
        <f>IFERROR(__xludf.DUMMYFUNCTION("""COMPUTED_VALUE"""),1.6127492E7)</f>
        <v>16127492</v>
      </c>
    </row>
    <row r="66">
      <c r="A66" s="6">
        <f>IFERROR(__xludf.DUMMYFUNCTION("""COMPUTED_VALUE"""),45646.64583333333)</f>
        <v>45646.64583</v>
      </c>
      <c r="B66" s="5">
        <f>IFERROR(__xludf.DUMMYFUNCTION("""COMPUTED_VALUE"""),1258.0)</f>
        <v>1258</v>
      </c>
      <c r="C66" s="5">
        <f>IFERROR(__xludf.DUMMYFUNCTION("""COMPUTED_VALUE"""),1261.85)</f>
        <v>1261.85</v>
      </c>
      <c r="D66" s="5">
        <f>IFERROR(__xludf.DUMMYFUNCTION("""COMPUTED_VALUE"""),1176.2)</f>
        <v>1176.2</v>
      </c>
      <c r="E66" s="5">
        <f>IFERROR(__xludf.DUMMYFUNCTION("""COMPUTED_VALUE"""),1182.45)</f>
        <v>1182.45</v>
      </c>
      <c r="F66" s="5">
        <f>IFERROR(__xludf.DUMMYFUNCTION("""COMPUTED_VALUE"""),1.0540676E7)</f>
        <v>10540676</v>
      </c>
    </row>
    <row r="67">
      <c r="A67" s="6">
        <f>IFERROR(__xludf.DUMMYFUNCTION("""COMPUTED_VALUE"""),45653.64583333333)</f>
        <v>45653.64583</v>
      </c>
      <c r="B67" s="5">
        <f>IFERROR(__xludf.DUMMYFUNCTION("""COMPUTED_VALUE"""),1189.95)</f>
        <v>1189.95</v>
      </c>
      <c r="C67" s="5">
        <f>IFERROR(__xludf.DUMMYFUNCTION("""COMPUTED_VALUE"""),1250.95)</f>
        <v>1250.95</v>
      </c>
      <c r="D67" s="5">
        <f>IFERROR(__xludf.DUMMYFUNCTION("""COMPUTED_VALUE"""),1174.25)</f>
        <v>1174.25</v>
      </c>
      <c r="E67" s="5">
        <f>IFERROR(__xludf.DUMMYFUNCTION("""COMPUTED_VALUE"""),1230.7)</f>
        <v>1230.7</v>
      </c>
      <c r="F67" s="5">
        <f>IFERROR(__xludf.DUMMYFUNCTION("""COMPUTED_VALUE"""),9343763.0)</f>
        <v>9343763</v>
      </c>
    </row>
    <row r="68">
      <c r="A68" s="6">
        <f>IFERROR(__xludf.DUMMYFUNCTION("""COMPUTED_VALUE"""),45660.64583333333)</f>
        <v>45660.64583</v>
      </c>
      <c r="B68" s="5">
        <f>IFERROR(__xludf.DUMMYFUNCTION("""COMPUTED_VALUE"""),1233.75)</f>
        <v>1233.75</v>
      </c>
      <c r="C68" s="5">
        <f>IFERROR(__xludf.DUMMYFUNCTION("""COMPUTED_VALUE"""),1258.8)</f>
        <v>1258.8</v>
      </c>
      <c r="D68" s="5">
        <f>IFERROR(__xludf.DUMMYFUNCTION("""COMPUTED_VALUE"""),1197.0)</f>
        <v>1197</v>
      </c>
      <c r="E68" s="5">
        <f>IFERROR(__xludf.DUMMYFUNCTION("""COMPUTED_VALUE"""),1199.55)</f>
        <v>1199.55</v>
      </c>
      <c r="F68" s="5">
        <f>IFERROR(__xludf.DUMMYFUNCTION("""COMPUTED_VALUE"""),1.8780541E7)</f>
        <v>18780541</v>
      </c>
    </row>
    <row r="69">
      <c r="A69" s="6">
        <f>IFERROR(__xludf.DUMMYFUNCTION("""COMPUTED_VALUE"""),45667.64583333333)</f>
        <v>45667.64583</v>
      </c>
      <c r="B69" s="5">
        <f>IFERROR(__xludf.DUMMYFUNCTION("""COMPUTED_VALUE"""),1199.55)</f>
        <v>1199.55</v>
      </c>
      <c r="C69" s="5">
        <f>IFERROR(__xludf.DUMMYFUNCTION("""COMPUTED_VALUE"""),1200.9)</f>
        <v>1200.9</v>
      </c>
      <c r="D69" s="5">
        <f>IFERROR(__xludf.DUMMYFUNCTION("""COMPUTED_VALUE"""),1106.3)</f>
        <v>1106.3</v>
      </c>
      <c r="E69" s="5">
        <f>IFERROR(__xludf.DUMMYFUNCTION("""COMPUTED_VALUE"""),1112.2)</f>
        <v>1112.2</v>
      </c>
      <c r="F69" s="5">
        <f>IFERROR(__xludf.DUMMYFUNCTION("""COMPUTED_VALUE"""),1.0997393E7)</f>
        <v>10997393</v>
      </c>
    </row>
    <row r="70">
      <c r="A70" s="6">
        <f>IFERROR(__xludf.DUMMYFUNCTION("""COMPUTED_VALUE"""),45674.64583333333)</f>
        <v>45674.64583</v>
      </c>
      <c r="B70" s="5">
        <f>IFERROR(__xludf.DUMMYFUNCTION("""COMPUTED_VALUE"""),1100.9)</f>
        <v>1100.9</v>
      </c>
      <c r="C70" s="5">
        <f>IFERROR(__xludf.DUMMYFUNCTION("""COMPUTED_VALUE"""),1190.0)</f>
        <v>1190</v>
      </c>
      <c r="D70" s="5">
        <f>IFERROR(__xludf.DUMMYFUNCTION("""COMPUTED_VALUE"""),1058.95)</f>
        <v>1058.95</v>
      </c>
      <c r="E70" s="5">
        <f>IFERROR(__xludf.DUMMYFUNCTION("""COMPUTED_VALUE"""),1163.5)</f>
        <v>1163.5</v>
      </c>
      <c r="F70" s="5">
        <f>IFERROR(__xludf.DUMMYFUNCTION("""COMPUTED_VALUE"""),1.8149E7)</f>
        <v>18149000</v>
      </c>
    </row>
    <row r="71">
      <c r="A71" s="6">
        <f>IFERROR(__xludf.DUMMYFUNCTION("""COMPUTED_VALUE"""),45681.64583333333)</f>
        <v>45681.64583</v>
      </c>
      <c r="B71" s="5">
        <f>IFERROR(__xludf.DUMMYFUNCTION("""COMPUTED_VALUE"""),1172.0)</f>
        <v>1172</v>
      </c>
      <c r="C71" s="5">
        <f>IFERROR(__xludf.DUMMYFUNCTION("""COMPUTED_VALUE"""),1172.0)</f>
        <v>1172</v>
      </c>
      <c r="D71" s="5">
        <f>IFERROR(__xludf.DUMMYFUNCTION("""COMPUTED_VALUE"""),1080.45)</f>
        <v>1080.45</v>
      </c>
      <c r="E71" s="5">
        <f>IFERROR(__xludf.DUMMYFUNCTION("""COMPUTED_VALUE"""),1094.15)</f>
        <v>1094.15</v>
      </c>
      <c r="F71" s="5">
        <f>IFERROR(__xludf.DUMMYFUNCTION("""COMPUTED_VALUE"""),1.072111E7)</f>
        <v>10721110</v>
      </c>
    </row>
    <row r="72">
      <c r="A72" s="6">
        <f>IFERROR(__xludf.DUMMYFUNCTION("""COMPUTED_VALUE"""),45695.64583333333)</f>
        <v>45695.64583</v>
      </c>
      <c r="B72" s="5">
        <f>IFERROR(__xludf.DUMMYFUNCTION("""COMPUTED_VALUE"""),1084.0)</f>
        <v>1084</v>
      </c>
      <c r="C72" s="5">
        <f>IFERROR(__xludf.DUMMYFUNCTION("""COMPUTED_VALUE"""),1175.65)</f>
        <v>1175.65</v>
      </c>
      <c r="D72" s="5">
        <f>IFERROR(__xludf.DUMMYFUNCTION("""COMPUTED_VALUE"""),1055.0)</f>
        <v>1055</v>
      </c>
      <c r="E72" s="5">
        <f>IFERROR(__xludf.DUMMYFUNCTION("""COMPUTED_VALUE"""),1146.1)</f>
        <v>1146.1</v>
      </c>
      <c r="F72" s="5">
        <f>IFERROR(__xludf.DUMMYFUNCTION("""COMPUTED_VALUE"""),2.1354765E7)</f>
        <v>21354765</v>
      </c>
    </row>
    <row r="73">
      <c r="A73" s="6">
        <f>IFERROR(__xludf.DUMMYFUNCTION("""COMPUTED_VALUE"""),45702.64583333333)</f>
        <v>45702.64583</v>
      </c>
      <c r="B73" s="5">
        <f>IFERROR(__xludf.DUMMYFUNCTION("""COMPUTED_VALUE"""),1150.0)</f>
        <v>1150</v>
      </c>
      <c r="C73" s="5">
        <f>IFERROR(__xludf.DUMMYFUNCTION("""COMPUTED_VALUE"""),1160.0)</f>
        <v>1160</v>
      </c>
      <c r="D73" s="5">
        <f>IFERROR(__xludf.DUMMYFUNCTION("""COMPUTED_VALUE"""),1042.15)</f>
        <v>1042.15</v>
      </c>
      <c r="E73" s="5">
        <f>IFERROR(__xludf.DUMMYFUNCTION("""COMPUTED_VALUE"""),1062.7)</f>
        <v>1062.7</v>
      </c>
      <c r="F73" s="5">
        <f>IFERROR(__xludf.DUMMYFUNCTION("""COMPUTED_VALUE"""),1.850858E7)</f>
        <v>18508580</v>
      </c>
    </row>
    <row r="74">
      <c r="A74" s="6">
        <f>IFERROR(__xludf.DUMMYFUNCTION("""COMPUTED_VALUE"""),45709.64583333333)</f>
        <v>45709.64583</v>
      </c>
      <c r="B74" s="5">
        <f>IFERROR(__xludf.DUMMYFUNCTION("""COMPUTED_VALUE"""),1058.95)</f>
        <v>1058.95</v>
      </c>
      <c r="C74" s="5">
        <f>IFERROR(__xludf.DUMMYFUNCTION("""COMPUTED_VALUE"""),1126.0)</f>
        <v>1126</v>
      </c>
      <c r="D74" s="5">
        <f>IFERROR(__xludf.DUMMYFUNCTION("""COMPUTED_VALUE"""),1040.0)</f>
        <v>1040</v>
      </c>
      <c r="E74" s="5">
        <f>IFERROR(__xludf.DUMMYFUNCTION("""COMPUTED_VALUE"""),1083.25)</f>
        <v>1083.25</v>
      </c>
      <c r="F74" s="5">
        <f>IFERROR(__xludf.DUMMYFUNCTION("""COMPUTED_VALUE"""),1.2100453E7)</f>
        <v>12100453</v>
      </c>
    </row>
    <row r="75">
      <c r="A75" s="6">
        <f>IFERROR(__xludf.DUMMYFUNCTION("""COMPUTED_VALUE"""),45716.64583333333)</f>
        <v>45716.64583</v>
      </c>
      <c r="B75" s="5">
        <f>IFERROR(__xludf.DUMMYFUNCTION("""COMPUTED_VALUE"""),1083.25)</f>
        <v>1083.25</v>
      </c>
      <c r="C75" s="5">
        <f>IFERROR(__xludf.DUMMYFUNCTION("""COMPUTED_VALUE"""),1091.4)</f>
        <v>1091.4</v>
      </c>
      <c r="D75" s="5">
        <f>IFERROR(__xludf.DUMMYFUNCTION("""COMPUTED_VALUE"""),1059.2)</f>
        <v>1059.2</v>
      </c>
      <c r="E75" s="5">
        <f>IFERROR(__xludf.DUMMYFUNCTION("""COMPUTED_VALUE"""),1069.4)</f>
        <v>1069.4</v>
      </c>
      <c r="F75" s="5">
        <f>IFERROR(__xludf.DUMMYFUNCTION("""COMPUTED_VALUE"""),8003320.0)</f>
        <v>8003320</v>
      </c>
    </row>
    <row r="76">
      <c r="A76" s="6">
        <f>IFERROR(__xludf.DUMMYFUNCTION("""COMPUTED_VALUE"""),45723.64583333333)</f>
        <v>45723.64583</v>
      </c>
      <c r="B76" s="5">
        <f>IFERROR(__xludf.DUMMYFUNCTION("""COMPUTED_VALUE"""),1074.95)</f>
        <v>1074.95</v>
      </c>
      <c r="C76" s="5">
        <f>IFERROR(__xludf.DUMMYFUNCTION("""COMPUTED_VALUE"""),1156.95)</f>
        <v>1156.95</v>
      </c>
      <c r="D76" s="5">
        <f>IFERROR(__xludf.DUMMYFUNCTION("""COMPUTED_VALUE"""),1036.5)</f>
        <v>1036.5</v>
      </c>
      <c r="E76" s="5">
        <f>IFERROR(__xludf.DUMMYFUNCTION("""COMPUTED_VALUE"""),1144.5)</f>
        <v>1144.5</v>
      </c>
      <c r="F76" s="5">
        <f>IFERROR(__xludf.DUMMYFUNCTION("""COMPUTED_VALUE"""),1.4081164E7)</f>
        <v>14081164</v>
      </c>
    </row>
    <row r="77">
      <c r="A77" s="6">
        <f>IFERROR(__xludf.DUMMYFUNCTION("""COMPUTED_VALUE"""),45729.64583333333)</f>
        <v>45729.64583</v>
      </c>
      <c r="B77" s="5">
        <f>IFERROR(__xludf.DUMMYFUNCTION("""COMPUTED_VALUE"""),1146.0)</f>
        <v>1146</v>
      </c>
      <c r="C77" s="5">
        <f>IFERROR(__xludf.DUMMYFUNCTION("""COMPUTED_VALUE"""),1168.65)</f>
        <v>1168.65</v>
      </c>
      <c r="D77" s="5">
        <f>IFERROR(__xludf.DUMMYFUNCTION("""COMPUTED_VALUE"""),1105.0)</f>
        <v>1105</v>
      </c>
      <c r="E77" s="5">
        <f>IFERROR(__xludf.DUMMYFUNCTION("""COMPUTED_VALUE"""),1119.2)</f>
        <v>1119.2</v>
      </c>
      <c r="F77" s="5">
        <f>IFERROR(__xludf.DUMMYFUNCTION("""COMPUTED_VALUE"""),9031855.0)</f>
        <v>9031855</v>
      </c>
    </row>
    <row r="78">
      <c r="A78" s="6">
        <f>IFERROR(__xludf.DUMMYFUNCTION("""COMPUTED_VALUE"""),45737.64583333333)</f>
        <v>45737.64583</v>
      </c>
      <c r="B78" s="5">
        <f>IFERROR(__xludf.DUMMYFUNCTION("""COMPUTED_VALUE"""),1114.8)</f>
        <v>1114.8</v>
      </c>
      <c r="C78" s="5">
        <f>IFERROR(__xludf.DUMMYFUNCTION("""COMPUTED_VALUE"""),1202.55)</f>
        <v>1202.55</v>
      </c>
      <c r="D78" s="5">
        <f>IFERROR(__xludf.DUMMYFUNCTION("""COMPUTED_VALUE"""),1111.2)</f>
        <v>1111.2</v>
      </c>
      <c r="E78" s="5">
        <f>IFERROR(__xludf.DUMMYFUNCTION("""COMPUTED_VALUE"""),1188.8)</f>
        <v>1188.8</v>
      </c>
      <c r="F78" s="5">
        <f>IFERROR(__xludf.DUMMYFUNCTION("""COMPUTED_VALUE"""),1.0817821E7)</f>
        <v>10817821</v>
      </c>
    </row>
    <row r="79">
      <c r="A79" s="6">
        <f>IFERROR(__xludf.DUMMYFUNCTION("""COMPUTED_VALUE"""),45744.64583333333)</f>
        <v>45744.64583</v>
      </c>
      <c r="B79" s="5">
        <f>IFERROR(__xludf.DUMMYFUNCTION("""COMPUTED_VALUE"""),1196.0)</f>
        <v>1196</v>
      </c>
      <c r="C79" s="5">
        <f>IFERROR(__xludf.DUMMYFUNCTION("""COMPUTED_VALUE"""),1212.0)</f>
        <v>1212</v>
      </c>
      <c r="D79" s="5">
        <f>IFERROR(__xludf.DUMMYFUNCTION("""COMPUTED_VALUE"""),1173.05)</f>
        <v>1173.05</v>
      </c>
      <c r="E79" s="5">
        <f>IFERROR(__xludf.DUMMYFUNCTION("""COMPUTED_VALUE"""),1182.95)</f>
        <v>1182.95</v>
      </c>
      <c r="F79" s="5">
        <f>IFERROR(__xludf.DUMMYFUNCTION("""COMPUTED_VALUE"""),9576259.0)</f>
        <v>9576259</v>
      </c>
    </row>
    <row r="80">
      <c r="A80" s="6">
        <f>IFERROR(__xludf.DUMMYFUNCTION("""COMPUTED_VALUE"""),45751.64583333333)</f>
        <v>45751.64583</v>
      </c>
      <c r="B80" s="5">
        <f>IFERROR(__xludf.DUMMYFUNCTION("""COMPUTED_VALUE"""),1179.0)</f>
        <v>1179</v>
      </c>
      <c r="C80" s="5">
        <f>IFERROR(__xludf.DUMMYFUNCTION("""COMPUTED_VALUE"""),1205.8)</f>
        <v>1205.8</v>
      </c>
      <c r="D80" s="5">
        <f>IFERROR(__xludf.DUMMYFUNCTION("""COMPUTED_VALUE"""),1143.0)</f>
        <v>1143</v>
      </c>
      <c r="E80" s="5">
        <f>IFERROR(__xludf.DUMMYFUNCTION("""COMPUTED_VALUE"""),1148.35)</f>
        <v>1148.35</v>
      </c>
      <c r="F80" s="5">
        <f>IFERROR(__xludf.DUMMYFUNCTION("""COMPUTED_VALUE"""),5902998.0)</f>
        <v>5902998</v>
      </c>
    </row>
    <row r="81">
      <c r="A81" s="6">
        <f>IFERROR(__xludf.DUMMYFUNCTION("""COMPUTED_VALUE"""),45758.64583333333)</f>
        <v>45758.64583</v>
      </c>
      <c r="B81" s="5">
        <f>IFERROR(__xludf.DUMMYFUNCTION("""COMPUTED_VALUE"""),1049.95)</f>
        <v>1049.95</v>
      </c>
      <c r="C81" s="5">
        <f>IFERROR(__xludf.DUMMYFUNCTION("""COMPUTED_VALUE"""),1170.3)</f>
        <v>1170.3</v>
      </c>
      <c r="D81" s="5">
        <f>IFERROR(__xludf.DUMMYFUNCTION("""COMPUTED_VALUE"""),1041.5)</f>
        <v>1041.5</v>
      </c>
      <c r="E81" s="5">
        <f>IFERROR(__xludf.DUMMYFUNCTION("""COMPUTED_VALUE"""),1164.55)</f>
        <v>1164.55</v>
      </c>
      <c r="F81" s="5">
        <f>IFERROR(__xludf.DUMMYFUNCTION("""COMPUTED_VALUE"""),9689857.0)</f>
        <v>9689857</v>
      </c>
    </row>
    <row r="82">
      <c r="A82" s="6">
        <f>IFERROR(__xludf.DUMMYFUNCTION("""COMPUTED_VALUE"""),45764.64583333333)</f>
        <v>45764.64583</v>
      </c>
      <c r="B82" s="5">
        <f>IFERROR(__xludf.DUMMYFUNCTION("""COMPUTED_VALUE"""),1200.0)</f>
        <v>1200</v>
      </c>
      <c r="C82" s="5">
        <f>IFERROR(__xludf.DUMMYFUNCTION("""COMPUTED_VALUE"""),1282.5)</f>
        <v>1282.5</v>
      </c>
      <c r="D82" s="5">
        <f>IFERROR(__xludf.DUMMYFUNCTION("""COMPUTED_VALUE"""),1179.0)</f>
        <v>1179</v>
      </c>
      <c r="E82" s="5">
        <f>IFERROR(__xludf.DUMMYFUNCTION("""COMPUTED_VALUE"""),1259.4)</f>
        <v>1259.4</v>
      </c>
      <c r="F82" s="5">
        <f>IFERROR(__xludf.DUMMYFUNCTION("""COMPUTED_VALUE"""),9367018.0)</f>
        <v>9367018</v>
      </c>
    </row>
    <row r="83">
      <c r="A83" s="6">
        <f>IFERROR(__xludf.DUMMYFUNCTION("""COMPUTED_VALUE"""),45772.64583333333)</f>
        <v>45772.64583</v>
      </c>
      <c r="B83" s="5">
        <f>IFERROR(__xludf.DUMMYFUNCTION("""COMPUTED_VALUE"""),1259.4)</f>
        <v>1259.4</v>
      </c>
      <c r="C83" s="5">
        <f>IFERROR(__xludf.DUMMYFUNCTION("""COMPUTED_VALUE"""),1260.0)</f>
        <v>1260</v>
      </c>
      <c r="D83" s="5">
        <f>IFERROR(__xludf.DUMMYFUNCTION("""COMPUTED_VALUE"""),1181.2)</f>
        <v>1181.2</v>
      </c>
      <c r="E83" s="5">
        <f>IFERROR(__xludf.DUMMYFUNCTION("""COMPUTED_VALUE"""),1193.0)</f>
        <v>1193</v>
      </c>
      <c r="F83" s="5">
        <f>IFERROR(__xludf.DUMMYFUNCTION("""COMPUTED_VALUE"""),1.7324857E7)</f>
        <v>17324857</v>
      </c>
    </row>
    <row r="84">
      <c r="A84" s="6">
        <f>IFERROR(__xludf.DUMMYFUNCTION("""COMPUTED_VALUE"""),45779.64583333333)</f>
        <v>45779.64583</v>
      </c>
      <c r="B84" s="5">
        <f>IFERROR(__xludf.DUMMYFUNCTION("""COMPUTED_VALUE"""),1188.1)</f>
        <v>1188.1</v>
      </c>
      <c r="C84" s="5">
        <f>IFERROR(__xludf.DUMMYFUNCTION("""COMPUTED_VALUE"""),1295.0)</f>
        <v>1295</v>
      </c>
      <c r="D84" s="5">
        <f>IFERROR(__xludf.DUMMYFUNCTION("""COMPUTED_VALUE"""),1184.1)</f>
        <v>1184.1</v>
      </c>
      <c r="E84" s="5">
        <f>IFERROR(__xludf.DUMMYFUNCTION("""COMPUTED_VALUE"""),1267.1)</f>
        <v>1267.1</v>
      </c>
      <c r="F84" s="5">
        <f>IFERROR(__xludf.DUMMYFUNCTION("""COMPUTED_VALUE"""),1.7547241E7)</f>
        <v>17547241</v>
      </c>
    </row>
    <row r="85">
      <c r="A85" s="6">
        <f>IFERROR(__xludf.DUMMYFUNCTION("""COMPUTED_VALUE"""),45786.64583333333)</f>
        <v>45786.64583</v>
      </c>
      <c r="B85" s="5">
        <f>IFERROR(__xludf.DUMMYFUNCTION("""COMPUTED_VALUE"""),1290.0)</f>
        <v>1290</v>
      </c>
      <c r="C85" s="5">
        <f>IFERROR(__xludf.DUMMYFUNCTION("""COMPUTED_VALUE"""),1377.0)</f>
        <v>1377</v>
      </c>
      <c r="D85" s="5">
        <f>IFERROR(__xludf.DUMMYFUNCTION("""COMPUTED_VALUE"""),1285.7)</f>
        <v>1285.7</v>
      </c>
      <c r="E85" s="5">
        <f>IFERROR(__xludf.DUMMYFUNCTION("""COMPUTED_VALUE"""),1306.3)</f>
        <v>1306.3</v>
      </c>
      <c r="F85" s="5">
        <f>IFERROR(__xludf.DUMMYFUNCTION("""COMPUTED_VALUE"""),2.9122948E7)</f>
        <v>29122948</v>
      </c>
    </row>
    <row r="86">
      <c r="A86" s="6">
        <f>IFERROR(__xludf.DUMMYFUNCTION("""COMPUTED_VALUE"""),45793.64583333333)</f>
        <v>45793.64583</v>
      </c>
      <c r="B86" s="5">
        <f>IFERROR(__xludf.DUMMYFUNCTION("""COMPUTED_VALUE"""),1360.0)</f>
        <v>1360</v>
      </c>
      <c r="C86" s="5">
        <f>IFERROR(__xludf.DUMMYFUNCTION("""COMPUTED_VALUE"""),1424.9)</f>
        <v>1424.9</v>
      </c>
      <c r="D86" s="5">
        <f>IFERROR(__xludf.DUMMYFUNCTION("""COMPUTED_VALUE"""),1345.5)</f>
        <v>1345.5</v>
      </c>
      <c r="E86" s="5">
        <f>IFERROR(__xludf.DUMMYFUNCTION("""COMPUTED_VALUE"""),1407.4)</f>
        <v>1407.4</v>
      </c>
      <c r="F86" s="5">
        <f>IFERROR(__xludf.DUMMYFUNCTION("""COMPUTED_VALUE"""),1.5060306E7)</f>
        <v>15060306</v>
      </c>
    </row>
    <row r="87">
      <c r="A87" s="6">
        <f>IFERROR(__xludf.DUMMYFUNCTION("""COMPUTED_VALUE"""),45800.64583333333)</f>
        <v>45800.64583</v>
      </c>
      <c r="B87" s="5">
        <f>IFERROR(__xludf.DUMMYFUNCTION("""COMPUTED_VALUE"""),1407.5)</f>
        <v>1407.5</v>
      </c>
      <c r="C87" s="5">
        <f>IFERROR(__xludf.DUMMYFUNCTION("""COMPUTED_VALUE"""),1410.6)</f>
        <v>1410.6</v>
      </c>
      <c r="D87" s="5">
        <f>IFERROR(__xludf.DUMMYFUNCTION("""COMPUTED_VALUE"""),1358.6)</f>
        <v>1358.6</v>
      </c>
      <c r="E87" s="5">
        <f>IFERROR(__xludf.DUMMYFUNCTION("""COMPUTED_VALUE"""),1395.4)</f>
        <v>1395.4</v>
      </c>
      <c r="F87" s="5">
        <f>IFERROR(__xludf.DUMMYFUNCTION("""COMPUTED_VALUE"""),1.1183143E7)</f>
        <v>11183143</v>
      </c>
    </row>
    <row r="88">
      <c r="A88" s="6">
        <f>IFERROR(__xludf.DUMMYFUNCTION("""COMPUTED_VALUE"""),45807.64583333333)</f>
        <v>45807.64583</v>
      </c>
      <c r="B88" s="5">
        <f>IFERROR(__xludf.DUMMYFUNCTION("""COMPUTED_VALUE"""),1395.8)</f>
        <v>1395.8</v>
      </c>
      <c r="C88" s="5">
        <f>IFERROR(__xludf.DUMMYFUNCTION("""COMPUTED_VALUE"""),1457.5)</f>
        <v>1457.5</v>
      </c>
      <c r="D88" s="5">
        <f>IFERROR(__xludf.DUMMYFUNCTION("""COMPUTED_VALUE"""),1385.4)</f>
        <v>1385.4</v>
      </c>
      <c r="E88" s="5">
        <f>IFERROR(__xludf.DUMMYFUNCTION("""COMPUTED_VALUE"""),1432.8)</f>
        <v>1432.8</v>
      </c>
      <c r="F88" s="5">
        <f>IFERROR(__xludf.DUMMYFUNCTION("""COMPUTED_VALUE"""),9869483.0)</f>
        <v>9869483</v>
      </c>
    </row>
    <row r="89">
      <c r="A89" s="6">
        <f>IFERROR(__xludf.DUMMYFUNCTION("""COMPUTED_VALUE"""),45814.64583333333)</f>
        <v>45814.64583</v>
      </c>
      <c r="B89" s="5">
        <f>IFERROR(__xludf.DUMMYFUNCTION("""COMPUTED_VALUE"""),1432.8)</f>
        <v>1432.8</v>
      </c>
      <c r="C89" s="5">
        <f>IFERROR(__xludf.DUMMYFUNCTION("""COMPUTED_VALUE"""),1482.0)</f>
        <v>1482</v>
      </c>
      <c r="D89" s="5">
        <f>IFERROR(__xludf.DUMMYFUNCTION("""COMPUTED_VALUE"""),1423.1)</f>
        <v>1423.1</v>
      </c>
      <c r="E89" s="5">
        <f>IFERROR(__xludf.DUMMYFUNCTION("""COMPUTED_VALUE"""),1471.7)</f>
        <v>1471.7</v>
      </c>
      <c r="F89" s="5">
        <f>IFERROR(__xludf.DUMMYFUNCTION("""COMPUTED_VALUE"""),1.1578676E7)</f>
        <v>11578676</v>
      </c>
    </row>
    <row r="90">
      <c r="A90" s="6">
        <f>IFERROR(__xludf.DUMMYFUNCTION("""COMPUTED_VALUE"""),45821.64583333333)</f>
        <v>45821.64583</v>
      </c>
      <c r="B90" s="5">
        <f>IFERROR(__xludf.DUMMYFUNCTION("""COMPUTED_VALUE"""),1482.0)</f>
        <v>1482</v>
      </c>
      <c r="C90" s="5">
        <f>IFERROR(__xludf.DUMMYFUNCTION("""COMPUTED_VALUE"""),1494.0)</f>
        <v>1494</v>
      </c>
      <c r="D90" s="5">
        <f>IFERROR(__xludf.DUMMYFUNCTION("""COMPUTED_VALUE"""),1397.1)</f>
        <v>1397.1</v>
      </c>
      <c r="E90" s="5">
        <f>IFERROR(__xludf.DUMMYFUNCTION("""COMPUTED_VALUE"""),1405.0)</f>
        <v>1405</v>
      </c>
      <c r="F90" s="5">
        <f>IFERROR(__xludf.DUMMYFUNCTION("""COMPUTED_VALUE"""),1.1384193E7)</f>
        <v>11384193</v>
      </c>
    </row>
    <row r="91">
      <c r="A91" s="6">
        <f>IFERROR(__xludf.DUMMYFUNCTION("""COMPUTED_VALUE"""),45828.64583333333)</f>
        <v>45828.64583</v>
      </c>
      <c r="B91" s="5">
        <f>IFERROR(__xludf.DUMMYFUNCTION("""COMPUTED_VALUE"""),1389.0)</f>
        <v>1389</v>
      </c>
      <c r="C91" s="5">
        <f>IFERROR(__xludf.DUMMYFUNCTION("""COMPUTED_VALUE"""),1414.8)</f>
        <v>1414.8</v>
      </c>
      <c r="D91" s="5">
        <f>IFERROR(__xludf.DUMMYFUNCTION("""COMPUTED_VALUE"""),1331.6)</f>
        <v>1331.6</v>
      </c>
      <c r="E91" s="5">
        <f>IFERROR(__xludf.DUMMYFUNCTION("""COMPUTED_VALUE"""),1349.3)</f>
        <v>1349.3</v>
      </c>
      <c r="F91" s="5">
        <f>IFERROR(__xludf.DUMMYFUNCTION("""COMPUTED_VALUE"""),1.361888E7)</f>
        <v>13618880</v>
      </c>
    </row>
    <row r="92">
      <c r="A92" s="6">
        <f>IFERROR(__xludf.DUMMYFUNCTION("""COMPUTED_VALUE"""),45835.64583333333)</f>
        <v>45835.64583</v>
      </c>
      <c r="B92" s="5">
        <f>IFERROR(__xludf.DUMMYFUNCTION("""COMPUTED_VALUE"""),1341.0)</f>
        <v>1341</v>
      </c>
      <c r="C92" s="5">
        <f>IFERROR(__xludf.DUMMYFUNCTION("""COMPUTED_VALUE"""),1456.8)</f>
        <v>1456.8</v>
      </c>
      <c r="D92" s="5">
        <f>IFERROR(__xludf.DUMMYFUNCTION("""COMPUTED_VALUE"""),1335.7)</f>
        <v>1335.7</v>
      </c>
      <c r="E92" s="5">
        <f>IFERROR(__xludf.DUMMYFUNCTION("""COMPUTED_VALUE"""),1440.2)</f>
        <v>1440.2</v>
      </c>
      <c r="F92" s="5">
        <f>IFERROR(__xludf.DUMMYFUNCTION("""COMPUTED_VALUE"""),1.9238516E7)</f>
        <v>19238516</v>
      </c>
    </row>
    <row r="93">
      <c r="A93" s="6">
        <f>IFERROR(__xludf.DUMMYFUNCTION("""COMPUTED_VALUE"""),45842.64583333333)</f>
        <v>45842.64583</v>
      </c>
      <c r="B93" s="5">
        <f>IFERROR(__xludf.DUMMYFUNCTION("""COMPUTED_VALUE"""),1440.8)</f>
        <v>1440.8</v>
      </c>
      <c r="C93" s="5">
        <f>IFERROR(__xludf.DUMMYFUNCTION("""COMPUTED_VALUE"""),1459.8)</f>
        <v>1459.8</v>
      </c>
      <c r="D93" s="5">
        <f>IFERROR(__xludf.DUMMYFUNCTION("""COMPUTED_VALUE"""),1416.6)</f>
        <v>1416.6</v>
      </c>
      <c r="E93" s="5">
        <f>IFERROR(__xludf.DUMMYFUNCTION("""COMPUTED_VALUE"""),1424.4)</f>
        <v>1424.4</v>
      </c>
      <c r="F93" s="5">
        <f>IFERROR(__xludf.DUMMYFUNCTION("""COMPUTED_VALUE"""),6527001.0)</f>
        <v>6527001</v>
      </c>
    </row>
    <row r="94">
      <c r="A94" s="6">
        <f>IFERROR(__xludf.DUMMYFUNCTION("""COMPUTED_VALUE"""),45849.64583333333)</f>
        <v>45849.64583</v>
      </c>
      <c r="B94" s="5">
        <f>IFERROR(__xludf.DUMMYFUNCTION("""COMPUTED_VALUE"""),1424.4)</f>
        <v>1424.4</v>
      </c>
      <c r="C94" s="5">
        <f>IFERROR(__xludf.DUMMYFUNCTION("""COMPUTED_VALUE"""),1455.8)</f>
        <v>1455.8</v>
      </c>
      <c r="D94" s="5">
        <f>IFERROR(__xludf.DUMMYFUNCTION("""COMPUTED_VALUE"""),1417.0)</f>
        <v>1417</v>
      </c>
      <c r="E94" s="5">
        <f>IFERROR(__xludf.DUMMYFUNCTION("""COMPUTED_VALUE"""),1431.7)</f>
        <v>1431.7</v>
      </c>
      <c r="F94" s="5">
        <f>IFERROR(__xludf.DUMMYFUNCTION("""COMPUTED_VALUE"""),4453464.0)</f>
        <v>4453464</v>
      </c>
    </row>
    <row r="95">
      <c r="A95" s="6">
        <f>IFERROR(__xludf.DUMMYFUNCTION("""COMPUTED_VALUE"""),45856.64583333333)</f>
        <v>45856.64583</v>
      </c>
      <c r="B95" s="5">
        <f>IFERROR(__xludf.DUMMYFUNCTION("""COMPUTED_VALUE"""),1432.0)</f>
        <v>1432</v>
      </c>
      <c r="C95" s="5">
        <f>IFERROR(__xludf.DUMMYFUNCTION("""COMPUTED_VALUE"""),1474.0)</f>
        <v>1474</v>
      </c>
      <c r="D95" s="5">
        <f>IFERROR(__xludf.DUMMYFUNCTION("""COMPUTED_VALUE"""),1426.1)</f>
        <v>1426.1</v>
      </c>
      <c r="E95" s="5">
        <f>IFERROR(__xludf.DUMMYFUNCTION("""COMPUTED_VALUE"""),1443.1)</f>
        <v>1443.1</v>
      </c>
      <c r="F95" s="5">
        <f>IFERROR(__xludf.DUMMYFUNCTION("""COMPUTED_VALUE"""),6258592.0)</f>
        <v>6258592</v>
      </c>
    </row>
    <row r="96">
      <c r="A96" s="6">
        <f>IFERROR(__xludf.DUMMYFUNCTION("""COMPUTED_VALUE"""),45863.64583333333)</f>
        <v>45863.64583</v>
      </c>
      <c r="B96" s="5">
        <f>IFERROR(__xludf.DUMMYFUNCTION("""COMPUTED_VALUE"""),1442.1)</f>
        <v>1442.1</v>
      </c>
      <c r="C96" s="5">
        <f>IFERROR(__xludf.DUMMYFUNCTION("""COMPUTED_VALUE"""),1454.5)</f>
        <v>1454.5</v>
      </c>
      <c r="D96" s="5">
        <f>IFERROR(__xludf.DUMMYFUNCTION("""COMPUTED_VALUE"""),1390.0)</f>
        <v>1390</v>
      </c>
      <c r="E96" s="5">
        <f>IFERROR(__xludf.DUMMYFUNCTION("""COMPUTED_VALUE"""),1396.3)</f>
        <v>1396.3</v>
      </c>
      <c r="F96" s="5">
        <f>IFERROR(__xludf.DUMMYFUNCTION("""COMPUTED_VALUE"""),3875685.0)</f>
        <v>3875685</v>
      </c>
    </row>
    <row r="97">
      <c r="A97" s="6">
        <f>IFERROR(__xludf.DUMMYFUNCTION("""COMPUTED_VALUE"""),45870.64583333333)</f>
        <v>45870.64583</v>
      </c>
      <c r="B97" s="5">
        <f>IFERROR(__xludf.DUMMYFUNCTION("""COMPUTED_VALUE"""),1396.3)</f>
        <v>1396.3</v>
      </c>
      <c r="C97" s="5">
        <f>IFERROR(__xludf.DUMMYFUNCTION("""COMPUTED_VALUE"""),1404.1)</f>
        <v>1404.1</v>
      </c>
      <c r="D97" s="5">
        <f>IFERROR(__xludf.DUMMYFUNCTION("""COMPUTED_VALUE"""),1342.8)</f>
        <v>1342.8</v>
      </c>
      <c r="E97" s="5">
        <f>IFERROR(__xludf.DUMMYFUNCTION("""COMPUTED_VALUE"""),1347.1)</f>
        <v>1347.1</v>
      </c>
      <c r="F97" s="5">
        <f>IFERROR(__xludf.DUMMYFUNCTION("""COMPUTED_VALUE"""),4852929.0)</f>
        <v>4852929</v>
      </c>
    </row>
    <row r="98">
      <c r="A98" s="6">
        <f>IFERROR(__xludf.DUMMYFUNCTION("""COMPUTED_VALUE"""),45877.64583333333)</f>
        <v>45877.64583</v>
      </c>
      <c r="B98" s="5">
        <f>IFERROR(__xludf.DUMMYFUNCTION("""COMPUTED_VALUE"""),1349.8)</f>
        <v>1349.8</v>
      </c>
      <c r="C98" s="5">
        <f>IFERROR(__xludf.DUMMYFUNCTION("""COMPUTED_VALUE"""),1397.0)</f>
        <v>1397</v>
      </c>
      <c r="D98" s="5">
        <f>IFERROR(__xludf.DUMMYFUNCTION("""COMPUTED_VALUE"""),1315.0)</f>
        <v>1315</v>
      </c>
      <c r="E98" s="5">
        <f>IFERROR(__xludf.DUMMYFUNCTION("""COMPUTED_VALUE"""),1325.0)</f>
        <v>1325</v>
      </c>
      <c r="F98" s="5">
        <f>IFERROR(__xludf.DUMMYFUNCTION("""COMPUTED_VALUE"""),1.108015E7)</f>
        <v>11080150</v>
      </c>
    </row>
    <row r="99">
      <c r="A99" s="6">
        <f>IFERROR(__xludf.DUMMYFUNCTION("""COMPUTED_VALUE"""),45883.64583333333)</f>
        <v>45883.64583</v>
      </c>
      <c r="B99" s="5">
        <f>IFERROR(__xludf.DUMMYFUNCTION("""COMPUTED_VALUE"""),1325.0)</f>
        <v>1325</v>
      </c>
      <c r="C99" s="5">
        <f>IFERROR(__xludf.DUMMYFUNCTION("""COMPUTED_VALUE"""),1349.6)</f>
        <v>1349.6</v>
      </c>
      <c r="D99" s="5">
        <f>IFERROR(__xludf.DUMMYFUNCTION("""COMPUTED_VALUE"""),1290.5)</f>
        <v>1290.5</v>
      </c>
      <c r="E99" s="5">
        <f>IFERROR(__xludf.DUMMYFUNCTION("""COMPUTED_VALUE"""),1300.3)</f>
        <v>1300.3</v>
      </c>
      <c r="F99" s="5">
        <f>IFERROR(__xludf.DUMMYFUNCTION("""COMPUTED_VALUE"""),6817600.0)</f>
        <v>6817600</v>
      </c>
    </row>
    <row r="100">
      <c r="A100" s="6">
        <f>IFERROR(__xludf.DUMMYFUNCTION("""COMPUTED_VALUE"""),45891.64583333333)</f>
        <v>45891.64583</v>
      </c>
      <c r="B100" s="5">
        <f>IFERROR(__xludf.DUMMYFUNCTION("""COMPUTED_VALUE"""),1321.9)</f>
        <v>1321.9</v>
      </c>
      <c r="C100" s="5">
        <f>IFERROR(__xludf.DUMMYFUNCTION("""COMPUTED_VALUE"""),1377.8)</f>
        <v>1377.8</v>
      </c>
      <c r="D100" s="5">
        <f>IFERROR(__xludf.DUMMYFUNCTION("""COMPUTED_VALUE"""),1295.0)</f>
        <v>1295</v>
      </c>
      <c r="E100" s="5">
        <f>IFERROR(__xludf.DUMMYFUNCTION("""COMPUTED_VALUE"""),1341.2)</f>
        <v>1341.2</v>
      </c>
      <c r="F100" s="5">
        <f>IFERROR(__xludf.DUMMYFUNCTION("""COMPUTED_VALUE"""),1.7407857E7)</f>
        <v>17407857</v>
      </c>
    </row>
  </sheetData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IFERROR(__xludf.DUMMYFUNCTION("GOOGLEFINANCE(""NSE:INDIGO"", ""all"",ConfigSheet!B2 -ConfigSheet!B1,ConfigSheet!B2,ConfigSheet!B3)"),"#N/A")</f>
        <v>#N/A</v>
      </c>
    </row>
  </sheetData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IFERROR(__xludf.DUMMYFUNCTION("GOOGLEFINANCE(""NSE:INDUSINDBK"", ""all"",ConfigSheet!B2 -ConfigSheet!B1,ConfigSheet!B2,ConfigSheet!B3)"),"#N/A")</f>
        <v>#N/A</v>
      </c>
    </row>
  </sheetData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IFERROR(__xludf.DUMMYFUNCTION("GOOGLEFINANCE(""NSE:INDUSTOWER"", ""all"",ConfigSheet!B2 -ConfigSheet!B1,ConfigSheet!B2,ConfigSheet!B3)"),"#N/A")</f>
        <v>#N/A</v>
      </c>
    </row>
  </sheetData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IFERROR(__xludf.DUMMYFUNCTION("GOOGLEFINANCE(""NSE:INFY"", ""all"",ConfigSheet!B2 -ConfigSheet!B1,ConfigSheet!B2,ConfigSheet!B3)"),"#N/A")</f>
        <v>#N/A</v>
      </c>
    </row>
  </sheetData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IFERROR(__xludf.DUMMYFUNCTION("GOOGLEFINANCE(""NSE:IOC"", ""all"",ConfigSheet!B2 -ConfigSheet!B1,ConfigSheet!B2,ConfigSheet!B3)"),"#N/A")</f>
        <v>#N/A</v>
      </c>
    </row>
  </sheetData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IFERROR(__xludf.DUMMYFUNCTION("GOOGLEFINANCE(""NSE:IRB"", ""all"",ConfigSheet!B2 -ConfigSheet!B1,ConfigSheet!B2,ConfigSheet!B3)"),"#N/A")</f>
        <v>#N/A</v>
      </c>
    </row>
  </sheetData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IFERROR(__xludf.DUMMYFUNCTION("GOOGLEFINANCE(""NSE:IRCTC"", ""all"",ConfigSheet!B2 -ConfigSheet!B1,ConfigSheet!B2,ConfigSheet!B3)"),"#N/A")</f>
        <v>#N/A</v>
      </c>
    </row>
  </sheetData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IFERROR(__xludf.DUMMYFUNCTION("GOOGLEFINANCE(""NSE:IREDA"", ""all"",ConfigSheet!B2 -ConfigSheet!B1,ConfigSheet!B2,ConfigSheet!B3)"),"#N/A")</f>
        <v>#N/A</v>
      </c>
    </row>
  </sheetData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IFERROR(__xludf.DUMMYFUNCTION("GOOGLEFINANCE(""NSE:IRFC"", ""all"",ConfigSheet!B2 -ConfigSheet!B1,ConfigSheet!B2,ConfigSheet!B3)"),"#N/A")</f>
        <v>#N/A</v>
      </c>
    </row>
  </sheetData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tr">
        <f>IFERROR(__xludf.DUMMYFUNCTION("GOOGLEFINANCE(""NSE:ITC"", ""all"",ConfigSheet!B2 -ConfigSheet!B1,ConfigSheet!B2,ConfigSheet!B3)"),"#N/A")</f>
        <v>#N/A</v>
      </c>
    </row>
  </sheetData>
  <drawing r:id="rId1"/>
</worksheet>
</file>