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5" windowWidth="14805" windowHeight="7950"/>
  </bookViews>
  <sheets>
    <sheet name="Sheet1" sheetId="4" r:id="rId1"/>
    <sheet name="Calculation" sheetId="7" r:id="rId2"/>
  </sheets>
  <definedNames>
    <definedName name="_xlnm.Print_Area" localSheetId="1">Calculation!$A$1:$K$406</definedName>
    <definedName name="_xlnm.Print_Area" localSheetId="0">Sheet1!$A$1:$D$1</definedName>
  </definedNames>
  <calcPr calcId="152511"/>
</workbook>
</file>

<file path=xl/calcChain.xml><?xml version="1.0" encoding="utf-8"?>
<calcChain xmlns="http://schemas.openxmlformats.org/spreadsheetml/2006/main">
  <c r="E44" i="7" l="1"/>
  <c r="G14" i="4" l="1"/>
  <c r="E30" i="7" l="1"/>
  <c r="G22" i="4"/>
  <c r="M116" i="7" l="1"/>
  <c r="G34" i="7"/>
  <c r="E69" i="7" s="1"/>
  <c r="E71" i="7" s="1"/>
  <c r="E38" i="7"/>
  <c r="E56" i="7"/>
  <c r="E58" i="7"/>
  <c r="E402" i="7" s="1"/>
  <c r="E60" i="7"/>
  <c r="N94" i="7"/>
  <c r="E102" i="7"/>
  <c r="E151" i="7"/>
  <c r="E153" i="7"/>
  <c r="E173" i="7" s="1"/>
  <c r="E155" i="7"/>
  <c r="E159" i="7"/>
  <c r="E181" i="7"/>
  <c r="E183" i="7"/>
  <c r="E203" i="7" s="1"/>
  <c r="E185" i="7"/>
  <c r="E189" i="7"/>
  <c r="E235" i="7"/>
  <c r="E241" i="7"/>
  <c r="E243" i="7"/>
  <c r="O281" i="7"/>
  <c r="O282" i="7" s="1"/>
  <c r="E299" i="7" s="1"/>
  <c r="E293" i="7"/>
  <c r="E295" i="7"/>
  <c r="E321" i="7" s="1"/>
  <c r="E297" i="7"/>
  <c r="E305" i="7" s="1"/>
  <c r="E303" i="7"/>
  <c r="E311" i="7"/>
  <c r="E370" i="7"/>
  <c r="E372" i="7"/>
  <c r="E398" i="7" s="1"/>
  <c r="E374" i="7"/>
  <c r="E382" i="7" s="1"/>
  <c r="O377" i="7"/>
  <c r="E380" i="7"/>
  <c r="E388" i="7"/>
  <c r="E67" i="7" l="1"/>
  <c r="G34" i="4"/>
  <c r="E157" i="7"/>
  <c r="O283" i="7"/>
  <c r="E301" i="7" s="1"/>
  <c r="O378" i="7"/>
  <c r="E376" i="7" s="1"/>
  <c r="E325" i="7"/>
  <c r="E62" i="7"/>
  <c r="E187" i="7"/>
  <c r="E313" i="7"/>
  <c r="E237" i="7"/>
  <c r="E245" i="7"/>
  <c r="Q116" i="7"/>
  <c r="N116" i="7"/>
  <c r="O116" i="7"/>
  <c r="E130" i="7"/>
  <c r="E73" i="7"/>
  <c r="E315" i="7"/>
  <c r="E193" i="7"/>
  <c r="E191" i="7"/>
  <c r="E197" i="7" s="1"/>
  <c r="E163" i="7"/>
  <c r="E392" i="7"/>
  <c r="E233" i="7"/>
  <c r="E161" i="7"/>
  <c r="E167" i="7" s="1"/>
  <c r="E390" i="7"/>
  <c r="E231" i="7"/>
  <c r="E307" i="7"/>
  <c r="E309" i="7" s="1"/>
  <c r="E323" i="7" s="1"/>
  <c r="U116" i="7"/>
  <c r="E104" i="7" s="1"/>
  <c r="E143" i="7" s="1"/>
  <c r="S116" i="7"/>
  <c r="P116" i="7"/>
  <c r="E89" i="7"/>
  <c r="E75" i="7"/>
  <c r="R116" i="7"/>
  <c r="E132" i="7" s="1"/>
  <c r="T116" i="7"/>
  <c r="O379" i="7" l="1"/>
  <c r="E378" i="7" s="1"/>
  <c r="E384" i="7" s="1"/>
  <c r="E386" i="7" s="1"/>
  <c r="E400" i="7" s="1"/>
  <c r="E317" i="7"/>
  <c r="E327" i="7" s="1"/>
  <c r="E169" i="7"/>
  <c r="E174" i="7" s="1"/>
  <c r="E394" i="7"/>
  <c r="E404" i="7" s="1"/>
  <c r="E249" i="7"/>
  <c r="E77" i="7"/>
  <c r="E79" i="7" s="1"/>
  <c r="E81" i="7" s="1"/>
  <c r="E83" i="7" s="1"/>
  <c r="E91" i="7" s="1"/>
  <c r="E134" i="7"/>
  <c r="E136" i="7" s="1"/>
  <c r="E144" i="7" s="1"/>
  <c r="E247" i="7"/>
  <c r="E199" i="7"/>
  <c r="E204" i="7" s="1"/>
  <c r="G68" i="4"/>
  <c r="G67" i="4"/>
  <c r="G66" i="4"/>
  <c r="G60" i="4"/>
  <c r="G59" i="4"/>
  <c r="G58" i="4"/>
  <c r="G65" i="4"/>
  <c r="G56" i="4"/>
  <c r="G62" i="4"/>
  <c r="E251" i="7" l="1"/>
  <c r="E256" i="7" s="1"/>
  <c r="G57" i="4"/>
  <c r="G63" i="4" s="1"/>
  <c r="E36" i="4" l="1"/>
  <c r="E33" i="4" l="1"/>
  <c r="E32" i="4"/>
</calcChain>
</file>

<file path=xl/comments1.xml><?xml version="1.0" encoding="utf-8"?>
<comments xmlns="http://schemas.openxmlformats.org/spreadsheetml/2006/main">
  <authors>
    <author>Author</author>
  </authors>
  <commentList>
    <comment ref="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Confirm this Value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for Design 1.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Design Check to be given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needed.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Due to Rounding off HYO1
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Due to Rounding off.</t>
        </r>
      </text>
    </comment>
    <comment ref="U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Confirm this Value</t>
        </r>
      </text>
    </comment>
  </commentList>
</comments>
</file>

<file path=xl/sharedStrings.xml><?xml version="1.0" encoding="utf-8"?>
<sst xmlns="http://schemas.openxmlformats.org/spreadsheetml/2006/main" count="885" uniqueCount="458">
  <si>
    <t>Input</t>
    <phoneticPr fontId="1"/>
  </si>
  <si>
    <t>Input</t>
    <phoneticPr fontId="1"/>
  </si>
  <si>
    <t>Fixed Value</t>
    <phoneticPr fontId="1"/>
  </si>
  <si>
    <t>Derived</t>
  </si>
  <si>
    <t>Parameter</t>
    <phoneticPr fontId="1"/>
  </si>
  <si>
    <t>Component</t>
    <phoneticPr fontId="1"/>
  </si>
  <si>
    <t>Parameter Identity</t>
    <phoneticPr fontId="1"/>
  </si>
  <si>
    <t>W</t>
    <phoneticPr fontId="1"/>
  </si>
  <si>
    <t>Input</t>
    <phoneticPr fontId="1"/>
  </si>
  <si>
    <t>C</t>
    <phoneticPr fontId="1"/>
  </si>
  <si>
    <t>M30</t>
    <phoneticPr fontId="1"/>
  </si>
  <si>
    <t>M36</t>
    <phoneticPr fontId="1"/>
  </si>
  <si>
    <t>Clearance between Puling Plate OD &amp; Pedestal Inside Dia.</t>
    <phoneticPr fontId="1"/>
  </si>
  <si>
    <t>Fixed Value</t>
    <phoneticPr fontId="1"/>
  </si>
  <si>
    <t xml:space="preserve"> Offset distance along Horizontal Face</t>
    <phoneticPr fontId="1"/>
  </si>
  <si>
    <t>Fixed Value</t>
    <phoneticPr fontId="1"/>
  </si>
  <si>
    <t>Input Parameter</t>
    <phoneticPr fontId="1"/>
  </si>
  <si>
    <t>Pulling Plate Width</t>
    <phoneticPr fontId="1"/>
  </si>
  <si>
    <t>Stud Bolt Size</t>
    <phoneticPr fontId="1"/>
  </si>
  <si>
    <t>Angular Position Lifting Bolt</t>
    <phoneticPr fontId="1"/>
  </si>
  <si>
    <t>Fixed</t>
    <phoneticPr fontId="1"/>
  </si>
  <si>
    <t>Axial Position of Lifting Bolt 'a' at Horizontal face</t>
    <phoneticPr fontId="1"/>
  </si>
  <si>
    <t>Radial Position of Lifting Bolt 'a' at Horizontal face</t>
    <phoneticPr fontId="1"/>
  </si>
  <si>
    <t>Length of Support Plate</t>
    <phoneticPr fontId="1"/>
  </si>
  <si>
    <t>Chamfer at Edges</t>
    <phoneticPr fontId="1"/>
  </si>
  <si>
    <t>Fillet at Edges</t>
    <phoneticPr fontId="1"/>
  </si>
  <si>
    <t>W1.1/2</t>
    <phoneticPr fontId="1"/>
  </si>
  <si>
    <t>W1.1/4</t>
    <phoneticPr fontId="1"/>
  </si>
  <si>
    <t>W2</t>
    <phoneticPr fontId="1"/>
  </si>
  <si>
    <t>M24</t>
    <phoneticPr fontId="1"/>
  </si>
  <si>
    <t>Clearance Diameter</t>
    <phoneticPr fontId="1"/>
  </si>
  <si>
    <t>C</t>
    <phoneticPr fontId="1"/>
  </si>
  <si>
    <t>Input</t>
    <phoneticPr fontId="1"/>
  </si>
  <si>
    <t>HX01</t>
    <phoneticPr fontId="1"/>
  </si>
  <si>
    <t>Cold Clearance Value</t>
    <phoneticPr fontId="1"/>
  </si>
  <si>
    <t>HX02</t>
    <phoneticPr fontId="1"/>
  </si>
  <si>
    <t>HX04</t>
  </si>
  <si>
    <t>HX05</t>
  </si>
  <si>
    <t>Rotor Collar Width</t>
    <phoneticPr fontId="1"/>
  </si>
  <si>
    <t>GUI Data</t>
    <phoneticPr fontId="1"/>
  </si>
  <si>
    <t>HX06</t>
    <phoneticPr fontId="1"/>
  </si>
  <si>
    <t>HX01-(HX06/2+HX04)</t>
    <phoneticPr fontId="1"/>
  </si>
  <si>
    <t>From Application</t>
    <phoneticPr fontId="1"/>
  </si>
  <si>
    <t>Remarks</t>
    <phoneticPr fontId="1"/>
  </si>
  <si>
    <t>POP-UP Message</t>
    <phoneticPr fontId="1"/>
  </si>
  <si>
    <t>Bearing Load</t>
    <phoneticPr fontId="1"/>
  </si>
  <si>
    <t>Bearing Position</t>
    <phoneticPr fontId="1"/>
  </si>
  <si>
    <t>ØRD</t>
    <phoneticPr fontId="1"/>
  </si>
  <si>
    <t>Value</t>
    <phoneticPr fontId="1"/>
  </si>
  <si>
    <t>Pulling Plate Outside Diameter</t>
    <phoneticPr fontId="1"/>
  </si>
  <si>
    <t>ØP0D</t>
    <phoneticPr fontId="1"/>
  </si>
  <si>
    <t>Calculation Link to be done to find the correct value</t>
    <phoneticPr fontId="1"/>
  </si>
  <si>
    <t>Formulae</t>
    <phoneticPr fontId="1"/>
  </si>
  <si>
    <t>Pulling Plate Inside Diameter</t>
    <phoneticPr fontId="1"/>
  </si>
  <si>
    <t>ØPID</t>
    <phoneticPr fontId="1"/>
  </si>
  <si>
    <t>-</t>
    <phoneticPr fontId="1"/>
  </si>
  <si>
    <t>Input &amp; calculated</t>
    <phoneticPr fontId="1"/>
  </si>
  <si>
    <t>RD+1</t>
    <phoneticPr fontId="1"/>
  </si>
  <si>
    <t>Rounding off to Multiple of 5
((POD/2 – PID/2)/2)
+ (PID/2)</t>
    <phoneticPr fontId="1"/>
  </si>
  <si>
    <t>(HX04+HX05)-(HX01+HX06/2)</t>
    <phoneticPr fontId="1"/>
  </si>
  <si>
    <t>B</t>
    <phoneticPr fontId="1"/>
  </si>
  <si>
    <t>Application</t>
    <phoneticPr fontId="1"/>
  </si>
  <si>
    <t xml:space="preserve">Pulling Plate Inside Radius </t>
    <phoneticPr fontId="1"/>
  </si>
  <si>
    <t>RDER2</t>
    <phoneticPr fontId="1"/>
  </si>
  <si>
    <t>PID/2</t>
    <phoneticPr fontId="1"/>
  </si>
  <si>
    <t>Pulling Plate Outside Radius</t>
    <phoneticPr fontId="1"/>
  </si>
  <si>
    <t>POD/2</t>
    <phoneticPr fontId="1"/>
  </si>
  <si>
    <t>From Calculation Sheet.</t>
    <phoneticPr fontId="1"/>
  </si>
  <si>
    <t>Design Check
Between Collar.</t>
    <phoneticPr fontId="1"/>
  </si>
  <si>
    <t>DER4</t>
    <phoneticPr fontId="1"/>
  </si>
  <si>
    <t>Lifting hole Position</t>
    <phoneticPr fontId="1"/>
  </si>
  <si>
    <t>Pulling Width-Design Consideration -Inside</t>
    <phoneticPr fontId="1"/>
  </si>
  <si>
    <t>Pulling Width-Design Consideration -Outside</t>
    <phoneticPr fontId="1"/>
  </si>
  <si>
    <t>(POD/2-PID/2)/2</t>
    <phoneticPr fontId="1"/>
  </si>
  <si>
    <t>FIX1</t>
    <phoneticPr fontId="1"/>
  </si>
  <si>
    <t>FIX2</t>
    <phoneticPr fontId="1"/>
  </si>
  <si>
    <t>Lifting Hole Size</t>
    <phoneticPr fontId="1"/>
  </si>
  <si>
    <t>M12x33/22</t>
    <phoneticPr fontId="1"/>
  </si>
  <si>
    <t>25°</t>
    <phoneticPr fontId="1"/>
  </si>
  <si>
    <t>FIX3</t>
    <phoneticPr fontId="1"/>
  </si>
  <si>
    <t>Fixed Value</t>
    <phoneticPr fontId="1"/>
  </si>
  <si>
    <t>Lifting Hole Thread Length</t>
    <phoneticPr fontId="1"/>
  </si>
  <si>
    <t>Lifting Hole Drill Length</t>
    <phoneticPr fontId="1"/>
  </si>
  <si>
    <t>FIX1-1</t>
    <phoneticPr fontId="1"/>
  </si>
  <si>
    <t>FIX1-2</t>
    <phoneticPr fontId="1"/>
  </si>
  <si>
    <t>FIX4</t>
    <phoneticPr fontId="1"/>
  </si>
  <si>
    <t>FIX5</t>
    <phoneticPr fontId="1"/>
  </si>
  <si>
    <t>From calculation sheet</t>
    <phoneticPr fontId="1"/>
  </si>
  <si>
    <t>DER5</t>
  </si>
  <si>
    <t>DER6</t>
  </si>
  <si>
    <t>Stud Bolt Thread Length</t>
    <phoneticPr fontId="1"/>
  </si>
  <si>
    <t>Stud Bolt Drill Length</t>
    <phoneticPr fontId="1"/>
  </si>
  <si>
    <t>Derieved from Database</t>
    <phoneticPr fontId="1"/>
  </si>
  <si>
    <t>DER5+9</t>
    <phoneticPr fontId="1"/>
  </si>
  <si>
    <t>Support Plate Width</t>
    <phoneticPr fontId="1"/>
  </si>
  <si>
    <t>Support Plate Thickness</t>
    <phoneticPr fontId="1"/>
  </si>
  <si>
    <t>FIX6</t>
    <phoneticPr fontId="1"/>
  </si>
  <si>
    <t>FIX7</t>
  </si>
  <si>
    <t>FIX8</t>
  </si>
  <si>
    <t>FIX9</t>
  </si>
  <si>
    <t>FIX10</t>
  </si>
  <si>
    <t>Vertical Dimension of Bolt 2 from Edge</t>
    <phoneticPr fontId="1"/>
  </si>
  <si>
    <t>Horizontal Dimension of Bolt 2 from Edge</t>
    <phoneticPr fontId="1"/>
  </si>
  <si>
    <t>Spot spacing depth around Stud Bolt</t>
    <phoneticPr fontId="1"/>
  </si>
  <si>
    <t>HX21</t>
    <phoneticPr fontId="1"/>
  </si>
  <si>
    <t>HX22</t>
    <phoneticPr fontId="1"/>
  </si>
  <si>
    <t>HX23</t>
  </si>
  <si>
    <t>Plate Width-Bearing End</t>
    <phoneticPr fontId="1"/>
  </si>
  <si>
    <t>Plate Width-Bearing End (Near Rotor)</t>
    <phoneticPr fontId="1"/>
  </si>
  <si>
    <t>HY21</t>
    <phoneticPr fontId="1"/>
  </si>
  <si>
    <t>HY22</t>
  </si>
  <si>
    <t>Support Plate Width-Near Rotor End</t>
    <phoneticPr fontId="1"/>
  </si>
  <si>
    <t>Spot Facing Dimension</t>
    <phoneticPr fontId="1"/>
  </si>
  <si>
    <t>Vertical Lifting Hole Position</t>
    <phoneticPr fontId="1"/>
  </si>
  <si>
    <t>Horizontal Lifting Hole Position</t>
    <phoneticPr fontId="1"/>
  </si>
  <si>
    <t>Pro-e Command</t>
    <phoneticPr fontId="1"/>
  </si>
  <si>
    <t>Pitch Distance between Bolt &amp; Stud Bolt</t>
    <phoneticPr fontId="1"/>
  </si>
  <si>
    <t>Derived from Database</t>
  </si>
  <si>
    <t>Derived/Calculated</t>
  </si>
  <si>
    <t>MHPS consultation required to make the values as Fixed value</t>
  </si>
  <si>
    <t>Input/
Derived/Application</t>
  </si>
  <si>
    <t>Round down(25.4*1.5*STUD BOLT SIZE)</t>
  </si>
  <si>
    <t>HX01-HX02</t>
    <phoneticPr fontId="1"/>
  </si>
  <si>
    <t>Pro-e Command Driven</t>
    <phoneticPr fontId="1"/>
  </si>
  <si>
    <t>Stud Hole Clearance Diameter</t>
    <phoneticPr fontId="1"/>
  </si>
  <si>
    <t>Vertical Dimension of Stud Bolt from Edge of Plate</t>
    <phoneticPr fontId="1"/>
  </si>
  <si>
    <t>(HY02+HY03+FIX6)-HY01</t>
    <phoneticPr fontId="1"/>
  </si>
  <si>
    <t>Hole B Details</t>
    <phoneticPr fontId="1"/>
  </si>
  <si>
    <t>Bolt Metric Size</t>
    <phoneticPr fontId="1"/>
  </si>
  <si>
    <t>Counterbore Diameter</t>
    <phoneticPr fontId="1"/>
  </si>
  <si>
    <t>Depth of Counterbore Diameter</t>
    <phoneticPr fontId="1"/>
  </si>
  <si>
    <t>Based on Database</t>
    <phoneticPr fontId="1"/>
  </si>
  <si>
    <t>M26</t>
  </si>
  <si>
    <t xml:space="preserve">Bolt 1 Size </t>
    <phoneticPr fontId="1"/>
  </si>
  <si>
    <t>Bolt 2 Size</t>
    <phoneticPr fontId="1"/>
  </si>
  <si>
    <t>B01</t>
    <phoneticPr fontId="1"/>
  </si>
  <si>
    <t>B02</t>
    <phoneticPr fontId="1"/>
  </si>
  <si>
    <t>M28</t>
    <phoneticPr fontId="1"/>
  </si>
  <si>
    <t>M32</t>
    <phoneticPr fontId="1"/>
  </si>
  <si>
    <t>M34</t>
    <phoneticPr fontId="1"/>
  </si>
  <si>
    <t>Hole Thread Length</t>
    <phoneticPr fontId="1"/>
  </si>
  <si>
    <t>L1</t>
    <phoneticPr fontId="1"/>
  </si>
  <si>
    <t>L2</t>
    <phoneticPr fontId="1"/>
  </si>
  <si>
    <t>Derived</t>
    <phoneticPr fontId="1"/>
  </si>
  <si>
    <t>DER6+DER5/2+Gap Constant</t>
    <phoneticPr fontId="1"/>
  </si>
  <si>
    <t>Bolt1 Diameter</t>
    <phoneticPr fontId="1"/>
  </si>
  <si>
    <t>Bolt1 Counterbore Diameter</t>
    <phoneticPr fontId="1"/>
  </si>
  <si>
    <t>Bolt1 Counterbore Diameter Depth</t>
    <phoneticPr fontId="1"/>
  </si>
  <si>
    <t>DER7-1</t>
    <phoneticPr fontId="1"/>
  </si>
  <si>
    <t>DER7-2</t>
    <phoneticPr fontId="1"/>
  </si>
  <si>
    <t>Bolt2 Diameter</t>
    <phoneticPr fontId="1"/>
  </si>
  <si>
    <t>Bolt2 Counterbore Diameter</t>
    <phoneticPr fontId="1"/>
  </si>
  <si>
    <t>Bolt2 Counterbore Diameter Depth</t>
    <phoneticPr fontId="1"/>
  </si>
  <si>
    <t>DER8</t>
    <phoneticPr fontId="1"/>
  </si>
  <si>
    <t>DER1</t>
    <phoneticPr fontId="1"/>
  </si>
  <si>
    <t>DER2</t>
    <phoneticPr fontId="1"/>
  </si>
  <si>
    <t>RDER3</t>
    <phoneticPr fontId="1"/>
  </si>
  <si>
    <t>Derived from Ass'y Drawing.</t>
    <phoneticPr fontId="1"/>
  </si>
  <si>
    <t>DER7</t>
    <phoneticPr fontId="1"/>
  </si>
  <si>
    <t>DER12</t>
    <phoneticPr fontId="1"/>
  </si>
  <si>
    <t>DER15</t>
    <phoneticPr fontId="1"/>
  </si>
  <si>
    <t>DER17</t>
    <phoneticPr fontId="1"/>
  </si>
  <si>
    <t>DER10</t>
    <phoneticPr fontId="1"/>
  </si>
  <si>
    <t>DER11</t>
    <phoneticPr fontId="1"/>
  </si>
  <si>
    <t>DER16</t>
    <phoneticPr fontId="1"/>
  </si>
  <si>
    <t>DER13</t>
    <phoneticPr fontId="1"/>
  </si>
  <si>
    <t>DER14</t>
    <phoneticPr fontId="1"/>
  </si>
  <si>
    <t>DER9</t>
    <phoneticPr fontId="1"/>
  </si>
  <si>
    <t>Rotor Diameter at pullin up plate position</t>
    <phoneticPr fontId="1"/>
  </si>
  <si>
    <t>Horizontal Distance between Bearing Center &amp; Stud Bolt</t>
    <phoneticPr fontId="1"/>
  </si>
  <si>
    <t>Horizontal Distance between Bearing Center &amp; Bolt 2</t>
  </si>
  <si>
    <t>Horizontal Distance between Bearing Center &amp; Rotor Collar</t>
  </si>
  <si>
    <t>Vertical Position Between Rotor Center &amp; Stud Bolt</t>
  </si>
  <si>
    <t>Pull Down Menu</t>
    <phoneticPr fontId="1"/>
  </si>
  <si>
    <t>Vertical Position Between Rotor Center &amp; Stud Bolt</t>
    <phoneticPr fontId="1"/>
  </si>
  <si>
    <t>=</t>
    <phoneticPr fontId="1"/>
  </si>
  <si>
    <t>Design Acceptance</t>
    <phoneticPr fontId="1"/>
  </si>
  <si>
    <r>
      <t>σ</t>
    </r>
    <r>
      <rPr>
        <vertAlign val="subscript"/>
        <sz val="16"/>
        <color theme="1"/>
        <rFont val="Calibri"/>
        <family val="2"/>
      </rPr>
      <t>allowable</t>
    </r>
    <phoneticPr fontId="1"/>
  </si>
  <si>
    <t>Allowable Stress</t>
    <phoneticPr fontId="1"/>
  </si>
  <si>
    <r>
      <t>kg/mm</t>
    </r>
    <r>
      <rPr>
        <vertAlign val="superscript"/>
        <sz val="12"/>
        <color theme="1"/>
        <rFont val="Calibri"/>
        <family val="2"/>
      </rPr>
      <t>2</t>
    </r>
    <phoneticPr fontId="1"/>
  </si>
  <si>
    <t>Judgement Creteria</t>
    <phoneticPr fontId="1"/>
  </si>
  <si>
    <r>
      <t>kg/mm</t>
    </r>
    <r>
      <rPr>
        <vertAlign val="superscript"/>
        <sz val="16"/>
        <color theme="1"/>
        <rFont val="Calibri"/>
        <family val="2"/>
      </rPr>
      <t>2</t>
    </r>
    <phoneticPr fontId="1"/>
  </si>
  <si>
    <r>
      <t>σ</t>
    </r>
    <r>
      <rPr>
        <vertAlign val="subscript"/>
        <sz val="16"/>
        <color theme="1"/>
        <rFont val="Calibri"/>
        <family val="2"/>
      </rPr>
      <t>c</t>
    </r>
    <phoneticPr fontId="1"/>
  </si>
  <si>
    <t>Principal Stress</t>
    <phoneticPr fontId="1"/>
  </si>
  <si>
    <t>τ</t>
    <phoneticPr fontId="1"/>
  </si>
  <si>
    <t>Torque</t>
    <phoneticPr fontId="1"/>
  </si>
  <si>
    <r>
      <t>σ</t>
    </r>
    <r>
      <rPr>
        <vertAlign val="subscript"/>
        <sz val="16"/>
        <color theme="1"/>
        <rFont val="Calibri"/>
        <family val="2"/>
      </rPr>
      <t>bA-A</t>
    </r>
    <phoneticPr fontId="1"/>
  </si>
  <si>
    <t>Stress</t>
    <phoneticPr fontId="1"/>
  </si>
  <si>
    <r>
      <t>mm</t>
    </r>
    <r>
      <rPr>
        <vertAlign val="superscript"/>
        <sz val="14"/>
        <color theme="1"/>
        <rFont val="Calibri"/>
        <family val="2"/>
      </rPr>
      <t>3</t>
    </r>
    <phoneticPr fontId="1"/>
  </si>
  <si>
    <t>=</t>
    <phoneticPr fontId="1"/>
  </si>
  <si>
    <t>z</t>
    <phoneticPr fontId="1"/>
  </si>
  <si>
    <t>Moment of Interia</t>
    <phoneticPr fontId="1"/>
  </si>
  <si>
    <r>
      <t>kg/mm</t>
    </r>
    <r>
      <rPr>
        <vertAlign val="superscript"/>
        <sz val="16"/>
        <color theme="1"/>
        <rFont val="Calibri"/>
        <family val="2"/>
      </rPr>
      <t>2</t>
    </r>
    <phoneticPr fontId="1"/>
  </si>
  <si>
    <t>σ</t>
    <phoneticPr fontId="1"/>
  </si>
  <si>
    <t>Stress</t>
    <phoneticPr fontId="1"/>
  </si>
  <si>
    <t>Kg</t>
    <phoneticPr fontId="1"/>
  </si>
  <si>
    <t>W1</t>
    <phoneticPr fontId="1"/>
  </si>
  <si>
    <t>Reaction Load</t>
    <phoneticPr fontId="1"/>
  </si>
  <si>
    <r>
      <t>mm</t>
    </r>
    <r>
      <rPr>
        <vertAlign val="superscript"/>
        <sz val="16"/>
        <color theme="1"/>
        <rFont val="Calibri"/>
        <family val="2"/>
      </rPr>
      <t>2</t>
    </r>
    <phoneticPr fontId="1"/>
  </si>
  <si>
    <r>
      <t>A</t>
    </r>
    <r>
      <rPr>
        <vertAlign val="subscript"/>
        <sz val="16"/>
        <color theme="1"/>
        <rFont val="Calibri"/>
        <family val="2"/>
      </rPr>
      <t>b</t>
    </r>
    <phoneticPr fontId="1"/>
  </si>
  <si>
    <t>Bolt Area</t>
    <phoneticPr fontId="1"/>
  </si>
  <si>
    <r>
      <t>Formulae:
Area=A=π/4 × d</t>
    </r>
    <r>
      <rPr>
        <vertAlign val="superscript"/>
        <sz val="20"/>
        <color theme="1"/>
        <rFont val="Calibri"/>
        <family val="2"/>
      </rPr>
      <t>4</t>
    </r>
    <r>
      <rPr>
        <sz val="20"/>
        <color theme="1"/>
        <rFont val="Calibri"/>
        <family val="2"/>
      </rPr>
      <t>.
W1=(a/b) x (W/2).
σ=W</t>
    </r>
    <r>
      <rPr>
        <vertAlign val="subscript"/>
        <sz val="20"/>
        <color theme="1"/>
        <rFont val="Calibri"/>
        <family val="2"/>
      </rPr>
      <t>1</t>
    </r>
    <r>
      <rPr>
        <sz val="20"/>
        <color theme="1"/>
        <rFont val="Calibri"/>
        <family val="2"/>
      </rPr>
      <t>/A.
Z= (b</t>
    </r>
    <r>
      <rPr>
        <vertAlign val="subscript"/>
        <sz val="20"/>
        <color theme="1"/>
        <rFont val="Calibri"/>
        <family val="2"/>
      </rPr>
      <t>A-A</t>
    </r>
    <r>
      <rPr>
        <sz val="20"/>
        <color theme="1"/>
        <rFont val="Calibri"/>
        <family val="2"/>
      </rPr>
      <t xml:space="preserve"> x h</t>
    </r>
    <r>
      <rPr>
        <vertAlign val="subscript"/>
        <sz val="20"/>
        <color theme="1"/>
        <rFont val="Calibri"/>
        <family val="2"/>
      </rPr>
      <t>A-A</t>
    </r>
    <r>
      <rPr>
        <vertAlign val="superscript"/>
        <sz val="20"/>
        <color theme="1"/>
        <rFont val="Calibri"/>
        <family val="2"/>
      </rPr>
      <t>2</t>
    </r>
    <r>
      <rPr>
        <sz val="20"/>
        <color theme="1"/>
        <rFont val="Calibri"/>
        <family val="2"/>
      </rPr>
      <t>)/6.
σ</t>
    </r>
    <r>
      <rPr>
        <vertAlign val="subscript"/>
        <sz val="20"/>
        <color theme="1"/>
        <rFont val="Calibri"/>
        <family val="2"/>
      </rPr>
      <t>b A-A</t>
    </r>
    <r>
      <rPr>
        <sz val="20"/>
        <color theme="1"/>
        <rFont val="Calibri"/>
        <family val="2"/>
      </rPr>
      <t xml:space="preserve"> = ((W/2) x L</t>
    </r>
    <r>
      <rPr>
        <vertAlign val="subscript"/>
        <sz val="20"/>
        <color theme="1"/>
        <rFont val="Calibri"/>
        <family val="2"/>
      </rPr>
      <t>1</t>
    </r>
    <r>
      <rPr>
        <sz val="20"/>
        <color theme="1"/>
        <rFont val="Calibri"/>
        <family val="2"/>
      </rPr>
      <t>)/Z.
τ=(W/2)/A</t>
    </r>
    <r>
      <rPr>
        <vertAlign val="subscript"/>
        <sz val="20"/>
        <color theme="1"/>
        <rFont val="Calibri"/>
        <family val="2"/>
      </rPr>
      <t>A-A</t>
    </r>
    <r>
      <rPr>
        <sz val="20"/>
        <color theme="1"/>
        <rFont val="Calibri"/>
        <family val="2"/>
      </rPr>
      <t>.
σ</t>
    </r>
    <r>
      <rPr>
        <vertAlign val="subscript"/>
        <sz val="20"/>
        <color theme="1"/>
        <rFont val="Calibri"/>
        <family val="2"/>
      </rPr>
      <t>c</t>
    </r>
    <r>
      <rPr>
        <sz val="20"/>
        <color theme="1"/>
        <rFont val="Calibri"/>
        <family val="2"/>
      </rPr>
      <t>=</t>
    </r>
    <r>
      <rPr>
        <sz val="20"/>
        <color theme="1"/>
        <rFont val="ＭＳ Ｐゴシック"/>
        <family val="3"/>
        <charset val="128"/>
      </rPr>
      <t>√</t>
    </r>
    <r>
      <rPr>
        <sz val="20"/>
        <color theme="1"/>
        <rFont val="Calibri"/>
        <family val="2"/>
      </rPr>
      <t>((2/3)σ</t>
    </r>
    <r>
      <rPr>
        <vertAlign val="subscript"/>
        <sz val="20"/>
        <color theme="1"/>
        <rFont val="Calibri"/>
        <family val="2"/>
      </rPr>
      <t>b A-A</t>
    </r>
    <r>
      <rPr>
        <sz val="20"/>
        <color theme="1"/>
        <rFont val="Calibri"/>
        <family val="2"/>
      </rPr>
      <t>)2+(3x τ</t>
    </r>
    <r>
      <rPr>
        <vertAlign val="superscript"/>
        <sz val="20"/>
        <color theme="1"/>
        <rFont val="Calibri"/>
        <family val="2"/>
      </rPr>
      <t>2</t>
    </r>
    <r>
      <rPr>
        <sz val="20"/>
        <color theme="1"/>
        <rFont val="Calibri"/>
        <family val="2"/>
      </rPr>
      <t>).</t>
    </r>
    <phoneticPr fontId="1"/>
  </si>
  <si>
    <r>
      <t>mm</t>
    </r>
    <r>
      <rPr>
        <vertAlign val="superscript"/>
        <sz val="16"/>
        <color theme="1"/>
        <rFont val="Calibri"/>
        <family val="2"/>
      </rPr>
      <t>2</t>
    </r>
    <phoneticPr fontId="1"/>
  </si>
  <si>
    <r>
      <t>A</t>
    </r>
    <r>
      <rPr>
        <vertAlign val="subscript"/>
        <sz val="16"/>
        <color theme="1"/>
        <rFont val="Calibri"/>
        <family val="2"/>
      </rPr>
      <t>a-a</t>
    </r>
    <phoneticPr fontId="1"/>
  </si>
  <si>
    <t>Area</t>
    <phoneticPr fontId="1"/>
  </si>
  <si>
    <t>b</t>
    <phoneticPr fontId="1"/>
  </si>
  <si>
    <t>a</t>
    <phoneticPr fontId="1"/>
  </si>
  <si>
    <t>mm</t>
    <phoneticPr fontId="1"/>
  </si>
  <si>
    <t>Distance</t>
    <phoneticPr fontId="1"/>
  </si>
  <si>
    <t>Angle</t>
    <phoneticPr fontId="1"/>
  </si>
  <si>
    <t>Calculation</t>
    <phoneticPr fontId="1"/>
  </si>
  <si>
    <t>mm</t>
    <phoneticPr fontId="1"/>
  </si>
  <si>
    <t>a</t>
    <phoneticPr fontId="1"/>
  </si>
  <si>
    <t xml:space="preserve">Distance </t>
    <phoneticPr fontId="1"/>
  </si>
  <si>
    <t>d</t>
    <phoneticPr fontId="1"/>
  </si>
  <si>
    <t>Bolt diameter</t>
    <phoneticPr fontId="1"/>
  </si>
  <si>
    <t>Y.S</t>
    <phoneticPr fontId="1"/>
  </si>
  <si>
    <t>Yield Strength</t>
    <phoneticPr fontId="1"/>
  </si>
  <si>
    <t>S.G</t>
    <phoneticPr fontId="1"/>
  </si>
  <si>
    <t>Specific Gravity</t>
    <phoneticPr fontId="1"/>
  </si>
  <si>
    <r>
      <t>N</t>
    </r>
    <r>
      <rPr>
        <vertAlign val="subscript"/>
        <sz val="16"/>
        <color theme="1"/>
        <rFont val="Calibri"/>
        <family val="2"/>
      </rPr>
      <t>a-a</t>
    </r>
    <phoneticPr fontId="1"/>
  </si>
  <si>
    <t>Plate Width</t>
    <phoneticPr fontId="1"/>
  </si>
  <si>
    <t>L4</t>
    <phoneticPr fontId="1"/>
  </si>
  <si>
    <t>Cut distance</t>
    <phoneticPr fontId="1"/>
  </si>
  <si>
    <t>L3</t>
    <phoneticPr fontId="1"/>
  </si>
  <si>
    <t>HX02</t>
    <phoneticPr fontId="1"/>
  </si>
  <si>
    <t>HX01</t>
    <phoneticPr fontId="1"/>
  </si>
  <si>
    <t>Horizontal Distance between Bearing Center &amp; Bolt 2</t>
    <phoneticPr fontId="1"/>
  </si>
  <si>
    <t>HY01</t>
    <phoneticPr fontId="1"/>
  </si>
  <si>
    <t>Vertical Position Between Rotor Center &amp; Bolt 1</t>
    <phoneticPr fontId="1"/>
  </si>
  <si>
    <t>DER1</t>
    <phoneticPr fontId="1"/>
  </si>
  <si>
    <t>Vertical Position Between Rotor Center &amp; Stud Bolt</t>
    <phoneticPr fontId="1"/>
  </si>
  <si>
    <t>M24</t>
    <phoneticPr fontId="1"/>
  </si>
  <si>
    <t>B01</t>
    <phoneticPr fontId="1"/>
  </si>
  <si>
    <t>Bolt Size</t>
    <phoneticPr fontId="1"/>
  </si>
  <si>
    <t>SCM440H</t>
  </si>
  <si>
    <t>Material</t>
    <phoneticPr fontId="1"/>
  </si>
  <si>
    <t>Bolt Material</t>
    <phoneticPr fontId="1"/>
  </si>
  <si>
    <t>d・・・谷の径（おねじ：M30）</t>
    <rPh sb="4" eb="5">
      <t>タニ</t>
    </rPh>
    <rPh sb="6" eb="7">
      <t>ケイ</t>
    </rPh>
    <phoneticPr fontId="1"/>
  </si>
  <si>
    <t>4.Bolt Strength for Support Plate ( Horizontal)</t>
    <phoneticPr fontId="1"/>
  </si>
  <si>
    <t>6/6</t>
    <phoneticPr fontId="1"/>
  </si>
  <si>
    <t>No.1 BRG.</t>
    <phoneticPr fontId="1"/>
  </si>
  <si>
    <t>Design Acceptance</t>
    <phoneticPr fontId="1"/>
  </si>
  <si>
    <r>
      <t>σ</t>
    </r>
    <r>
      <rPr>
        <vertAlign val="subscript"/>
        <sz val="16"/>
        <color theme="1"/>
        <rFont val="Calibri"/>
        <family val="2"/>
      </rPr>
      <t>allowable</t>
    </r>
    <phoneticPr fontId="1"/>
  </si>
  <si>
    <t>Allowable Stress</t>
    <phoneticPr fontId="1"/>
  </si>
  <si>
    <r>
      <t>kg/mm</t>
    </r>
    <r>
      <rPr>
        <vertAlign val="superscript"/>
        <sz val="12"/>
        <color theme="1"/>
        <rFont val="Calibri"/>
        <family val="2"/>
      </rPr>
      <t>2</t>
    </r>
    <phoneticPr fontId="1"/>
  </si>
  <si>
    <t>Judgement Creteria</t>
    <phoneticPr fontId="1"/>
  </si>
  <si>
    <r>
      <t>σ</t>
    </r>
    <r>
      <rPr>
        <vertAlign val="subscript"/>
        <sz val="16"/>
        <color theme="1"/>
        <rFont val="Calibri"/>
        <family val="2"/>
      </rPr>
      <t>c</t>
    </r>
    <phoneticPr fontId="1"/>
  </si>
  <si>
    <t>Principal Stress</t>
    <phoneticPr fontId="1"/>
  </si>
  <si>
    <t>τ</t>
    <phoneticPr fontId="1"/>
  </si>
  <si>
    <t>Torque</t>
    <phoneticPr fontId="1"/>
  </si>
  <si>
    <r>
      <t>σ</t>
    </r>
    <r>
      <rPr>
        <vertAlign val="subscript"/>
        <sz val="16"/>
        <color theme="1"/>
        <rFont val="Calibri"/>
        <family val="2"/>
      </rPr>
      <t>bA-A</t>
    </r>
    <phoneticPr fontId="1"/>
  </si>
  <si>
    <r>
      <t>mm</t>
    </r>
    <r>
      <rPr>
        <vertAlign val="superscript"/>
        <sz val="14"/>
        <color theme="1"/>
        <rFont val="Calibri"/>
        <family val="2"/>
      </rPr>
      <t>3</t>
    </r>
    <phoneticPr fontId="1"/>
  </si>
  <si>
    <r>
      <t>A</t>
    </r>
    <r>
      <rPr>
        <vertAlign val="subscript"/>
        <sz val="16"/>
        <color theme="1"/>
        <rFont val="Calibri"/>
        <family val="2"/>
      </rPr>
      <t>a-a</t>
    </r>
    <phoneticPr fontId="1"/>
  </si>
  <si>
    <t>Area</t>
    <phoneticPr fontId="1"/>
  </si>
  <si>
    <r>
      <t>Formulae:
Area=A=π/4 × d</t>
    </r>
    <r>
      <rPr>
        <vertAlign val="superscript"/>
        <sz val="20"/>
        <color theme="1"/>
        <rFont val="Calibri"/>
        <family val="2"/>
      </rPr>
      <t>4</t>
    </r>
    <r>
      <rPr>
        <sz val="20"/>
        <color theme="1"/>
        <rFont val="Calibri"/>
        <family val="2"/>
      </rPr>
      <t>.
W1=(a/b) x (W/2).
σ=W</t>
    </r>
    <r>
      <rPr>
        <vertAlign val="subscript"/>
        <sz val="20"/>
        <color theme="1"/>
        <rFont val="Calibri"/>
        <family val="2"/>
      </rPr>
      <t>1</t>
    </r>
    <r>
      <rPr>
        <sz val="20"/>
        <color theme="1"/>
        <rFont val="Calibri"/>
        <family val="2"/>
      </rPr>
      <t>/A.
Z= (b</t>
    </r>
    <r>
      <rPr>
        <vertAlign val="subscript"/>
        <sz val="20"/>
        <color theme="1"/>
        <rFont val="Calibri"/>
        <family val="2"/>
      </rPr>
      <t>A-A</t>
    </r>
    <r>
      <rPr>
        <sz val="20"/>
        <color theme="1"/>
        <rFont val="Calibri"/>
        <family val="2"/>
      </rPr>
      <t xml:space="preserve"> x h</t>
    </r>
    <r>
      <rPr>
        <vertAlign val="subscript"/>
        <sz val="20"/>
        <color theme="1"/>
        <rFont val="Calibri"/>
        <family val="2"/>
      </rPr>
      <t>A-A</t>
    </r>
    <r>
      <rPr>
        <vertAlign val="superscript"/>
        <sz val="20"/>
        <color theme="1"/>
        <rFont val="Calibri"/>
        <family val="2"/>
      </rPr>
      <t>2</t>
    </r>
    <r>
      <rPr>
        <sz val="20"/>
        <color theme="1"/>
        <rFont val="Calibri"/>
        <family val="2"/>
      </rPr>
      <t>)/6.
σ</t>
    </r>
    <r>
      <rPr>
        <vertAlign val="subscript"/>
        <sz val="20"/>
        <color theme="1"/>
        <rFont val="Calibri"/>
        <family val="2"/>
      </rPr>
      <t>b A-A</t>
    </r>
    <r>
      <rPr>
        <sz val="20"/>
        <color theme="1"/>
        <rFont val="Calibri"/>
        <family val="2"/>
      </rPr>
      <t xml:space="preserve"> = ((W/2) x L</t>
    </r>
    <r>
      <rPr>
        <vertAlign val="subscript"/>
        <sz val="20"/>
        <color theme="1"/>
        <rFont val="Calibri"/>
        <family val="2"/>
      </rPr>
      <t>1</t>
    </r>
    <r>
      <rPr>
        <sz val="20"/>
        <color theme="1"/>
        <rFont val="Calibri"/>
        <family val="2"/>
      </rPr>
      <t>)/Z.
τ=(W/2)/A</t>
    </r>
    <r>
      <rPr>
        <vertAlign val="subscript"/>
        <sz val="20"/>
        <color theme="1"/>
        <rFont val="Calibri"/>
        <family val="2"/>
      </rPr>
      <t>A-A</t>
    </r>
    <r>
      <rPr>
        <sz val="20"/>
        <color theme="1"/>
        <rFont val="Calibri"/>
        <family val="2"/>
      </rPr>
      <t>.
σ</t>
    </r>
    <r>
      <rPr>
        <vertAlign val="subscript"/>
        <sz val="20"/>
        <color theme="1"/>
        <rFont val="Calibri"/>
        <family val="2"/>
      </rPr>
      <t>c</t>
    </r>
    <r>
      <rPr>
        <sz val="20"/>
        <color theme="1"/>
        <rFont val="Calibri"/>
        <family val="2"/>
      </rPr>
      <t>=</t>
    </r>
    <r>
      <rPr>
        <sz val="20"/>
        <color theme="1"/>
        <rFont val="ＭＳ Ｐゴシック"/>
        <family val="3"/>
        <charset val="128"/>
      </rPr>
      <t>√</t>
    </r>
    <r>
      <rPr>
        <sz val="20"/>
        <color theme="1"/>
        <rFont val="Calibri"/>
        <family val="2"/>
      </rPr>
      <t>((2/3)σ</t>
    </r>
    <r>
      <rPr>
        <vertAlign val="subscript"/>
        <sz val="20"/>
        <color theme="1"/>
        <rFont val="Calibri"/>
        <family val="2"/>
      </rPr>
      <t>b A-A</t>
    </r>
    <r>
      <rPr>
        <sz val="20"/>
        <color theme="1"/>
        <rFont val="Calibri"/>
        <family val="2"/>
      </rPr>
      <t>)2+(3x τ</t>
    </r>
    <r>
      <rPr>
        <vertAlign val="superscript"/>
        <sz val="20"/>
        <color theme="1"/>
        <rFont val="Calibri"/>
        <family val="2"/>
      </rPr>
      <t>2</t>
    </r>
    <r>
      <rPr>
        <sz val="20"/>
        <color theme="1"/>
        <rFont val="Calibri"/>
        <family val="2"/>
      </rPr>
      <t>).</t>
    </r>
    <phoneticPr fontId="1"/>
  </si>
  <si>
    <t>b</t>
    <phoneticPr fontId="1"/>
  </si>
  <si>
    <t>Distance</t>
    <phoneticPr fontId="1"/>
  </si>
  <si>
    <t>M64</t>
    <phoneticPr fontId="1"/>
  </si>
  <si>
    <t>M56</t>
    <phoneticPr fontId="1"/>
  </si>
  <si>
    <t>L2</t>
    <phoneticPr fontId="1"/>
  </si>
  <si>
    <t>M48</t>
    <phoneticPr fontId="1"/>
  </si>
  <si>
    <t>M42</t>
    <phoneticPr fontId="1"/>
  </si>
  <si>
    <t>L1</t>
    <phoneticPr fontId="1"/>
  </si>
  <si>
    <t>M36</t>
    <phoneticPr fontId="1"/>
  </si>
  <si>
    <t>M30</t>
    <phoneticPr fontId="1"/>
  </si>
  <si>
    <t>M20</t>
    <phoneticPr fontId="1"/>
  </si>
  <si>
    <t>M16</t>
    <phoneticPr fontId="1"/>
  </si>
  <si>
    <t>M12</t>
    <phoneticPr fontId="1"/>
  </si>
  <si>
    <t>M10</t>
    <phoneticPr fontId="1"/>
  </si>
  <si>
    <t>SCM440H-QT</t>
  </si>
  <si>
    <t xml:space="preserve">4.Bolt Strength for Vertical </t>
    <phoneticPr fontId="1"/>
  </si>
  <si>
    <t>5/6</t>
    <phoneticPr fontId="1"/>
  </si>
  <si>
    <r>
      <t>Judgment criteria</t>
    </r>
    <r>
      <rPr>
        <sz val="12"/>
        <color theme="1"/>
        <rFont val="ＭＳ Ｐゴシック"/>
        <family val="2"/>
      </rPr>
      <t xml:space="preserve">：
</t>
    </r>
    <r>
      <rPr>
        <sz val="12"/>
        <color theme="1"/>
        <rFont val="Calibri"/>
        <family val="2"/>
      </rPr>
      <t>Judged from criteria of Max. 6mm with experience QGN-2(No.6 BRG)</t>
    </r>
    <phoneticPr fontId="1"/>
  </si>
  <si>
    <t>Allowable Deflection</t>
    <phoneticPr fontId="1"/>
  </si>
  <si>
    <t>cm</t>
    <phoneticPr fontId="1"/>
  </si>
  <si>
    <t>V1+V2</t>
    <phoneticPr fontId="1"/>
  </si>
  <si>
    <t>Total Deflection (mm)</t>
    <phoneticPr fontId="1"/>
  </si>
  <si>
    <t>V2</t>
    <phoneticPr fontId="1"/>
  </si>
  <si>
    <t>Deflection at R1</t>
    <phoneticPr fontId="1"/>
  </si>
  <si>
    <t>V1</t>
    <phoneticPr fontId="1"/>
  </si>
  <si>
    <t>Deflection at  R2</t>
    <phoneticPr fontId="1"/>
  </si>
  <si>
    <r>
      <t>cm</t>
    </r>
    <r>
      <rPr>
        <vertAlign val="superscript"/>
        <sz val="16"/>
        <color theme="1"/>
        <rFont val="Calibri"/>
        <family val="2"/>
      </rPr>
      <t>4</t>
    </r>
    <phoneticPr fontId="1"/>
  </si>
  <si>
    <t>I</t>
    <phoneticPr fontId="1"/>
  </si>
  <si>
    <t>h</t>
    <phoneticPr fontId="1"/>
  </si>
  <si>
    <t>Hanger Plate Thickness</t>
    <phoneticPr fontId="1"/>
  </si>
  <si>
    <r>
      <t xml:space="preserve">Formulae:
I= (1/12)×b×h3.
V1= </t>
    </r>
    <r>
      <rPr>
        <sz val="16"/>
        <color theme="1"/>
        <rFont val="ＭＳ Ｐゴシック"/>
        <family val="3"/>
        <charset val="128"/>
      </rPr>
      <t>（（</t>
    </r>
    <r>
      <rPr>
        <sz val="16"/>
        <color theme="1"/>
        <rFont val="Calibri"/>
        <family val="2"/>
      </rPr>
      <t>W/2</t>
    </r>
    <r>
      <rPr>
        <sz val="16"/>
        <color theme="1"/>
        <rFont val="ＭＳ Ｐゴシック"/>
        <family val="3"/>
        <charset val="128"/>
      </rPr>
      <t>）</t>
    </r>
    <r>
      <rPr>
        <sz val="16"/>
        <color theme="1"/>
        <rFont val="Calibri"/>
        <family val="2"/>
      </rPr>
      <t>×</t>
    </r>
    <r>
      <rPr>
        <sz val="16"/>
        <color theme="1"/>
        <rFont val="ＭＳ Ｐゴシック"/>
        <family val="3"/>
        <charset val="128"/>
      </rPr>
      <t>ℓ</t>
    </r>
    <r>
      <rPr>
        <sz val="16"/>
        <color theme="1"/>
        <rFont val="Calibri"/>
        <family val="2"/>
      </rPr>
      <t>13</t>
    </r>
    <r>
      <rPr>
        <sz val="16"/>
        <color theme="1"/>
        <rFont val="ＭＳ Ｐゴシック"/>
        <family val="3"/>
        <charset val="128"/>
      </rPr>
      <t>）</t>
    </r>
    <r>
      <rPr>
        <sz val="16"/>
        <color theme="1"/>
        <rFont val="Calibri"/>
        <family val="2"/>
      </rPr>
      <t>/6×E×I×</t>
    </r>
    <r>
      <rPr>
        <sz val="16"/>
        <color theme="1"/>
        <rFont val="ＭＳ Ｐゴシック"/>
        <family val="3"/>
        <charset val="128"/>
      </rPr>
      <t>（（（</t>
    </r>
    <r>
      <rPr>
        <sz val="16"/>
        <color theme="1"/>
        <rFont val="Calibri"/>
        <family val="2"/>
      </rPr>
      <t>3×</t>
    </r>
    <r>
      <rPr>
        <sz val="16"/>
        <color theme="1"/>
        <rFont val="ＭＳ Ｐゴシック"/>
        <family val="3"/>
        <charset val="128"/>
      </rPr>
      <t>ℓ</t>
    </r>
    <r>
      <rPr>
        <sz val="16"/>
        <color theme="1"/>
        <rFont val="Calibri"/>
        <family val="2"/>
      </rPr>
      <t>2</t>
    </r>
    <r>
      <rPr>
        <sz val="16"/>
        <color theme="1"/>
        <rFont val="ＭＳ Ｐゴシック"/>
        <family val="3"/>
        <charset val="128"/>
      </rPr>
      <t>）</t>
    </r>
    <r>
      <rPr>
        <sz val="16"/>
        <color theme="1"/>
        <rFont val="Calibri"/>
        <family val="2"/>
      </rPr>
      <t>/</t>
    </r>
    <r>
      <rPr>
        <sz val="16"/>
        <color theme="1"/>
        <rFont val="ＭＳ Ｐゴシック"/>
        <family val="3"/>
        <charset val="128"/>
      </rPr>
      <t>ℓ</t>
    </r>
    <r>
      <rPr>
        <sz val="16"/>
        <color theme="1"/>
        <rFont val="Calibri"/>
        <family val="2"/>
      </rPr>
      <t>1</t>
    </r>
    <r>
      <rPr>
        <sz val="16"/>
        <color theme="1"/>
        <rFont val="ＭＳ Ｐゴシック"/>
        <family val="3"/>
        <charset val="128"/>
      </rPr>
      <t>）</t>
    </r>
    <r>
      <rPr>
        <sz val="16"/>
        <color theme="1"/>
        <rFont val="Calibri"/>
        <family val="2"/>
      </rPr>
      <t>+2</t>
    </r>
    <r>
      <rPr>
        <sz val="16"/>
        <color theme="1"/>
        <rFont val="ＭＳ Ｐゴシック"/>
        <family val="3"/>
        <charset val="128"/>
      </rPr>
      <t>）</t>
    </r>
    <r>
      <rPr>
        <sz val="16"/>
        <color theme="1"/>
        <rFont val="Calibri"/>
        <family val="2"/>
      </rPr>
      <t>.
V2= ((W/2)×</t>
    </r>
    <r>
      <rPr>
        <sz val="16"/>
        <color theme="1"/>
        <rFont val="ＭＳ Ｐゴシック"/>
        <family val="3"/>
        <charset val="128"/>
      </rPr>
      <t>ℓ</t>
    </r>
    <r>
      <rPr>
        <sz val="16"/>
        <color theme="1"/>
        <rFont val="Calibri"/>
        <family val="2"/>
      </rPr>
      <t>1×</t>
    </r>
    <r>
      <rPr>
        <sz val="16"/>
        <color theme="1"/>
        <rFont val="ＭＳ Ｐゴシック"/>
        <family val="3"/>
        <charset val="128"/>
      </rPr>
      <t>ℓ</t>
    </r>
    <r>
      <rPr>
        <sz val="16"/>
        <color theme="1"/>
        <rFont val="Calibri"/>
        <family val="2"/>
      </rPr>
      <t>22)/8×E×I.</t>
    </r>
    <phoneticPr fontId="1"/>
  </si>
  <si>
    <t>Width of Pulling plate</t>
    <phoneticPr fontId="1"/>
  </si>
  <si>
    <r>
      <t>kg/cm</t>
    </r>
    <r>
      <rPr>
        <vertAlign val="superscript"/>
        <sz val="16"/>
        <color theme="1"/>
        <rFont val="Calibri"/>
        <family val="2"/>
      </rPr>
      <t>2</t>
    </r>
    <phoneticPr fontId="1"/>
  </si>
  <si>
    <r>
      <t>2.1×10</t>
    </r>
    <r>
      <rPr>
        <vertAlign val="superscript"/>
        <sz val="16"/>
        <color theme="1"/>
        <rFont val="Calibri"/>
        <family val="2"/>
      </rPr>
      <t>6</t>
    </r>
    <phoneticPr fontId="1"/>
  </si>
  <si>
    <t>E</t>
    <phoneticPr fontId="1"/>
  </si>
  <si>
    <t>Young Modulus</t>
    <phoneticPr fontId="1"/>
  </si>
  <si>
    <t xml:space="preserve">                                                                                                                                            </t>
    <phoneticPr fontId="1"/>
  </si>
  <si>
    <t>cm</t>
    <phoneticPr fontId="1"/>
  </si>
  <si>
    <r>
      <rPr>
        <sz val="16"/>
        <color theme="1"/>
        <rFont val="ＭＳ Ｐゴシック"/>
        <family val="2"/>
      </rPr>
      <t>ℓ</t>
    </r>
    <r>
      <rPr>
        <vertAlign val="subscript"/>
        <sz val="16"/>
        <color theme="1"/>
        <rFont val="Calibri"/>
        <family val="2"/>
      </rPr>
      <t>2</t>
    </r>
    <phoneticPr fontId="1"/>
  </si>
  <si>
    <t>Distance between the Bolt Center</t>
  </si>
  <si>
    <r>
      <rPr>
        <sz val="16"/>
        <color theme="1"/>
        <rFont val="ＭＳ Ｐゴシック"/>
        <family val="2"/>
      </rPr>
      <t>ℓ</t>
    </r>
    <r>
      <rPr>
        <vertAlign val="subscript"/>
        <sz val="16"/>
        <color theme="1"/>
        <rFont val="Calibri"/>
        <family val="2"/>
      </rPr>
      <t>1</t>
    </r>
    <phoneticPr fontId="1"/>
  </si>
  <si>
    <t>Bolt Center from Edge Face</t>
  </si>
  <si>
    <t>kg</t>
    <phoneticPr fontId="1"/>
  </si>
  <si>
    <t>R2</t>
    <phoneticPr fontId="1"/>
  </si>
  <si>
    <t>Reaction Load 2</t>
    <phoneticPr fontId="1"/>
  </si>
  <si>
    <t>R1</t>
    <phoneticPr fontId="1"/>
  </si>
  <si>
    <t>Reaction Load 1</t>
    <phoneticPr fontId="1"/>
  </si>
  <si>
    <t>4. Deflection Calculation</t>
    <phoneticPr fontId="1"/>
  </si>
  <si>
    <t>4/6</t>
    <phoneticPr fontId="1"/>
  </si>
  <si>
    <r>
      <t>Judgment criteria</t>
    </r>
    <r>
      <rPr>
        <sz val="12"/>
        <color theme="1"/>
        <rFont val="ＭＳ Ｐゴシック"/>
        <family val="2"/>
      </rPr>
      <t>：</t>
    </r>
    <r>
      <rPr>
        <sz val="12"/>
        <color theme="1"/>
        <rFont val="Calibri"/>
        <family val="2"/>
      </rPr>
      <t>shall be lower than this value</t>
    </r>
  </si>
  <si>
    <r>
      <t>σ</t>
    </r>
    <r>
      <rPr>
        <vertAlign val="subscript"/>
        <sz val="12"/>
        <color theme="1"/>
        <rFont val="Calibri"/>
        <family val="2"/>
      </rPr>
      <t>allowable</t>
    </r>
    <phoneticPr fontId="1"/>
  </si>
  <si>
    <r>
      <t>σ</t>
    </r>
    <r>
      <rPr>
        <vertAlign val="subscript"/>
        <sz val="12"/>
        <color theme="1"/>
        <rFont val="Calibri"/>
        <family val="2"/>
      </rPr>
      <t>c</t>
    </r>
    <phoneticPr fontId="1"/>
  </si>
  <si>
    <t>Principle Shear Stress</t>
    <phoneticPr fontId="1"/>
  </si>
  <si>
    <r>
      <t>σ</t>
    </r>
    <r>
      <rPr>
        <vertAlign val="subscript"/>
        <sz val="12"/>
        <color theme="1"/>
        <rFont val="Calibri"/>
        <family val="2"/>
      </rPr>
      <t>n</t>
    </r>
    <phoneticPr fontId="1"/>
  </si>
  <si>
    <t>Principle Normal Stress</t>
    <phoneticPr fontId="1"/>
  </si>
  <si>
    <r>
      <t>C</t>
    </r>
    <r>
      <rPr>
        <vertAlign val="subscript"/>
        <sz val="12"/>
        <color theme="1"/>
        <rFont val="Calibri"/>
        <family val="2"/>
      </rPr>
      <t>n</t>
    </r>
    <phoneticPr fontId="1"/>
  </si>
  <si>
    <t>Stress constant</t>
    <phoneticPr fontId="1"/>
  </si>
  <si>
    <t>Shear Stress</t>
    <phoneticPr fontId="1"/>
  </si>
  <si>
    <r>
      <t>σ</t>
    </r>
    <r>
      <rPr>
        <vertAlign val="subscript"/>
        <sz val="12"/>
        <color theme="1"/>
        <rFont val="Calibri"/>
        <family val="2"/>
      </rPr>
      <t>b</t>
    </r>
    <phoneticPr fontId="1"/>
  </si>
  <si>
    <t>Tensile Stress</t>
    <phoneticPr fontId="1"/>
  </si>
  <si>
    <r>
      <t>mm</t>
    </r>
    <r>
      <rPr>
        <vertAlign val="superscript"/>
        <sz val="12"/>
        <color theme="1"/>
        <rFont val="Calibri"/>
        <family val="2"/>
      </rPr>
      <t>2</t>
    </r>
    <phoneticPr fontId="1"/>
  </si>
  <si>
    <t>A</t>
    <phoneticPr fontId="1"/>
  </si>
  <si>
    <t xml:space="preserve">Area </t>
    <phoneticPr fontId="1"/>
  </si>
  <si>
    <r>
      <rPr>
        <u/>
        <sz val="12"/>
        <color theme="1"/>
        <rFont val="Calibri"/>
        <family val="2"/>
      </rPr>
      <t>Formulae:</t>
    </r>
    <r>
      <rPr>
        <sz val="12"/>
        <color theme="1"/>
        <rFont val="Calibri"/>
        <family val="2"/>
      </rPr>
      <t xml:space="preserve">
Area=A= M x N.
Tensile Stress=σ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>= (3xWxK)/NxM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.
Shear Stress=τ=W/(2×A).
Principal Normal Stress=σ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>=C</t>
    </r>
    <r>
      <rPr>
        <vertAlign val="subscript"/>
        <sz val="12"/>
        <color theme="1"/>
        <rFont val="Calibri"/>
        <family val="2"/>
      </rPr>
      <t xml:space="preserve">n </t>
    </r>
    <r>
      <rPr>
        <sz val="12"/>
        <color theme="1"/>
        <rFont val="Calibri"/>
        <family val="2"/>
      </rPr>
      <t>x σ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 xml:space="preserve"> .
Principle Shear stress=</t>
    </r>
    <r>
      <rPr>
        <sz val="12"/>
        <color theme="1"/>
        <rFont val="ＭＳ Ｐゴシック"/>
        <family val="3"/>
        <charset val="128"/>
      </rPr>
      <t>√</t>
    </r>
    <r>
      <rPr>
        <sz val="12"/>
        <color theme="1"/>
        <rFont val="Calibri"/>
        <family val="2"/>
      </rPr>
      <t>σ</t>
    </r>
    <r>
      <rPr>
        <vertAlign val="subscript"/>
        <sz val="12"/>
        <color theme="1"/>
        <rFont val="Calibri"/>
        <family val="2"/>
      </rPr>
      <t>n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+3τ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.
σ</t>
    </r>
    <r>
      <rPr>
        <vertAlign val="subscript"/>
        <sz val="12"/>
        <color theme="1"/>
        <rFont val="Calibri"/>
        <family val="2"/>
      </rPr>
      <t>Allowable</t>
    </r>
    <r>
      <rPr>
        <sz val="12"/>
        <color theme="1"/>
        <rFont val="Calibri"/>
        <family val="2"/>
      </rPr>
      <t xml:space="preserve">=1/2xY.S
</t>
    </r>
    <phoneticPr fontId="1"/>
  </si>
  <si>
    <t>m</t>
    <phoneticPr fontId="1"/>
  </si>
  <si>
    <t>Mass</t>
    <phoneticPr fontId="1"/>
  </si>
  <si>
    <t>V</t>
    <phoneticPr fontId="1"/>
  </si>
  <si>
    <t>Volume</t>
    <phoneticPr fontId="1"/>
  </si>
  <si>
    <t>SS400</t>
  </si>
  <si>
    <r>
      <t xml:space="preserve">5.Support </t>
    </r>
    <r>
      <rPr>
        <b/>
        <sz val="12"/>
        <color theme="1"/>
        <rFont val="Calibri"/>
        <family val="2"/>
      </rPr>
      <t>D-D</t>
    </r>
    <phoneticPr fontId="1"/>
  </si>
  <si>
    <r>
      <t>σ</t>
    </r>
    <r>
      <rPr>
        <vertAlign val="subscript"/>
        <sz val="12"/>
        <color theme="1"/>
        <rFont val="Calibri"/>
        <family val="2"/>
      </rPr>
      <t>allowable</t>
    </r>
    <phoneticPr fontId="1"/>
  </si>
  <si>
    <r>
      <t>σ</t>
    </r>
    <r>
      <rPr>
        <vertAlign val="subscript"/>
        <sz val="12"/>
        <color theme="1"/>
        <rFont val="Calibri"/>
        <family val="2"/>
      </rPr>
      <t>c</t>
    </r>
    <phoneticPr fontId="1"/>
  </si>
  <si>
    <t>Principle Shear Stress</t>
    <phoneticPr fontId="1"/>
  </si>
  <si>
    <t>Stress Constant</t>
    <phoneticPr fontId="1"/>
  </si>
  <si>
    <r>
      <rPr>
        <u/>
        <sz val="12"/>
        <color theme="1"/>
        <rFont val="Calibri"/>
        <family val="2"/>
      </rPr>
      <t>Formulae:</t>
    </r>
    <r>
      <rPr>
        <sz val="12"/>
        <color theme="1"/>
        <rFont val="Calibri"/>
        <family val="2"/>
      </rPr>
      <t xml:space="preserve">
Area=A= E x F.
Tensile Stress=σ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>= (WxP)/ExF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.
Shear Stress=τ=W/(2×A)
Torgue=</t>
    </r>
    <r>
      <rPr>
        <sz val="12"/>
        <color theme="1"/>
        <rFont val="ＭＳ Ｐゴシック"/>
        <family val="3"/>
        <charset val="128"/>
      </rPr>
      <t>√</t>
    </r>
    <r>
      <rPr>
        <sz val="12"/>
        <color theme="1"/>
        <rFont val="Calibri"/>
        <family val="2"/>
      </rPr>
      <t>σ</t>
    </r>
    <r>
      <rPr>
        <vertAlign val="subscript"/>
        <sz val="12"/>
        <color theme="1"/>
        <rFont val="Calibri"/>
        <family val="2"/>
      </rPr>
      <t>n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+3τ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 xml:space="preserve">
</t>
    </r>
    <phoneticPr fontId="1"/>
  </si>
  <si>
    <r>
      <t xml:space="preserve">4.Support </t>
    </r>
    <r>
      <rPr>
        <b/>
        <sz val="12"/>
        <color theme="1"/>
        <rFont val="Calibri"/>
        <family val="2"/>
      </rPr>
      <t>C-C</t>
    </r>
    <phoneticPr fontId="1"/>
  </si>
  <si>
    <r>
      <t>Judgment criteria</t>
    </r>
    <r>
      <rPr>
        <sz val="16"/>
        <color theme="1"/>
        <rFont val="ＭＳ Ｐゴシック"/>
        <family val="2"/>
      </rPr>
      <t>：</t>
    </r>
    <r>
      <rPr>
        <sz val="16"/>
        <color theme="1"/>
        <rFont val="Calibri"/>
        <family val="2"/>
      </rPr>
      <t>shall be lower than this value</t>
    </r>
  </si>
  <si>
    <r>
      <t>σ</t>
    </r>
    <r>
      <rPr>
        <vertAlign val="subscript"/>
        <sz val="16"/>
        <color theme="1"/>
        <rFont val="Calibri"/>
        <family val="2"/>
      </rPr>
      <t>d</t>
    </r>
    <phoneticPr fontId="1"/>
  </si>
  <si>
    <r>
      <rPr>
        <u/>
        <sz val="12"/>
        <color theme="1"/>
        <rFont val="Calibri"/>
        <family val="2"/>
      </rPr>
      <t xml:space="preserve">Formulae:
</t>
    </r>
    <r>
      <rPr>
        <sz val="12"/>
        <color theme="1"/>
        <rFont val="Calibri"/>
        <family val="2"/>
      </rPr>
      <t>Stress=σ</t>
    </r>
    <r>
      <rPr>
        <vertAlign val="subscript"/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= W/2As.
Shear stress, τ=(4W×d</t>
    </r>
    <r>
      <rPr>
        <vertAlign val="subscript"/>
        <sz val="12"/>
        <color theme="1"/>
        <rFont val="Calibri"/>
        <family val="2"/>
      </rPr>
      <t>p</t>
    </r>
    <r>
      <rPr>
        <sz val="12"/>
        <color theme="1"/>
        <rFont val="Calibri"/>
        <family val="2"/>
      </rPr>
      <t>×tan(ρ+β))/</t>
    </r>
    <r>
      <rPr>
        <sz val="12"/>
        <color theme="1"/>
        <rFont val="ＭＳ Ｐゴシック"/>
        <family val="3"/>
        <charset val="128"/>
      </rPr>
      <t>（</t>
    </r>
    <r>
      <rPr>
        <sz val="12"/>
        <color theme="1"/>
        <rFont val="Calibri"/>
        <family val="2"/>
      </rPr>
      <t>π×ds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)
Principal stress, σ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>=</t>
    </r>
    <r>
      <rPr>
        <sz val="12"/>
        <color theme="1"/>
        <rFont val="ＭＳ Ｐゴシック"/>
        <family val="3"/>
        <charset val="128"/>
      </rPr>
      <t>√</t>
    </r>
    <r>
      <rPr>
        <sz val="12"/>
        <color theme="1"/>
        <rFont val="Calibri"/>
        <family val="2"/>
      </rPr>
      <t>σ</t>
    </r>
    <r>
      <rPr>
        <vertAlign val="subscript"/>
        <sz val="12"/>
        <color theme="1"/>
        <rFont val="Calibri"/>
        <family val="2"/>
      </rPr>
      <t>d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+3τ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 xml:space="preserve">
</t>
    </r>
    <phoneticPr fontId="1"/>
  </si>
  <si>
    <t>S</t>
    <phoneticPr fontId="1"/>
  </si>
  <si>
    <t>Input</t>
    <phoneticPr fontId="1"/>
  </si>
  <si>
    <t>β</t>
    <phoneticPr fontId="1"/>
  </si>
  <si>
    <t>ρ</t>
    <phoneticPr fontId="1"/>
  </si>
  <si>
    <t>As</t>
    <phoneticPr fontId="1"/>
  </si>
  <si>
    <t>P</t>
    <phoneticPr fontId="1"/>
  </si>
  <si>
    <t>ds</t>
    <phoneticPr fontId="1"/>
  </si>
  <si>
    <t>dp</t>
    <phoneticPr fontId="1"/>
  </si>
  <si>
    <t>2.1/2</t>
    <phoneticPr fontId="1"/>
  </si>
  <si>
    <t>2.1/4</t>
    <phoneticPr fontId="1"/>
  </si>
  <si>
    <t>1.3/4</t>
    <phoneticPr fontId="1"/>
  </si>
  <si>
    <t>1.1/2</t>
    <phoneticPr fontId="1"/>
  </si>
  <si>
    <t>1.1/4</t>
    <phoneticPr fontId="1"/>
  </si>
  <si>
    <t>Range 2</t>
    <phoneticPr fontId="1"/>
  </si>
  <si>
    <t>Range1</t>
    <phoneticPr fontId="1"/>
  </si>
  <si>
    <t>P (Pitch)</t>
    <phoneticPr fontId="1"/>
  </si>
  <si>
    <t>ds (Root dia of External Thread )</t>
    <phoneticPr fontId="1"/>
  </si>
  <si>
    <t>dp (Pitch dia.)</t>
    <phoneticPr fontId="1"/>
  </si>
  <si>
    <t>d (Outer Dia. of External Thread)</t>
    <phoneticPr fontId="1"/>
  </si>
  <si>
    <t>Y.S</t>
    <phoneticPr fontId="1"/>
  </si>
  <si>
    <t xml:space="preserve">Bolt
Size </t>
    <phoneticPr fontId="1"/>
  </si>
  <si>
    <t>Load Range</t>
    <phoneticPr fontId="1"/>
  </si>
  <si>
    <t>Thread Details</t>
    <phoneticPr fontId="1"/>
  </si>
  <si>
    <t>Bolt Size</t>
    <phoneticPr fontId="1"/>
  </si>
  <si>
    <t>Database</t>
    <phoneticPr fontId="1"/>
  </si>
  <si>
    <t>Yield Strength</t>
    <phoneticPr fontId="1"/>
  </si>
  <si>
    <t>S.G</t>
    <phoneticPr fontId="1"/>
  </si>
  <si>
    <t>Specific Gravity</t>
    <phoneticPr fontId="1"/>
  </si>
  <si>
    <t>10305MDA</t>
  </si>
  <si>
    <t>Material</t>
    <phoneticPr fontId="1"/>
  </si>
  <si>
    <t>3.Screw strength</t>
    <phoneticPr fontId="1"/>
  </si>
  <si>
    <t>3/4</t>
    <phoneticPr fontId="1"/>
  </si>
  <si>
    <t>Allowable stress</t>
  </si>
  <si>
    <r>
      <t>σ</t>
    </r>
    <r>
      <rPr>
        <vertAlign val="subscript"/>
        <sz val="16"/>
        <color theme="1"/>
        <rFont val="Calibri"/>
        <family val="2"/>
      </rPr>
      <t>n</t>
    </r>
    <phoneticPr fontId="1"/>
  </si>
  <si>
    <t>Principle Normal Stress</t>
    <phoneticPr fontId="1"/>
  </si>
  <si>
    <r>
      <t>C</t>
    </r>
    <r>
      <rPr>
        <vertAlign val="subscript"/>
        <sz val="16"/>
        <color theme="1"/>
        <rFont val="Calibri"/>
        <family val="2"/>
      </rPr>
      <t>n</t>
    </r>
    <phoneticPr fontId="1"/>
  </si>
  <si>
    <t>Stress Constant</t>
    <phoneticPr fontId="1"/>
  </si>
  <si>
    <r>
      <t>σ</t>
    </r>
    <r>
      <rPr>
        <vertAlign val="subscript"/>
        <sz val="16"/>
        <color theme="1"/>
        <rFont val="Calibri"/>
        <family val="2"/>
      </rPr>
      <t>d</t>
    </r>
    <r>
      <rPr>
        <sz val="16"/>
        <color theme="1"/>
        <rFont val="Calibri"/>
        <family val="2"/>
      </rPr>
      <t>/σ</t>
    </r>
    <r>
      <rPr>
        <vertAlign val="subscript"/>
        <sz val="16"/>
        <color theme="1"/>
        <rFont val="Calibri"/>
        <family val="2"/>
      </rPr>
      <t>bi</t>
    </r>
    <phoneticPr fontId="1"/>
  </si>
  <si>
    <t>Ratio of Shear to Tensile Stress</t>
    <phoneticPr fontId="1"/>
  </si>
  <si>
    <r>
      <t>σ</t>
    </r>
    <r>
      <rPr>
        <vertAlign val="subscript"/>
        <sz val="16"/>
        <color theme="1"/>
        <rFont val="Calibri"/>
        <family val="2"/>
      </rPr>
      <t>d</t>
    </r>
    <r>
      <rPr>
        <sz val="16"/>
        <color theme="1"/>
        <rFont val="Calibri"/>
        <family val="2"/>
      </rPr>
      <t>(τ)</t>
    </r>
    <phoneticPr fontId="1"/>
  </si>
  <si>
    <t>Shear Stress</t>
  </si>
  <si>
    <r>
      <t>σ</t>
    </r>
    <r>
      <rPr>
        <vertAlign val="subscript"/>
        <sz val="16"/>
        <color theme="1"/>
        <rFont val="Calibri"/>
        <family val="2"/>
      </rPr>
      <t>bi</t>
    </r>
    <phoneticPr fontId="1"/>
  </si>
  <si>
    <t>Tensile Stress</t>
    <phoneticPr fontId="1"/>
  </si>
  <si>
    <t>Cn</t>
    <phoneticPr fontId="1"/>
  </si>
  <si>
    <t>σd/σbi</t>
  </si>
  <si>
    <t>κ</t>
    <phoneticPr fontId="1"/>
  </si>
  <si>
    <t>Constant</t>
    <phoneticPr fontId="1"/>
  </si>
  <si>
    <t>η</t>
    <phoneticPr fontId="1"/>
  </si>
  <si>
    <t xml:space="preserve">Centroid </t>
    <phoneticPr fontId="1"/>
  </si>
  <si>
    <t>A</t>
    <phoneticPr fontId="1"/>
  </si>
  <si>
    <r>
      <t xml:space="preserve">Formulae:
</t>
    </r>
    <r>
      <rPr>
        <sz val="12"/>
        <color theme="1"/>
        <rFont val="Calibri"/>
        <family val="2"/>
      </rPr>
      <t xml:space="preserve">Area=A= HxG.
</t>
    </r>
    <r>
      <rPr>
        <sz val="12"/>
        <color rgb="FFFF0000"/>
        <rFont val="Calibri"/>
        <family val="2"/>
      </rPr>
      <t>Centroid=η=R-R1.</t>
    </r>
    <r>
      <rPr>
        <sz val="12"/>
        <color theme="1"/>
        <rFont val="Calibri"/>
        <family val="2"/>
      </rPr>
      <t xml:space="preserve">
</t>
    </r>
    <r>
      <rPr>
        <sz val="12"/>
        <color rgb="FFFF0000"/>
        <rFont val="Calibri"/>
        <family val="2"/>
      </rPr>
      <t>Constant=κ=(1/3×(η/R)</t>
    </r>
    <r>
      <rPr>
        <vertAlign val="superscript"/>
        <sz val="12"/>
        <color rgb="FFFF0000"/>
        <rFont val="Calibri"/>
        <family val="2"/>
      </rPr>
      <t>2</t>
    </r>
    <r>
      <rPr>
        <sz val="12"/>
        <color rgb="FFFF0000"/>
        <rFont val="Calibri"/>
        <family val="2"/>
      </rPr>
      <t>+(1/5×(η/R)</t>
    </r>
    <r>
      <rPr>
        <vertAlign val="superscript"/>
        <sz val="12"/>
        <color rgb="FFFF0000"/>
        <rFont val="Calibri"/>
        <family val="2"/>
      </rPr>
      <t>4</t>
    </r>
    <r>
      <rPr>
        <sz val="12"/>
        <color rgb="FFFF0000"/>
        <rFont val="Calibri"/>
        <family val="2"/>
      </rPr>
      <t>+(1/7×(η/R)</t>
    </r>
    <r>
      <rPr>
        <vertAlign val="superscript"/>
        <sz val="12"/>
        <color rgb="FFFF0000"/>
        <rFont val="Calibri"/>
        <family val="2"/>
      </rPr>
      <t>6</t>
    </r>
    <r>
      <rPr>
        <sz val="12"/>
        <color rgb="FFFF0000"/>
        <rFont val="Calibri"/>
        <family val="2"/>
      </rPr>
      <t>.</t>
    </r>
    <r>
      <rPr>
        <sz val="12"/>
        <color theme="1"/>
        <rFont val="Calibri"/>
        <family val="2"/>
      </rPr>
      <t xml:space="preserve">
</t>
    </r>
    <r>
      <rPr>
        <sz val="12"/>
        <rFont val="Calibri"/>
        <family val="2"/>
      </rPr>
      <t>Tensile Stress</t>
    </r>
    <r>
      <rPr>
        <sz val="12"/>
        <color theme="1"/>
        <rFont val="Calibri"/>
        <family val="2"/>
      </rPr>
      <t>=σ</t>
    </r>
    <r>
      <rPr>
        <vertAlign val="subscript"/>
        <sz val="12"/>
        <color theme="1"/>
        <rFont val="Calibri"/>
        <family val="2"/>
      </rPr>
      <t>bi</t>
    </r>
    <r>
      <rPr>
        <sz val="12"/>
        <color theme="1"/>
        <rFont val="Calibri"/>
        <family val="2"/>
      </rPr>
      <t xml:space="preserve">=W/Aπ×(1+κ)x(1-(η/(κ×(R-η))).
</t>
    </r>
    <r>
      <rPr>
        <sz val="12"/>
        <rFont val="Calibri"/>
        <family val="2"/>
      </rPr>
      <t>Shear Stress</t>
    </r>
    <r>
      <rPr>
        <sz val="12"/>
        <color theme="1"/>
        <rFont val="Calibri"/>
        <family val="2"/>
      </rPr>
      <t>=σ</t>
    </r>
    <r>
      <rPr>
        <vertAlign val="subscript"/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= τ=W/2A.
C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>=</t>
    </r>
    <r>
      <rPr>
        <sz val="12"/>
        <color theme="1"/>
        <rFont val="ＭＳ Ｐゴシック"/>
        <family val="3"/>
        <charset val="128"/>
      </rPr>
      <t>（</t>
    </r>
    <r>
      <rPr>
        <sz val="12"/>
        <color theme="1"/>
        <rFont val="Calibri"/>
        <family val="2"/>
      </rPr>
      <t xml:space="preserve">Refer to Westinghouse document; P.H. 25053.01)
</t>
    </r>
    <r>
      <rPr>
        <sz val="12"/>
        <rFont val="Calibri"/>
        <family val="2"/>
      </rPr>
      <t>Principle Normal Stress</t>
    </r>
    <r>
      <rPr>
        <sz val="12"/>
        <color theme="1"/>
        <rFont val="Calibri"/>
        <family val="2"/>
      </rPr>
      <t>=σ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>= C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x (σ</t>
    </r>
    <r>
      <rPr>
        <vertAlign val="subscript"/>
        <sz val="12"/>
        <color theme="1"/>
        <rFont val="Calibri"/>
        <family val="2"/>
      </rPr>
      <t>bi +</t>
    </r>
    <r>
      <rPr>
        <sz val="12"/>
        <color theme="1"/>
        <rFont val="Calibri"/>
        <family val="2"/>
      </rPr>
      <t>σ</t>
    </r>
    <r>
      <rPr>
        <vertAlign val="subscript"/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).
Principle Shear Stress=σ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= </t>
    </r>
    <r>
      <rPr>
        <sz val="12"/>
        <color theme="1"/>
        <rFont val="ＭＳ Ｐゴシック"/>
        <family val="3"/>
        <charset val="128"/>
      </rPr>
      <t>√</t>
    </r>
    <r>
      <rPr>
        <sz val="12"/>
        <color theme="1"/>
        <rFont val="Calibri"/>
        <family val="2"/>
      </rPr>
      <t>σ</t>
    </r>
    <r>
      <rPr>
        <vertAlign val="subscript"/>
        <sz val="12"/>
        <color theme="1"/>
        <rFont val="Calibri"/>
        <family val="2"/>
      </rPr>
      <t>n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+3τ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 xml:space="preserve">.
</t>
    </r>
    <phoneticPr fontId="1"/>
  </si>
  <si>
    <r>
      <rPr>
        <sz val="16"/>
        <color theme="1"/>
        <rFont val="ＭＳ Ｐゴシック"/>
        <family val="2"/>
      </rPr>
      <t>２．</t>
    </r>
    <r>
      <rPr>
        <sz val="16"/>
        <color theme="1"/>
        <rFont val="Calibri"/>
        <family val="2"/>
      </rPr>
      <t>Strength calculation for pulling up plate</t>
    </r>
    <phoneticPr fontId="1"/>
  </si>
  <si>
    <t>m</t>
    <phoneticPr fontId="1"/>
  </si>
  <si>
    <t>Mass</t>
    <phoneticPr fontId="1"/>
  </si>
  <si>
    <r>
      <t>mm</t>
    </r>
    <r>
      <rPr>
        <vertAlign val="superscript"/>
        <sz val="16"/>
        <color theme="1"/>
        <rFont val="Calibri"/>
        <family val="2"/>
      </rPr>
      <t>3</t>
    </r>
    <phoneticPr fontId="1"/>
  </si>
  <si>
    <t>V</t>
    <phoneticPr fontId="1"/>
  </si>
  <si>
    <t>Volume</t>
    <phoneticPr fontId="1"/>
  </si>
  <si>
    <t>SCM440H</t>
    <phoneticPr fontId="1"/>
  </si>
  <si>
    <t>SCM440H-QT</t>
    <phoneticPr fontId="1"/>
  </si>
  <si>
    <t>74/67</t>
    <phoneticPr fontId="1"/>
  </si>
  <si>
    <t>10305MDA</t>
    <phoneticPr fontId="1"/>
  </si>
  <si>
    <t>SCMV4</t>
    <phoneticPr fontId="1"/>
  </si>
  <si>
    <t>ASTM A387</t>
    <phoneticPr fontId="1"/>
  </si>
  <si>
    <t>SS400</t>
    <phoneticPr fontId="1"/>
  </si>
  <si>
    <r>
      <t xml:space="preserve">Formulae:
</t>
    </r>
    <r>
      <rPr>
        <sz val="12"/>
        <color theme="1"/>
        <rFont val="Calibri"/>
        <family val="2"/>
      </rPr>
      <t>Volume=πh((outer radius)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 xml:space="preserve"> - (Inner radius)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ＭＳ Ｐゴシック"/>
        <family val="3"/>
        <charset val="128"/>
      </rPr>
      <t xml:space="preserve">）
</t>
    </r>
    <r>
      <rPr>
        <sz val="12"/>
        <color theme="1"/>
        <rFont val="Calibri"/>
        <family val="2"/>
      </rPr>
      <t>Volume=πxGx(R1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-R2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 xml:space="preserve">)
</t>
    </r>
    <r>
      <rPr>
        <u/>
        <sz val="12"/>
        <color theme="1"/>
        <rFont val="Calibri"/>
        <family val="2"/>
      </rPr>
      <t xml:space="preserve">
Weight Formulae:
</t>
    </r>
    <r>
      <rPr>
        <sz val="12"/>
        <color theme="1"/>
        <rFont val="Calibri"/>
        <family val="2"/>
      </rPr>
      <t>Mass=V*specific gravity*10^-6 /2</t>
    </r>
    <r>
      <rPr>
        <sz val="12"/>
        <color theme="1"/>
        <rFont val="ＭＳ Ｐゴシック"/>
        <family val="3"/>
        <charset val="128"/>
      </rPr>
      <t>（</t>
    </r>
    <r>
      <rPr>
        <sz val="12"/>
        <color theme="1"/>
        <rFont val="Calibri"/>
        <family val="2"/>
      </rPr>
      <t>semi-circle</t>
    </r>
    <r>
      <rPr>
        <sz val="12"/>
        <color theme="1"/>
        <rFont val="ＭＳ Ｐゴシック"/>
        <family val="3"/>
        <charset val="128"/>
      </rPr>
      <t>）</t>
    </r>
    <phoneticPr fontId="1"/>
  </si>
  <si>
    <r>
      <rPr>
        <sz val="16"/>
        <color theme="1"/>
        <rFont val="ＭＳ Ｐゴシック"/>
        <family val="2"/>
      </rPr>
      <t>１．</t>
    </r>
    <r>
      <rPr>
        <sz val="16"/>
        <color theme="1"/>
        <rFont val="Calibri"/>
        <family val="2"/>
      </rPr>
      <t>Pulling up plate weight</t>
    </r>
    <phoneticPr fontId="1"/>
  </si>
  <si>
    <t>2/4</t>
    <phoneticPr fontId="1"/>
  </si>
  <si>
    <t>　</t>
    <phoneticPr fontId="1"/>
  </si>
  <si>
    <t>W</t>
    <phoneticPr fontId="1"/>
  </si>
  <si>
    <t>Bearing load</t>
    <phoneticPr fontId="1"/>
  </si>
  <si>
    <t>K</t>
    <phoneticPr fontId="1"/>
  </si>
  <si>
    <t>Bolt Center-Support Edge Face</t>
    <phoneticPr fontId="1"/>
  </si>
  <si>
    <t>N</t>
    <phoneticPr fontId="1"/>
  </si>
  <si>
    <t>Support plate width</t>
    <phoneticPr fontId="1"/>
  </si>
  <si>
    <t>H</t>
    <phoneticPr fontId="1"/>
  </si>
  <si>
    <t>Pulling up plate thickness</t>
    <phoneticPr fontId="1"/>
  </si>
  <si>
    <t>G</t>
    <phoneticPr fontId="1"/>
  </si>
  <si>
    <t>Pulling up plate width</t>
    <phoneticPr fontId="1"/>
  </si>
  <si>
    <r>
      <t>(R</t>
    </r>
    <r>
      <rPr>
        <vertAlign val="subscript"/>
        <sz val="16"/>
        <color theme="1"/>
        <rFont val="Calibri"/>
        <family val="2"/>
      </rPr>
      <t>1</t>
    </r>
    <r>
      <rPr>
        <sz val="16"/>
        <color theme="1"/>
        <rFont val="Calibri"/>
        <family val="2"/>
      </rPr>
      <t>+R</t>
    </r>
    <r>
      <rPr>
        <vertAlign val="subscript"/>
        <sz val="16"/>
        <color theme="1"/>
        <rFont val="Calibri"/>
        <family val="2"/>
      </rPr>
      <t>2</t>
    </r>
    <r>
      <rPr>
        <sz val="16"/>
        <color theme="1"/>
        <rFont val="Calibri"/>
        <family val="2"/>
      </rPr>
      <t>)/2</t>
    </r>
    <phoneticPr fontId="1"/>
  </si>
  <si>
    <t>R</t>
    <phoneticPr fontId="1"/>
  </si>
  <si>
    <t>Pulling up plate average diameter</t>
    <phoneticPr fontId="1"/>
  </si>
  <si>
    <r>
      <t>R</t>
    </r>
    <r>
      <rPr>
        <vertAlign val="subscript"/>
        <sz val="16"/>
        <color theme="1"/>
        <rFont val="Calibri"/>
        <family val="2"/>
      </rPr>
      <t>2</t>
    </r>
    <phoneticPr fontId="1"/>
  </si>
  <si>
    <t>Pulling up plate outer diameter</t>
    <phoneticPr fontId="1"/>
  </si>
  <si>
    <r>
      <t>R</t>
    </r>
    <r>
      <rPr>
        <vertAlign val="subscript"/>
        <sz val="16"/>
        <color theme="1"/>
        <rFont val="Calibri"/>
        <family val="2"/>
      </rPr>
      <t>1</t>
    </r>
    <phoneticPr fontId="1"/>
  </si>
  <si>
    <t>Pulling up plate inner diameter</t>
    <phoneticPr fontId="1"/>
  </si>
  <si>
    <t>Input Dimension</t>
    <phoneticPr fontId="1"/>
  </si>
  <si>
    <t>Fixed</t>
    <phoneticPr fontId="1"/>
  </si>
  <si>
    <t xml:space="preserve">Derieved </t>
    <phoneticPr fontId="1"/>
  </si>
  <si>
    <t>Input</t>
    <phoneticPr fontId="1"/>
  </si>
  <si>
    <t>1/4</t>
    <phoneticPr fontId="1"/>
  </si>
  <si>
    <t>No.1 BRG.</t>
    <phoneticPr fontId="1"/>
  </si>
  <si>
    <t>Check Point</t>
  </si>
  <si>
    <t>CP</t>
  </si>
  <si>
    <t>HX01-HX06/2-HX04</t>
  </si>
  <si>
    <t>Input</t>
  </si>
  <si>
    <t>Pull Down Menu</t>
  </si>
  <si>
    <t>Principle Shear Stress</t>
  </si>
  <si>
    <t>HX03</t>
  </si>
  <si>
    <t>Horizontal distance
between bolt 01 and 02</t>
  </si>
  <si>
    <t>HY03</t>
  </si>
  <si>
    <t>Vertical Hole Position Between Bolt 1 &amp; Bolt 2</t>
  </si>
  <si>
    <t>Vertical Postion Between Rotor Centre &amp; Bolt 1</t>
  </si>
  <si>
    <t>HY02</t>
  </si>
  <si>
    <t>HY01</t>
  </si>
  <si>
    <t>HY04</t>
  </si>
  <si>
    <t>Bearing Box Bore Diameter</t>
  </si>
  <si>
    <t>HX07</t>
  </si>
  <si>
    <t>Bearing Box End Plate</t>
  </si>
  <si>
    <t>H</t>
  </si>
  <si>
    <t>Pulling Up Plate Height</t>
  </si>
  <si>
    <t>Pulling Plate Width</t>
  </si>
  <si>
    <t>HX01</t>
  </si>
  <si>
    <t>W2.1/4</t>
  </si>
  <si>
    <t>W2.1/2</t>
  </si>
  <si>
    <t>SB_1</t>
  </si>
  <si>
    <t>SB_2</t>
  </si>
  <si>
    <t>SB_3</t>
  </si>
  <si>
    <t>SB_4</t>
  </si>
  <si>
    <t>SB_5</t>
  </si>
  <si>
    <t>SB_6</t>
  </si>
  <si>
    <t>SB_7</t>
  </si>
  <si>
    <t>SB_8</t>
  </si>
  <si>
    <t>SB_9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</si>
</sst>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_ "/>
    <numFmt numFmtId="165" formatCode="0.0000000_ "/>
    <numFmt numFmtId="166" formatCode="0.0"/>
    <numFmt numFmtId="167" formatCode="0.00000"/>
    <numFmt numFmtId="168" formatCode="0_ "/>
    <numFmt numFmtId="169" formatCode="0.000_ "/>
    <numFmt numFmtId="170" formatCode="0.0_ "/>
  </numFmts>
  <fonts count="3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24"/>
      <color theme="1"/>
      <name val="Calibri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</font>
    <font>
      <sz val="16"/>
      <color theme="1"/>
      <name val="Calibri"/>
      <family val="3"/>
      <charset val="128"/>
      <scheme val="minor"/>
    </font>
    <font>
      <vertAlign val="superscript"/>
      <sz val="12"/>
      <color theme="1"/>
      <name val="Calibri"/>
      <family val="2"/>
    </font>
    <font>
      <sz val="9"/>
      <color theme="1"/>
      <name val="Calibri"/>
      <family val="2"/>
      <scheme val="minor"/>
    </font>
    <font>
      <sz val="20"/>
      <color theme="1"/>
      <name val="Calibri"/>
      <family val="2"/>
    </font>
    <font>
      <vertAlign val="superscript"/>
      <sz val="16"/>
      <color theme="1"/>
      <name val="Calibri"/>
      <family val="2"/>
    </font>
    <font>
      <vertAlign val="superscript"/>
      <sz val="14"/>
      <color theme="1"/>
      <name val="Calibri"/>
      <family val="2"/>
    </font>
    <font>
      <vertAlign val="superscript"/>
      <sz val="20"/>
      <color theme="1"/>
      <name val="Calibri"/>
      <family val="2"/>
    </font>
    <font>
      <vertAlign val="subscript"/>
      <sz val="20"/>
      <color theme="1"/>
      <name val="Calibri"/>
      <family val="2"/>
    </font>
    <font>
      <sz val="20"/>
      <color theme="1"/>
      <name val="ＭＳ Ｐゴシック"/>
      <family val="3"/>
      <charset val="128"/>
    </font>
    <font>
      <sz val="12"/>
      <color theme="1"/>
      <name val="ＭＳ Ｐゴシック"/>
      <family val="2"/>
    </font>
    <font>
      <b/>
      <sz val="12"/>
      <color theme="1"/>
      <name val="Calibri"/>
      <family val="2"/>
    </font>
    <font>
      <sz val="16"/>
      <color theme="1"/>
      <name val="ＭＳ Ｐゴシック"/>
      <family val="3"/>
      <charset val="128"/>
    </font>
    <font>
      <sz val="16"/>
      <color theme="1"/>
      <name val="ＭＳ Ｐゴシック"/>
      <family val="2"/>
    </font>
    <font>
      <vertAlign val="subscript"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color theme="1"/>
      <name val="ＭＳ Ｐゴシック"/>
      <family val="3"/>
      <charset val="128"/>
    </font>
    <font>
      <sz val="12"/>
      <color rgb="FFFF0000"/>
      <name val="Calibri"/>
      <family val="2"/>
    </font>
    <font>
      <vertAlign val="superscript"/>
      <sz val="12"/>
      <color rgb="FFFF0000"/>
      <name val="Calibri"/>
      <family val="2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/>
      <diagonal/>
    </border>
    <border>
      <left/>
      <right style="thin">
        <color auto="1"/>
      </right>
      <top/>
      <bottom style="dashDot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ashDot">
        <color auto="1"/>
      </top>
      <bottom style="dashDot">
        <color auto="1"/>
      </bottom>
      <diagonal/>
    </border>
    <border>
      <left style="thin">
        <color auto="1"/>
      </left>
      <right/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Dot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4" xfId="0" applyBorder="1" applyAlignment="1">
      <alignment vertical="center" wrapText="1"/>
    </xf>
    <xf numFmtId="0" fontId="0" fillId="4" borderId="12" xfId="0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1" fontId="6" fillId="7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2" fontId="4" fillId="7" borderId="11" xfId="0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164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1" fontId="4" fillId="7" borderId="6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 wrapText="1"/>
    </xf>
    <xf numFmtId="0" fontId="6" fillId="9" borderId="21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8" fontId="6" fillId="3" borderId="1" xfId="0" applyNumberFormat="1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9" fontId="5" fillId="3" borderId="1" xfId="0" applyNumberFormat="1" applyFont="1" applyFill="1" applyBorder="1" applyAlignment="1">
      <alignment horizontal="center" vertical="center"/>
    </xf>
    <xf numFmtId="170" fontId="5" fillId="3" borderId="1" xfId="0" applyNumberFormat="1" applyFont="1" applyFill="1" applyBorder="1" applyAlignment="1">
      <alignment horizontal="center" vertical="center"/>
    </xf>
    <xf numFmtId="167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8" fontId="5" fillId="0" borderId="19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6" fillId="10" borderId="35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2" fontId="6" fillId="10" borderId="1" xfId="0" applyNumberFormat="1" applyFont="1" applyFill="1" applyBorder="1" applyAlignment="1">
      <alignment horizontal="center" vertical="center"/>
    </xf>
    <xf numFmtId="170" fontId="6" fillId="10" borderId="1" xfId="0" applyNumberFormat="1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/>
    </xf>
    <xf numFmtId="0" fontId="6" fillId="9" borderId="37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 wrapText="1"/>
    </xf>
    <xf numFmtId="0" fontId="6" fillId="11" borderId="37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34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6" fillId="9" borderId="35" xfId="0" applyFont="1" applyFill="1" applyBorder="1" applyAlignment="1">
      <alignment horizontal="left" vertical="center"/>
    </xf>
    <xf numFmtId="0" fontId="6" fillId="10" borderId="3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0" fontId="6" fillId="9" borderId="24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7" fillId="0" borderId="37" xfId="0" applyFont="1" applyBorder="1" applyAlignment="1">
      <alignment horizontal="left" vertical="center" wrapText="1"/>
    </xf>
    <xf numFmtId="0" fontId="5" fillId="9" borderId="25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left" vertical="center"/>
    </xf>
    <xf numFmtId="0" fontId="6" fillId="9" borderId="24" xfId="0" applyFont="1" applyFill="1" applyBorder="1" applyAlignment="1">
      <alignment horizontal="left" vertical="center"/>
    </xf>
    <xf numFmtId="0" fontId="6" fillId="9" borderId="23" xfId="0" applyFont="1" applyFill="1" applyBorder="1" applyAlignment="1">
      <alignment horizontal="left" vertical="center"/>
    </xf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FF99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tiff"/><Relationship Id="rId1" Type="http://schemas.openxmlformats.org/officeDocument/2006/relationships/image" Target="../media/image2.tiff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132702</xdr:colOff>
      <xdr:row>3</xdr:row>
      <xdr:rowOff>231321</xdr:rowOff>
    </xdr:from>
    <xdr:to>
      <xdr:col>20</xdr:col>
      <xdr:colOff>20409</xdr:colOff>
      <xdr:row>7</xdr:row>
      <xdr:rowOff>223960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3631" y="1088571"/>
          <a:ext cx="1942386" cy="1884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1056409</xdr:colOff>
      <xdr:row>215</xdr:row>
      <xdr:rowOff>69272</xdr:rowOff>
    </xdr:from>
    <xdr:ext cx="12417137" cy="5230091"/>
    <xdr:pic>
      <xdr:nvPicPr>
        <xdr:cNvPr id="2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734" y="36931022"/>
          <a:ext cx="12417137" cy="5230091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oneCellAnchor>
  <xdr:twoCellAnchor>
    <xdr:from>
      <xdr:col>1</xdr:col>
      <xdr:colOff>141020</xdr:colOff>
      <xdr:row>105</xdr:row>
      <xdr:rowOff>51835</xdr:rowOff>
    </xdr:from>
    <xdr:to>
      <xdr:col>10</xdr:col>
      <xdr:colOff>812143</xdr:colOff>
      <xdr:row>126</xdr:row>
      <xdr:rowOff>86592</xdr:rowOff>
    </xdr:to>
    <xdr:grpSp>
      <xdr:nvGrpSpPr>
        <xdr:cNvPr id="3" name="Group 2"/>
        <xdr:cNvGrpSpPr/>
      </xdr:nvGrpSpPr>
      <xdr:grpSpPr>
        <a:xfrm>
          <a:off x="314202" y="39779744"/>
          <a:ext cx="12488184" cy="8035757"/>
          <a:chOff x="348838" y="41684744"/>
          <a:chExt cx="14196623" cy="8035757"/>
        </a:xfrm>
      </xdr:grpSpPr>
      <xdr:pic>
        <xdr:nvPicPr>
          <xdr:cNvPr id="4" name="図 3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3828" r="37317" b="63483"/>
          <a:stretch/>
        </xdr:blipFill>
        <xdr:spPr>
          <a:xfrm>
            <a:off x="5674760" y="41684744"/>
            <a:ext cx="3348013" cy="519557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48838" y="47032471"/>
            <a:ext cx="14196623" cy="2688030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398317</xdr:colOff>
      <xdr:row>1</xdr:row>
      <xdr:rowOff>363682</xdr:rowOff>
    </xdr:from>
    <xdr:ext cx="13075229" cy="7914409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4117" y="344632"/>
          <a:ext cx="13075229" cy="7914409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oneCellAnchor>
    <xdr:from>
      <xdr:col>1</xdr:col>
      <xdr:colOff>3671452</xdr:colOff>
      <xdr:row>263</xdr:row>
      <xdr:rowOff>190502</xdr:rowOff>
    </xdr:from>
    <xdr:ext cx="6425047" cy="3832482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5927" y="45262802"/>
          <a:ext cx="6425047" cy="3832482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oneCellAnchor>
    <xdr:from>
      <xdr:col>1</xdr:col>
      <xdr:colOff>2407226</xdr:colOff>
      <xdr:row>331</xdr:row>
      <xdr:rowOff>225135</xdr:rowOff>
    </xdr:from>
    <xdr:ext cx="8226138" cy="4241839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9001" y="56917935"/>
          <a:ext cx="8226138" cy="4241839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07"/>
  <sheetViews>
    <sheetView tabSelected="1" topLeftCell="H6" zoomScale="70" zoomScaleNormal="70" zoomScaleSheetLayoutView="130" workbookViewId="0">
      <selection activeCell="N18" sqref="N18"/>
    </sheetView>
  </sheetViews>
  <sheetFormatPr defaultColWidth="9" defaultRowHeight="15"/>
  <cols>
    <col min="1" max="1" width="18.42578125" style="7" bestFit="1" customWidth="1"/>
    <col min="2" max="2" width="76.85546875" style="7" customWidth="1"/>
    <col min="3" max="3" width="25.140625" style="3" customWidth="1"/>
    <col min="4" max="4" width="37.7109375" style="4" customWidth="1"/>
    <col min="5" max="5" width="15.140625" style="7" hidden="1" customWidth="1"/>
    <col min="6" max="6" width="34" style="7" customWidth="1"/>
    <col min="7" max="7" width="13.42578125" style="7" customWidth="1"/>
    <col min="8" max="8" width="24.42578125" style="7" customWidth="1"/>
    <col min="9" max="9" width="15.140625" style="7" customWidth="1"/>
    <col min="10" max="10" width="19.7109375" style="7" bestFit="1" customWidth="1"/>
    <col min="11" max="11" width="24.140625" style="7" bestFit="1" customWidth="1"/>
    <col min="12" max="12" width="27.7109375" style="7" bestFit="1" customWidth="1"/>
    <col min="13" max="14" width="38.5703125" style="7" bestFit="1" customWidth="1"/>
    <col min="15" max="15" width="6.7109375" style="7" bestFit="1" customWidth="1"/>
    <col min="16" max="16" width="6.85546875" style="7" bestFit="1" customWidth="1"/>
    <col min="17" max="17" width="10" style="7" bestFit="1" customWidth="1"/>
    <col min="18" max="18" width="6.85546875" style="7" bestFit="1" customWidth="1"/>
    <col min="19" max="19" width="6.85546875" style="7" customWidth="1"/>
    <col min="20" max="20" width="6.85546875" style="7" bestFit="1" customWidth="1"/>
    <col min="21" max="21" width="30.5703125" style="7" customWidth="1"/>
    <col min="22" max="35" width="15.140625" style="7" customWidth="1"/>
    <col min="36" max="16384" width="9" style="7"/>
  </cols>
  <sheetData>
    <row r="1" spans="1:20" ht="19.5" customHeight="1">
      <c r="A1" s="23"/>
      <c r="B1" s="23"/>
      <c r="C1" s="23"/>
      <c r="D1" s="23"/>
      <c r="E1" s="23"/>
    </row>
    <row r="2" spans="1:20" ht="27" customHeight="1">
      <c r="A2" s="19"/>
      <c r="B2" s="13"/>
      <c r="C2" s="17" t="s">
        <v>1</v>
      </c>
      <c r="D2" s="12"/>
    </row>
    <row r="3" spans="1:20" ht="21">
      <c r="A3" s="12"/>
      <c r="B3" s="15"/>
      <c r="C3" s="17" t="s">
        <v>20</v>
      </c>
      <c r="D3" s="12"/>
    </row>
    <row r="4" spans="1:20" ht="30.75" customHeight="1">
      <c r="A4" s="12"/>
      <c r="B4" s="18"/>
      <c r="C4" s="17" t="s">
        <v>118</v>
      </c>
      <c r="D4" s="12"/>
    </row>
    <row r="5" spans="1:20" ht="83.25" customHeight="1">
      <c r="A5" s="12"/>
      <c r="B5" s="5"/>
      <c r="C5" s="20" t="s">
        <v>119</v>
      </c>
      <c r="D5" s="12"/>
    </row>
    <row r="6" spans="1:20">
      <c r="C6" s="2"/>
      <c r="D6" s="6"/>
    </row>
    <row r="7" spans="1:20" ht="18.75" customHeight="1">
      <c r="A7" s="155" t="s">
        <v>5</v>
      </c>
      <c r="B7" s="155" t="s">
        <v>4</v>
      </c>
      <c r="C7" s="155" t="s">
        <v>6</v>
      </c>
      <c r="D7" s="162" t="s">
        <v>120</v>
      </c>
      <c r="E7" s="155" t="s">
        <v>39</v>
      </c>
      <c r="F7" s="155" t="s">
        <v>52</v>
      </c>
      <c r="G7" s="156" t="s">
        <v>48</v>
      </c>
      <c r="H7" s="155" t="s">
        <v>43</v>
      </c>
    </row>
    <row r="8" spans="1:20" ht="18.75" customHeight="1">
      <c r="A8" s="155"/>
      <c r="B8" s="155"/>
      <c r="C8" s="155"/>
      <c r="D8" s="162"/>
      <c r="E8" s="155"/>
      <c r="F8" s="155"/>
      <c r="G8" s="157"/>
      <c r="H8" s="155"/>
    </row>
    <row r="9" spans="1:20" ht="30" customHeight="1">
      <c r="A9" s="160" t="s">
        <v>16</v>
      </c>
      <c r="B9" s="27" t="s">
        <v>46</v>
      </c>
      <c r="C9" s="25" t="s">
        <v>60</v>
      </c>
      <c r="D9" s="27" t="s">
        <v>61</v>
      </c>
      <c r="E9" s="25"/>
      <c r="F9" s="25" t="s">
        <v>55</v>
      </c>
      <c r="G9" s="25">
        <v>5</v>
      </c>
      <c r="H9" s="25"/>
      <c r="J9" s="45" t="s">
        <v>18</v>
      </c>
      <c r="K9" s="45" t="s">
        <v>48</v>
      </c>
      <c r="L9" s="45" t="s">
        <v>449</v>
      </c>
      <c r="M9" s="45" t="s">
        <v>450</v>
      </c>
      <c r="N9" s="45" t="s">
        <v>451</v>
      </c>
      <c r="O9" s="45" t="s">
        <v>452</v>
      </c>
      <c r="P9" s="45" t="s">
        <v>453</v>
      </c>
      <c r="Q9" s="45" t="s">
        <v>454</v>
      </c>
      <c r="R9" s="45" t="s">
        <v>455</v>
      </c>
      <c r="S9" s="45" t="s">
        <v>456</v>
      </c>
      <c r="T9" s="46" t="s">
        <v>457</v>
      </c>
    </row>
    <row r="10" spans="1:20" ht="30" customHeight="1">
      <c r="A10" s="161"/>
      <c r="B10" s="52" t="s">
        <v>45</v>
      </c>
      <c r="C10" s="22" t="s">
        <v>7</v>
      </c>
      <c r="D10" s="22" t="s">
        <v>8</v>
      </c>
      <c r="E10" s="8"/>
      <c r="F10" s="8" t="s">
        <v>55</v>
      </c>
      <c r="G10" s="8">
        <v>44700</v>
      </c>
      <c r="H10" s="8"/>
      <c r="J10" s="14" t="s">
        <v>27</v>
      </c>
      <c r="K10" s="14">
        <v>1.25</v>
      </c>
      <c r="L10" s="45">
        <v>28.638500000000001</v>
      </c>
      <c r="M10" s="45">
        <v>34</v>
      </c>
      <c r="N10" s="45">
        <v>55</v>
      </c>
      <c r="O10" s="45">
        <v>3</v>
      </c>
      <c r="P10" s="45">
        <v>31.75</v>
      </c>
      <c r="Q10" s="45">
        <v>45</v>
      </c>
      <c r="R10" s="14">
        <v>35</v>
      </c>
      <c r="S10" s="14">
        <v>32</v>
      </c>
      <c r="T10" s="14">
        <v>23.5</v>
      </c>
    </row>
    <row r="11" spans="1:20" ht="30" customHeight="1">
      <c r="A11" s="161"/>
      <c r="B11" s="52" t="s">
        <v>168</v>
      </c>
      <c r="C11" s="22" t="s">
        <v>47</v>
      </c>
      <c r="D11" s="22" t="s">
        <v>8</v>
      </c>
      <c r="E11" s="8"/>
      <c r="F11" s="8" t="s">
        <v>55</v>
      </c>
      <c r="G11" s="8">
        <v>600</v>
      </c>
      <c r="H11" s="8"/>
      <c r="J11" s="14" t="s">
        <v>26</v>
      </c>
      <c r="K11" s="14">
        <v>1.5</v>
      </c>
      <c r="L11" s="45">
        <v>34.988500000000002</v>
      </c>
      <c r="M11" s="45">
        <v>40</v>
      </c>
      <c r="N11" s="45">
        <v>60</v>
      </c>
      <c r="O11" s="45">
        <v>3</v>
      </c>
      <c r="P11" s="45">
        <v>38.1</v>
      </c>
      <c r="Q11" s="45">
        <v>50</v>
      </c>
      <c r="R11" s="14">
        <v>43</v>
      </c>
      <c r="S11" s="14">
        <v>38</v>
      </c>
      <c r="T11" s="14">
        <v>17.5</v>
      </c>
    </row>
    <row r="12" spans="1:20" ht="30" customHeight="1">
      <c r="A12" s="161"/>
      <c r="B12" s="52" t="s">
        <v>34</v>
      </c>
      <c r="C12" s="22" t="s">
        <v>31</v>
      </c>
      <c r="D12" s="22" t="s">
        <v>32</v>
      </c>
      <c r="E12" s="8"/>
      <c r="F12" s="8" t="s">
        <v>55</v>
      </c>
      <c r="G12" s="8">
        <v>540</v>
      </c>
      <c r="H12" s="8"/>
      <c r="J12" s="14" t="s">
        <v>28</v>
      </c>
      <c r="K12" s="14">
        <v>2</v>
      </c>
      <c r="L12" s="45">
        <v>47.688499999999998</v>
      </c>
      <c r="M12" s="45">
        <v>52</v>
      </c>
      <c r="N12" s="45">
        <v>75</v>
      </c>
      <c r="O12" s="45">
        <v>3</v>
      </c>
      <c r="P12" s="45">
        <v>50.8</v>
      </c>
      <c r="Q12" s="45">
        <v>65</v>
      </c>
      <c r="R12" s="14">
        <v>55</v>
      </c>
      <c r="S12" s="14">
        <v>49</v>
      </c>
      <c r="T12" s="14">
        <v>25.5</v>
      </c>
    </row>
    <row r="13" spans="1:20" ht="56.25">
      <c r="A13" s="161"/>
      <c r="B13" s="52" t="s">
        <v>49</v>
      </c>
      <c r="C13" s="22" t="s">
        <v>50</v>
      </c>
      <c r="D13" s="22" t="s">
        <v>56</v>
      </c>
      <c r="E13" s="8"/>
      <c r="F13" s="8" t="s">
        <v>55</v>
      </c>
      <c r="G13" s="8">
        <v>400</v>
      </c>
      <c r="H13" s="28" t="s">
        <v>51</v>
      </c>
      <c r="J13" s="14" t="s">
        <v>447</v>
      </c>
      <c r="K13" s="14">
        <v>2.25</v>
      </c>
      <c r="L13" s="45">
        <v>54.038499999999999</v>
      </c>
      <c r="M13" s="45">
        <v>59</v>
      </c>
      <c r="N13" s="45">
        <v>80</v>
      </c>
      <c r="O13" s="45">
        <v>3</v>
      </c>
      <c r="P13" s="45">
        <v>57.15</v>
      </c>
      <c r="Q13" s="45">
        <v>68</v>
      </c>
      <c r="R13" s="14">
        <v>67</v>
      </c>
      <c r="S13" s="14">
        <v>60</v>
      </c>
      <c r="T13" s="14">
        <v>33.5</v>
      </c>
    </row>
    <row r="14" spans="1:20" ht="30" customHeight="1">
      <c r="A14" s="161"/>
      <c r="B14" s="27" t="s">
        <v>53</v>
      </c>
      <c r="C14" s="27" t="s">
        <v>54</v>
      </c>
      <c r="D14" s="27" t="s">
        <v>0</v>
      </c>
      <c r="E14" s="25"/>
      <c r="F14" s="25" t="s">
        <v>57</v>
      </c>
      <c r="G14" s="25">
        <f>G11+1</f>
        <v>601</v>
      </c>
      <c r="H14" s="25"/>
      <c r="J14" s="14" t="s">
        <v>448</v>
      </c>
      <c r="K14" s="14">
        <v>2.5</v>
      </c>
      <c r="L14" s="45">
        <v>60.388500000000001</v>
      </c>
      <c r="M14" s="45">
        <v>65</v>
      </c>
      <c r="N14" s="45">
        <v>85</v>
      </c>
      <c r="O14" s="45">
        <v>3</v>
      </c>
      <c r="P14" s="45">
        <v>63.5</v>
      </c>
      <c r="Q14" s="45">
        <v>75</v>
      </c>
      <c r="R14" s="14">
        <v>80</v>
      </c>
      <c r="S14" s="14">
        <v>73</v>
      </c>
      <c r="T14" s="14">
        <v>42.5</v>
      </c>
    </row>
    <row r="15" spans="1:20" ht="30" customHeight="1">
      <c r="A15" s="161"/>
      <c r="B15" s="52" t="s">
        <v>169</v>
      </c>
      <c r="C15" s="22" t="s">
        <v>33</v>
      </c>
      <c r="D15" s="22" t="s">
        <v>0</v>
      </c>
      <c r="E15" s="8"/>
      <c r="F15" s="8" t="s">
        <v>55</v>
      </c>
      <c r="G15" s="8">
        <v>900</v>
      </c>
      <c r="H15" s="8"/>
    </row>
    <row r="16" spans="1:20" ht="30" customHeight="1">
      <c r="A16" s="161"/>
      <c r="B16" s="52" t="s">
        <v>170</v>
      </c>
      <c r="C16" s="22" t="s">
        <v>35</v>
      </c>
      <c r="D16" s="22" t="s">
        <v>0</v>
      </c>
      <c r="E16" s="8"/>
      <c r="F16" s="8" t="s">
        <v>55</v>
      </c>
      <c r="G16" s="8">
        <v>400</v>
      </c>
      <c r="H16" s="8"/>
    </row>
    <row r="17" spans="1:13" ht="30" customHeight="1">
      <c r="A17" s="161"/>
      <c r="B17" s="52" t="s">
        <v>171</v>
      </c>
      <c r="C17" s="22" t="s">
        <v>36</v>
      </c>
      <c r="D17" s="22" t="s">
        <v>0</v>
      </c>
      <c r="E17" s="8"/>
      <c r="F17" s="8" t="s">
        <v>55</v>
      </c>
      <c r="G17" s="8">
        <v>200</v>
      </c>
      <c r="H17" s="8"/>
      <c r="J17" s="154" t="s">
        <v>127</v>
      </c>
      <c r="K17" s="154"/>
      <c r="L17" s="154"/>
      <c r="M17" s="154"/>
    </row>
    <row r="18" spans="1:13" ht="30" customHeight="1">
      <c r="A18" s="161"/>
      <c r="B18" s="52" t="s">
        <v>433</v>
      </c>
      <c r="C18" s="22" t="s">
        <v>432</v>
      </c>
      <c r="D18" s="22" t="s">
        <v>0</v>
      </c>
      <c r="E18" s="8"/>
      <c r="F18" s="8" t="s">
        <v>55</v>
      </c>
      <c r="G18" s="8">
        <v>400</v>
      </c>
      <c r="H18" s="8"/>
      <c r="J18" s="45" t="s">
        <v>128</v>
      </c>
      <c r="K18" s="45" t="s">
        <v>30</v>
      </c>
      <c r="L18" s="45" t="s">
        <v>129</v>
      </c>
      <c r="M18" s="45" t="s">
        <v>130</v>
      </c>
    </row>
    <row r="19" spans="1:13" ht="30" customHeight="1">
      <c r="A19" s="161"/>
      <c r="B19" s="52" t="s">
        <v>38</v>
      </c>
      <c r="C19" s="22" t="s">
        <v>37</v>
      </c>
      <c r="D19" s="22" t="s">
        <v>0</v>
      </c>
      <c r="E19" s="8"/>
      <c r="F19" s="8" t="s">
        <v>55</v>
      </c>
      <c r="G19" s="8">
        <v>300</v>
      </c>
      <c r="H19" s="28"/>
      <c r="J19" s="14" t="s">
        <v>29</v>
      </c>
      <c r="K19" s="14">
        <v>26</v>
      </c>
      <c r="L19" s="14">
        <v>40</v>
      </c>
      <c r="M19" s="14">
        <v>3</v>
      </c>
    </row>
    <row r="20" spans="1:13" ht="30" customHeight="1">
      <c r="A20" s="161"/>
      <c r="B20" s="52" t="s">
        <v>445</v>
      </c>
      <c r="C20" s="22" t="s">
        <v>40</v>
      </c>
      <c r="D20" s="22" t="s">
        <v>173</v>
      </c>
      <c r="E20" s="8"/>
      <c r="F20" s="8" t="s">
        <v>55</v>
      </c>
      <c r="G20" s="8">
        <v>600</v>
      </c>
      <c r="H20" s="8"/>
      <c r="J20" s="14" t="s">
        <v>132</v>
      </c>
      <c r="K20" s="14">
        <v>26</v>
      </c>
      <c r="L20" s="14">
        <v>40</v>
      </c>
      <c r="M20" s="14">
        <v>3</v>
      </c>
    </row>
    <row r="21" spans="1:13" ht="30" customHeight="1">
      <c r="A21" s="161"/>
      <c r="B21" s="22" t="s">
        <v>442</v>
      </c>
      <c r="C21" s="22" t="s">
        <v>441</v>
      </c>
      <c r="D21" s="22" t="s">
        <v>0</v>
      </c>
      <c r="E21" s="8"/>
      <c r="F21" s="8" t="s">
        <v>55</v>
      </c>
      <c r="G21" s="8"/>
      <c r="H21" s="8"/>
      <c r="J21" s="14" t="s">
        <v>137</v>
      </c>
    </row>
    <row r="22" spans="1:13" ht="30" customHeight="1">
      <c r="A22" s="161"/>
      <c r="B22" s="27" t="s">
        <v>426</v>
      </c>
      <c r="C22" s="27" t="s">
        <v>427</v>
      </c>
      <c r="D22" s="27" t="s">
        <v>3</v>
      </c>
      <c r="E22" s="27"/>
      <c r="F22" s="27" t="s">
        <v>428</v>
      </c>
      <c r="G22" s="27">
        <f>G15-(G20/2)-G17</f>
        <v>400</v>
      </c>
      <c r="H22" s="27"/>
      <c r="J22" s="14" t="s">
        <v>10</v>
      </c>
    </row>
    <row r="23" spans="1:13" ht="84" customHeight="1">
      <c r="A23" s="161"/>
      <c r="B23" s="27" t="s">
        <v>172</v>
      </c>
      <c r="C23" s="27" t="s">
        <v>438</v>
      </c>
      <c r="D23" s="27" t="s">
        <v>3</v>
      </c>
      <c r="E23" s="25"/>
      <c r="F23" s="29" t="s">
        <v>58</v>
      </c>
      <c r="G23" s="30">
        <v>250.25</v>
      </c>
      <c r="H23" s="25"/>
      <c r="J23" s="14" t="s">
        <v>138</v>
      </c>
    </row>
    <row r="24" spans="1:13" ht="30" customHeight="1">
      <c r="A24" s="161"/>
      <c r="B24" s="52" t="s">
        <v>436</v>
      </c>
      <c r="C24" s="22" t="s">
        <v>437</v>
      </c>
      <c r="D24" s="22" t="s">
        <v>0</v>
      </c>
      <c r="E24" s="8"/>
      <c r="F24" s="8" t="s">
        <v>55</v>
      </c>
      <c r="G24" s="8">
        <v>540</v>
      </c>
      <c r="H24" s="8"/>
      <c r="J24" s="14" t="s">
        <v>139</v>
      </c>
    </row>
    <row r="25" spans="1:13" ht="30" customHeight="1">
      <c r="A25" s="161"/>
      <c r="B25" s="52" t="s">
        <v>435</v>
      </c>
      <c r="C25" s="22" t="s">
        <v>434</v>
      </c>
      <c r="D25" s="22" t="s">
        <v>0</v>
      </c>
      <c r="E25" s="8"/>
      <c r="F25" s="8" t="s">
        <v>55</v>
      </c>
      <c r="G25" s="8">
        <v>100</v>
      </c>
      <c r="H25" s="8"/>
      <c r="J25" s="14" t="s">
        <v>11</v>
      </c>
    </row>
    <row r="26" spans="1:13" ht="30" customHeight="1">
      <c r="A26" s="161"/>
      <c r="B26" s="52" t="s">
        <v>440</v>
      </c>
      <c r="C26" s="22" t="s">
        <v>439</v>
      </c>
      <c r="D26" s="22" t="s">
        <v>0</v>
      </c>
      <c r="E26" s="8"/>
      <c r="F26" s="8" t="s">
        <v>55</v>
      </c>
      <c r="G26" s="8">
        <v>0</v>
      </c>
      <c r="H26" s="8"/>
    </row>
    <row r="27" spans="1:13" ht="30" customHeight="1">
      <c r="A27" s="161"/>
      <c r="B27" s="52" t="s">
        <v>133</v>
      </c>
      <c r="C27" s="22" t="s">
        <v>135</v>
      </c>
      <c r="D27" s="22" t="s">
        <v>173</v>
      </c>
      <c r="E27" s="8"/>
      <c r="F27" s="8"/>
      <c r="G27" s="47">
        <v>540</v>
      </c>
      <c r="H27" s="8"/>
    </row>
    <row r="28" spans="1:13" ht="30" customHeight="1">
      <c r="A28" s="161"/>
      <c r="B28" s="52" t="s">
        <v>140</v>
      </c>
      <c r="C28" s="22" t="s">
        <v>141</v>
      </c>
      <c r="D28" s="22" t="s">
        <v>429</v>
      </c>
      <c r="E28" s="8"/>
      <c r="F28" s="8"/>
      <c r="G28" s="47">
        <v>540</v>
      </c>
      <c r="H28" s="8"/>
    </row>
    <row r="29" spans="1:13" ht="30" customHeight="1">
      <c r="A29" s="161"/>
      <c r="B29" s="52" t="s">
        <v>134</v>
      </c>
      <c r="C29" s="22" t="s">
        <v>136</v>
      </c>
      <c r="D29" s="22" t="s">
        <v>430</v>
      </c>
      <c r="E29" s="8"/>
      <c r="F29" s="8"/>
      <c r="G29" s="47">
        <v>540</v>
      </c>
      <c r="H29" s="8"/>
    </row>
    <row r="30" spans="1:13" ht="30" customHeight="1">
      <c r="A30" s="161"/>
      <c r="B30" s="52" t="s">
        <v>140</v>
      </c>
      <c r="C30" s="22" t="s">
        <v>142</v>
      </c>
      <c r="D30" s="22" t="s">
        <v>429</v>
      </c>
      <c r="E30" s="8"/>
      <c r="F30" s="8"/>
      <c r="G30" s="47">
        <v>540</v>
      </c>
      <c r="H30" s="8"/>
    </row>
    <row r="31" spans="1:13" ht="30" customHeight="1">
      <c r="A31" s="161"/>
      <c r="B31" s="38" t="s">
        <v>12</v>
      </c>
      <c r="C31" s="27" t="s">
        <v>9</v>
      </c>
      <c r="D31" s="27" t="s">
        <v>1</v>
      </c>
      <c r="E31" s="16" t="s">
        <v>42</v>
      </c>
      <c r="F31" s="25"/>
      <c r="G31" s="25">
        <v>0</v>
      </c>
      <c r="H31" s="25"/>
    </row>
    <row r="32" spans="1:13" ht="30" customHeight="1">
      <c r="A32" s="161"/>
      <c r="B32" s="38" t="s">
        <v>71</v>
      </c>
      <c r="C32" s="38" t="s">
        <v>44</v>
      </c>
      <c r="D32" s="38" t="s">
        <v>3</v>
      </c>
      <c r="E32" s="14">
        <f>E15-(E20/2+E17)</f>
        <v>0</v>
      </c>
      <c r="F32" s="14" t="s">
        <v>41</v>
      </c>
      <c r="G32" s="14">
        <v>400</v>
      </c>
      <c r="H32" s="158" t="s">
        <v>68</v>
      </c>
    </row>
    <row r="33" spans="1:8" ht="21">
      <c r="A33" s="161"/>
      <c r="B33" s="39" t="s">
        <v>72</v>
      </c>
      <c r="C33" s="39" t="s">
        <v>44</v>
      </c>
      <c r="D33" s="39" t="s">
        <v>3</v>
      </c>
      <c r="E33" s="24">
        <f>(E17+E19)-(E15+E20/2)</f>
        <v>0</v>
      </c>
      <c r="F33" s="24" t="s">
        <v>59</v>
      </c>
      <c r="G33" s="24">
        <v>-700</v>
      </c>
      <c r="H33" s="159"/>
    </row>
    <row r="34" spans="1:8" ht="21">
      <c r="A34" s="161"/>
      <c r="B34" s="151" t="s">
        <v>444</v>
      </c>
      <c r="C34" s="151" t="s">
        <v>443</v>
      </c>
      <c r="D34" s="151" t="s">
        <v>429</v>
      </c>
      <c r="E34" s="152"/>
      <c r="F34" s="152"/>
      <c r="G34" s="152">
        <f>Calculation!E38</f>
        <v>167.5</v>
      </c>
      <c r="H34" s="152"/>
    </row>
    <row r="35" spans="1:8" ht="30" customHeight="1">
      <c r="A35" s="161"/>
      <c r="B35" s="48" t="s">
        <v>174</v>
      </c>
      <c r="C35" s="27" t="s">
        <v>155</v>
      </c>
      <c r="D35" s="27" t="s">
        <v>3</v>
      </c>
      <c r="E35" s="25"/>
      <c r="F35" s="25" t="s">
        <v>154</v>
      </c>
      <c r="G35" s="44">
        <v>250</v>
      </c>
      <c r="H35" s="25"/>
    </row>
    <row r="36" spans="1:8" ht="30" customHeight="1">
      <c r="A36" s="161"/>
      <c r="B36" s="27" t="s">
        <v>62</v>
      </c>
      <c r="C36" s="27" t="s">
        <v>63</v>
      </c>
      <c r="D36" s="27" t="s">
        <v>3</v>
      </c>
      <c r="E36" s="21">
        <f>E11/2+0.5</f>
        <v>0.5</v>
      </c>
      <c r="F36" s="25" t="s">
        <v>64</v>
      </c>
      <c r="G36" s="25">
        <v>300</v>
      </c>
      <c r="H36" s="25"/>
    </row>
    <row r="37" spans="1:8" ht="30" customHeight="1">
      <c r="A37" s="161"/>
      <c r="B37" s="27" t="s">
        <v>65</v>
      </c>
      <c r="C37" s="27" t="s">
        <v>156</v>
      </c>
      <c r="D37" s="27" t="s">
        <v>3</v>
      </c>
      <c r="E37" s="25"/>
      <c r="F37" s="25" t="s">
        <v>66</v>
      </c>
      <c r="G37" s="25">
        <v>200</v>
      </c>
      <c r="H37" s="25"/>
    </row>
    <row r="38" spans="1:8" ht="30" customHeight="1">
      <c r="A38" s="161"/>
      <c r="B38" s="27" t="s">
        <v>17</v>
      </c>
      <c r="C38" s="27" t="s">
        <v>153</v>
      </c>
      <c r="D38" s="27" t="s">
        <v>157</v>
      </c>
      <c r="E38" s="25"/>
      <c r="F38" s="25" t="s">
        <v>40</v>
      </c>
      <c r="G38" s="25">
        <v>600</v>
      </c>
      <c r="H38" s="25"/>
    </row>
    <row r="39" spans="1:8" ht="30" customHeight="1">
      <c r="A39" s="161"/>
      <c r="B39" s="27" t="s">
        <v>70</v>
      </c>
      <c r="C39" s="27" t="s">
        <v>69</v>
      </c>
      <c r="D39" s="27" t="s">
        <v>3</v>
      </c>
      <c r="F39" s="25" t="s">
        <v>73</v>
      </c>
      <c r="G39" s="25">
        <v>600</v>
      </c>
      <c r="H39" s="25"/>
    </row>
    <row r="40" spans="1:8" ht="30" customHeight="1">
      <c r="A40" s="161"/>
      <c r="B40" s="27" t="s">
        <v>18</v>
      </c>
      <c r="C40" s="27" t="s">
        <v>158</v>
      </c>
      <c r="D40" s="27" t="s">
        <v>3</v>
      </c>
      <c r="F40" s="25" t="s">
        <v>87</v>
      </c>
      <c r="G40" s="25">
        <v>600</v>
      </c>
      <c r="H40" s="25" t="s">
        <v>67</v>
      </c>
    </row>
    <row r="41" spans="1:8" ht="30" customHeight="1">
      <c r="A41" s="161"/>
      <c r="B41" s="27" t="s">
        <v>90</v>
      </c>
      <c r="C41" s="27" t="s">
        <v>88</v>
      </c>
      <c r="D41" s="32" t="s">
        <v>117</v>
      </c>
      <c r="F41" s="35" t="s">
        <v>121</v>
      </c>
      <c r="G41" s="34">
        <v>600</v>
      </c>
      <c r="H41" s="33"/>
    </row>
    <row r="42" spans="1:8" ht="30" customHeight="1">
      <c r="A42" s="161"/>
      <c r="B42" s="27" t="s">
        <v>91</v>
      </c>
      <c r="C42" s="27" t="s">
        <v>89</v>
      </c>
      <c r="D42" s="32" t="s">
        <v>117</v>
      </c>
      <c r="F42" s="33" t="s">
        <v>93</v>
      </c>
      <c r="G42" s="36">
        <v>250</v>
      </c>
      <c r="H42" s="33"/>
    </row>
    <row r="43" spans="1:8" ht="30" customHeight="1">
      <c r="A43" s="161"/>
      <c r="B43" s="49" t="s">
        <v>76</v>
      </c>
      <c r="C43" s="42" t="s">
        <v>74</v>
      </c>
      <c r="D43" s="42" t="s">
        <v>2</v>
      </c>
      <c r="E43" s="31"/>
      <c r="F43" s="10" t="s">
        <v>55</v>
      </c>
      <c r="G43" s="10" t="s">
        <v>77</v>
      </c>
      <c r="H43" s="10"/>
    </row>
    <row r="44" spans="1:8" ht="30" customHeight="1">
      <c r="A44" s="161"/>
      <c r="B44" s="49" t="s">
        <v>81</v>
      </c>
      <c r="C44" s="42" t="s">
        <v>83</v>
      </c>
      <c r="D44" s="42" t="s">
        <v>2</v>
      </c>
      <c r="E44" s="31"/>
      <c r="F44" s="10"/>
      <c r="G44" s="10">
        <v>22</v>
      </c>
      <c r="H44" s="10"/>
    </row>
    <row r="45" spans="1:8" ht="30" customHeight="1">
      <c r="A45" s="161"/>
      <c r="B45" s="49" t="s">
        <v>82</v>
      </c>
      <c r="C45" s="42" t="s">
        <v>84</v>
      </c>
      <c r="D45" s="42" t="s">
        <v>2</v>
      </c>
      <c r="E45" s="31"/>
      <c r="F45" s="10"/>
      <c r="G45" s="10">
        <v>33</v>
      </c>
      <c r="H45" s="10"/>
    </row>
    <row r="46" spans="1:8" ht="30" customHeight="1">
      <c r="A46" s="161"/>
      <c r="B46" s="49" t="s">
        <v>19</v>
      </c>
      <c r="C46" s="42" t="s">
        <v>75</v>
      </c>
      <c r="D46" s="42" t="s">
        <v>2</v>
      </c>
      <c r="F46" s="10" t="s">
        <v>55</v>
      </c>
      <c r="G46" s="10" t="s">
        <v>78</v>
      </c>
      <c r="H46" s="10"/>
    </row>
    <row r="47" spans="1:8" ht="30" customHeight="1">
      <c r="A47" s="161"/>
      <c r="B47" s="49" t="s">
        <v>25</v>
      </c>
      <c r="C47" s="42" t="s">
        <v>79</v>
      </c>
      <c r="D47" s="42" t="s">
        <v>80</v>
      </c>
      <c r="F47" s="10" t="s">
        <v>55</v>
      </c>
      <c r="G47" s="10">
        <v>3</v>
      </c>
      <c r="H47" s="10"/>
    </row>
    <row r="48" spans="1:8" ht="30" customHeight="1">
      <c r="A48" s="161"/>
      <c r="B48" s="50" t="s">
        <v>14</v>
      </c>
      <c r="C48" s="42" t="s">
        <v>85</v>
      </c>
      <c r="D48" s="42" t="s">
        <v>15</v>
      </c>
      <c r="F48" s="10" t="s">
        <v>55</v>
      </c>
      <c r="G48" s="10">
        <v>10</v>
      </c>
      <c r="H48" s="10"/>
    </row>
    <row r="49" spans="1:22" ht="30" customHeight="1">
      <c r="A49" s="161"/>
      <c r="B49" s="50" t="s">
        <v>21</v>
      </c>
      <c r="C49" s="42" t="s">
        <v>86</v>
      </c>
      <c r="D49" s="42" t="s">
        <v>13</v>
      </c>
      <c r="F49" s="10" t="s">
        <v>55</v>
      </c>
      <c r="G49" s="10">
        <v>12</v>
      </c>
      <c r="H49" s="10"/>
    </row>
    <row r="50" spans="1:22" ht="30" customHeight="1">
      <c r="A50" s="161"/>
      <c r="B50" s="51" t="s">
        <v>22</v>
      </c>
      <c r="C50" s="43" t="s">
        <v>86</v>
      </c>
      <c r="D50" s="43" t="s">
        <v>13</v>
      </c>
      <c r="E50" s="41"/>
      <c r="F50" s="40" t="s">
        <v>55</v>
      </c>
      <c r="G50" s="40">
        <v>12</v>
      </c>
      <c r="H50" s="40"/>
    </row>
    <row r="51" spans="1:22" ht="30" customHeight="1">
      <c r="A51" s="161"/>
      <c r="B51" s="52" t="s">
        <v>94</v>
      </c>
      <c r="C51" s="22" t="s">
        <v>104</v>
      </c>
      <c r="D51" s="22" t="s">
        <v>0</v>
      </c>
      <c r="E51" s="11"/>
      <c r="F51" s="8" t="s">
        <v>55</v>
      </c>
      <c r="G51" s="8">
        <v>100</v>
      </c>
      <c r="H51" s="11"/>
    </row>
    <row r="52" spans="1:22" ht="30" customHeight="1">
      <c r="A52" s="161"/>
      <c r="B52" s="52" t="s">
        <v>111</v>
      </c>
      <c r="C52" s="22" t="s">
        <v>105</v>
      </c>
      <c r="D52" s="22" t="s">
        <v>0</v>
      </c>
      <c r="E52" s="11"/>
      <c r="F52" s="8" t="s">
        <v>55</v>
      </c>
      <c r="G52" s="8">
        <v>60</v>
      </c>
      <c r="H52" s="11"/>
    </row>
    <row r="53" spans="1:22" ht="30" customHeight="1">
      <c r="A53" s="161"/>
      <c r="B53" s="52" t="s">
        <v>95</v>
      </c>
      <c r="C53" s="22" t="s">
        <v>106</v>
      </c>
      <c r="D53" s="22" t="s">
        <v>0</v>
      </c>
      <c r="E53" s="11"/>
      <c r="F53" s="8" t="s">
        <v>55</v>
      </c>
      <c r="G53" s="8">
        <v>60</v>
      </c>
      <c r="H53" s="11"/>
    </row>
    <row r="54" spans="1:22" ht="30" customHeight="1">
      <c r="A54" s="161"/>
      <c r="B54" s="52" t="s">
        <v>107</v>
      </c>
      <c r="C54" s="22" t="s">
        <v>109</v>
      </c>
      <c r="D54" s="22" t="s">
        <v>0</v>
      </c>
      <c r="E54" s="11"/>
      <c r="F54" s="8" t="s">
        <v>55</v>
      </c>
      <c r="G54" s="8">
        <v>200</v>
      </c>
      <c r="H54" s="11"/>
    </row>
    <row r="55" spans="1:22" ht="30" customHeight="1">
      <c r="A55" s="161"/>
      <c r="B55" s="52" t="s">
        <v>108</v>
      </c>
      <c r="C55" s="22" t="s">
        <v>110</v>
      </c>
      <c r="D55" s="22" t="s">
        <v>0</v>
      </c>
      <c r="E55" s="11"/>
      <c r="F55" s="8" t="s">
        <v>55</v>
      </c>
      <c r="G55" s="8">
        <v>90</v>
      </c>
      <c r="H55" s="11"/>
    </row>
    <row r="56" spans="1:22" ht="30" customHeight="1">
      <c r="A56" s="161"/>
      <c r="B56" s="27" t="s">
        <v>124</v>
      </c>
      <c r="C56" s="27" t="s">
        <v>159</v>
      </c>
      <c r="D56" s="32" t="s">
        <v>117</v>
      </c>
      <c r="F56" s="25" t="s">
        <v>55</v>
      </c>
      <c r="G56" s="25" t="e">
        <f>VLOOKUP(G40,L70:T72,2,TRUE)</f>
        <v>#N/A</v>
      </c>
      <c r="H56" s="25"/>
    </row>
    <row r="57" spans="1:22" ht="30" customHeight="1">
      <c r="A57" s="161"/>
      <c r="B57" s="27" t="s">
        <v>125</v>
      </c>
      <c r="C57" s="27" t="s">
        <v>160</v>
      </c>
      <c r="D57" s="27" t="s">
        <v>126</v>
      </c>
      <c r="F57" s="25" t="s">
        <v>55</v>
      </c>
      <c r="G57" s="44">
        <f>(G24+G25+G72)-G23</f>
        <v>439.75</v>
      </c>
      <c r="H57" s="14"/>
    </row>
    <row r="58" spans="1:22" ht="30" customHeight="1">
      <c r="A58" s="161"/>
      <c r="B58" s="27" t="s">
        <v>145</v>
      </c>
      <c r="C58" s="27" t="s">
        <v>161</v>
      </c>
      <c r="D58" s="27" t="s">
        <v>131</v>
      </c>
      <c r="F58" s="25" t="s">
        <v>55</v>
      </c>
      <c r="G58" s="25" t="e">
        <f>VLOOKUP(#REF!,J19:M20,2,TRUE)</f>
        <v>#REF!</v>
      </c>
      <c r="H58" s="25"/>
    </row>
    <row r="59" spans="1:22" ht="30" hidden="1" customHeight="1">
      <c r="A59" s="161"/>
      <c r="B59" s="27" t="s">
        <v>146</v>
      </c>
      <c r="C59" s="27" t="s">
        <v>148</v>
      </c>
      <c r="D59" s="27" t="s">
        <v>92</v>
      </c>
      <c r="F59" s="25" t="s">
        <v>55</v>
      </c>
      <c r="G59" s="25" t="e">
        <f>VLOOKUP(#REF!,J19:M20,3,TRUE)</f>
        <v>#REF!</v>
      </c>
      <c r="H59" s="25"/>
    </row>
    <row r="60" spans="1:22" ht="30" hidden="1" customHeight="1">
      <c r="A60" s="161"/>
      <c r="B60" s="27" t="s">
        <v>147</v>
      </c>
      <c r="C60" s="27" t="s">
        <v>149</v>
      </c>
      <c r="D60" s="27" t="s">
        <v>92</v>
      </c>
      <c r="F60" s="25" t="s">
        <v>55</v>
      </c>
      <c r="G60" s="25" t="e">
        <f>VLOOKUP(#REF!,J19:M20,4,TRUE)</f>
        <v>#REF!</v>
      </c>
      <c r="H60" s="25"/>
    </row>
    <row r="61" spans="1:22" ht="30" customHeight="1">
      <c r="A61" s="161"/>
      <c r="B61" s="27" t="s">
        <v>114</v>
      </c>
      <c r="C61" s="27" t="s">
        <v>162</v>
      </c>
      <c r="D61" s="27" t="s">
        <v>123</v>
      </c>
      <c r="F61" s="25" t="s">
        <v>55</v>
      </c>
      <c r="G61" s="25">
        <v>16</v>
      </c>
      <c r="H61" s="25"/>
    </row>
    <row r="62" spans="1:22" ht="30" customHeight="1">
      <c r="A62" s="161"/>
      <c r="B62" s="27" t="s">
        <v>116</v>
      </c>
      <c r="C62" s="27" t="s">
        <v>163</v>
      </c>
      <c r="D62" s="27" t="s">
        <v>3</v>
      </c>
      <c r="F62" s="25" t="s">
        <v>122</v>
      </c>
      <c r="G62" s="25">
        <f>G15-G16</f>
        <v>500</v>
      </c>
      <c r="H62" s="25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</row>
    <row r="63" spans="1:22" ht="30" customHeight="1">
      <c r="A63" s="161"/>
      <c r="B63" s="27" t="s">
        <v>23</v>
      </c>
      <c r="C63" s="27" t="s">
        <v>164</v>
      </c>
      <c r="D63" s="27" t="s">
        <v>143</v>
      </c>
      <c r="F63" s="25" t="s">
        <v>144</v>
      </c>
      <c r="G63" s="25" t="e">
        <f>G57+G56/2+#REF!</f>
        <v>#N/A</v>
      </c>
      <c r="H63" s="25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</row>
    <row r="64" spans="1:22" ht="30" customHeight="1">
      <c r="A64" s="161"/>
      <c r="B64" s="27" t="s">
        <v>113</v>
      </c>
      <c r="C64" s="27" t="s">
        <v>165</v>
      </c>
      <c r="D64" s="27" t="s">
        <v>115</v>
      </c>
      <c r="F64" s="25" t="s">
        <v>55</v>
      </c>
      <c r="G64" s="25">
        <v>40</v>
      </c>
      <c r="H64" s="25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</row>
    <row r="65" spans="1:22" ht="32.25" customHeight="1">
      <c r="A65" s="161"/>
      <c r="B65" s="27" t="s">
        <v>112</v>
      </c>
      <c r="C65" s="27" t="s">
        <v>166</v>
      </c>
      <c r="D65" s="27" t="s">
        <v>117</v>
      </c>
      <c r="F65" s="25" t="s">
        <v>55</v>
      </c>
      <c r="G65" s="25" t="e">
        <f>VLOOKUP(G40,L70:T72,3,TRUE)</f>
        <v>#N/A</v>
      </c>
      <c r="H65" s="25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</row>
    <row r="66" spans="1:22" ht="32.25" customHeight="1">
      <c r="A66" s="161"/>
      <c r="B66" s="27" t="s">
        <v>150</v>
      </c>
      <c r="C66" s="27" t="s">
        <v>167</v>
      </c>
      <c r="D66" s="27" t="s">
        <v>131</v>
      </c>
      <c r="F66" s="25" t="s">
        <v>55</v>
      </c>
      <c r="G66" s="25" t="e">
        <f>VLOOKUP(G29,J19:M20,2,TRUE)</f>
        <v>#N/A</v>
      </c>
      <c r="H66" s="25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</row>
    <row r="67" spans="1:22" ht="32.25" hidden="1" customHeight="1">
      <c r="A67" s="161"/>
      <c r="B67" s="27" t="s">
        <v>151</v>
      </c>
      <c r="C67" s="27" t="s">
        <v>148</v>
      </c>
      <c r="D67" s="27" t="s">
        <v>92</v>
      </c>
      <c r="F67" s="25" t="s">
        <v>55</v>
      </c>
      <c r="G67" s="25" t="e">
        <f>VLOOKUP(G29,J19:M20,3,TRUE)</f>
        <v>#N/A</v>
      </c>
      <c r="H67" s="25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</row>
    <row r="68" spans="1:22" ht="32.25" hidden="1" customHeight="1">
      <c r="A68" s="161"/>
      <c r="B68" s="27" t="s">
        <v>152</v>
      </c>
      <c r="C68" s="27" t="s">
        <v>149</v>
      </c>
      <c r="D68" s="27" t="s">
        <v>92</v>
      </c>
      <c r="F68" s="25" t="s">
        <v>55</v>
      </c>
      <c r="G68" s="25" t="e">
        <f>VLOOKUP(G29,J19:M20,4,TRUE)</f>
        <v>#N/A</v>
      </c>
      <c r="H68" s="25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</row>
    <row r="69" spans="1:22" ht="37.5">
      <c r="A69" s="161"/>
      <c r="B69" s="49" t="s">
        <v>76</v>
      </c>
      <c r="C69" s="42" t="s">
        <v>74</v>
      </c>
      <c r="D69" s="42" t="s">
        <v>2</v>
      </c>
      <c r="E69" s="31"/>
      <c r="F69" s="10" t="s">
        <v>55</v>
      </c>
      <c r="G69" s="10" t="s">
        <v>77</v>
      </c>
      <c r="H69" s="9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</row>
    <row r="70" spans="1:22" ht="30" customHeight="1">
      <c r="A70" s="161"/>
      <c r="B70" s="49" t="s">
        <v>81</v>
      </c>
      <c r="C70" s="42" t="s">
        <v>83</v>
      </c>
      <c r="D70" s="42" t="s">
        <v>2</v>
      </c>
      <c r="E70" s="31"/>
      <c r="F70" s="10" t="s">
        <v>55</v>
      </c>
      <c r="G70" s="10">
        <v>22</v>
      </c>
      <c r="H70" s="9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</row>
    <row r="71" spans="1:22" ht="30" customHeight="1">
      <c r="A71" s="161"/>
      <c r="B71" s="49" t="s">
        <v>82</v>
      </c>
      <c r="C71" s="42" t="s">
        <v>84</v>
      </c>
      <c r="D71" s="42" t="s">
        <v>2</v>
      </c>
      <c r="E71" s="31"/>
      <c r="F71" s="10" t="s">
        <v>55</v>
      </c>
      <c r="G71" s="10">
        <v>33</v>
      </c>
      <c r="H71" s="9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</row>
    <row r="72" spans="1:22" ht="30" customHeight="1">
      <c r="A72" s="161"/>
      <c r="B72" s="50" t="s">
        <v>101</v>
      </c>
      <c r="C72" s="42" t="s">
        <v>96</v>
      </c>
      <c r="D72" s="42" t="s">
        <v>2</v>
      </c>
      <c r="F72" s="10" t="s">
        <v>55</v>
      </c>
      <c r="G72" s="37">
        <v>50</v>
      </c>
      <c r="H72" s="9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</row>
    <row r="73" spans="1:22" ht="30" customHeight="1">
      <c r="A73" s="161"/>
      <c r="B73" s="50" t="s">
        <v>24</v>
      </c>
      <c r="C73" s="42" t="s">
        <v>97</v>
      </c>
      <c r="D73" s="42" t="s">
        <v>2</v>
      </c>
      <c r="F73" s="10" t="s">
        <v>55</v>
      </c>
      <c r="G73" s="37">
        <v>3</v>
      </c>
      <c r="H73" s="9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</row>
    <row r="74" spans="1:22" ht="30" customHeight="1">
      <c r="A74" s="161"/>
      <c r="B74" s="50" t="s">
        <v>102</v>
      </c>
      <c r="C74" s="42" t="s">
        <v>98</v>
      </c>
      <c r="D74" s="42" t="s">
        <v>2</v>
      </c>
      <c r="F74" s="10" t="s">
        <v>55</v>
      </c>
      <c r="G74" s="37">
        <v>40</v>
      </c>
      <c r="H74" s="9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</row>
    <row r="75" spans="1:22" ht="30" customHeight="1">
      <c r="A75" s="161"/>
      <c r="B75" s="53" t="s">
        <v>25</v>
      </c>
      <c r="C75" s="42" t="s">
        <v>99</v>
      </c>
      <c r="D75" s="42" t="s">
        <v>2</v>
      </c>
      <c r="F75" s="10" t="s">
        <v>55</v>
      </c>
      <c r="G75" s="37">
        <v>50</v>
      </c>
      <c r="H75" s="9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</row>
    <row r="76" spans="1:22" ht="30" customHeight="1">
      <c r="A76" s="161"/>
      <c r="B76" s="50" t="s">
        <v>103</v>
      </c>
      <c r="C76" s="42" t="s">
        <v>100</v>
      </c>
      <c r="D76" s="42" t="s">
        <v>2</v>
      </c>
      <c r="F76" s="10" t="s">
        <v>55</v>
      </c>
      <c r="G76" s="37">
        <v>3</v>
      </c>
      <c r="H76" s="9"/>
    </row>
    <row r="77" spans="1:22" ht="30" customHeight="1">
      <c r="B77" s="54"/>
      <c r="C77" s="7"/>
      <c r="D77" s="7"/>
    </row>
    <row r="78" spans="1:22" ht="30" customHeight="1">
      <c r="B78" s="54"/>
      <c r="C78" s="7"/>
      <c r="D78" s="7"/>
    </row>
    <row r="79" spans="1:22" ht="30" customHeight="1">
      <c r="B79" s="54"/>
      <c r="C79" s="7"/>
      <c r="D79" s="7"/>
    </row>
    <row r="80" spans="1:22" ht="30" customHeight="1">
      <c r="B80" s="54"/>
      <c r="C80" s="7"/>
      <c r="D80" s="7"/>
    </row>
    <row r="81" spans="2:4" ht="30" customHeight="1">
      <c r="B81" s="54"/>
      <c r="C81" s="7"/>
      <c r="D81" s="7"/>
    </row>
    <row r="82" spans="2:4" ht="30" customHeight="1">
      <c r="B82" s="54"/>
      <c r="C82" s="7"/>
      <c r="D82" s="7"/>
    </row>
    <row r="83" spans="2:4" ht="30" customHeight="1">
      <c r="C83" s="7"/>
      <c r="D83" s="7"/>
    </row>
    <row r="84" spans="2:4" ht="30" customHeight="1">
      <c r="C84" s="7"/>
      <c r="D84" s="7"/>
    </row>
    <row r="85" spans="2:4" ht="30" customHeight="1">
      <c r="C85" s="7"/>
      <c r="D85" s="7"/>
    </row>
    <row r="86" spans="2:4" ht="30" customHeight="1">
      <c r="C86" s="7"/>
      <c r="D86" s="7"/>
    </row>
    <row r="87" spans="2:4" ht="30" customHeight="1">
      <c r="C87" s="7"/>
      <c r="D87" s="7"/>
    </row>
    <row r="88" spans="2:4" ht="30" customHeight="1">
      <c r="C88" s="7"/>
      <c r="D88" s="7"/>
    </row>
    <row r="89" spans="2:4" ht="30" customHeight="1">
      <c r="C89" s="7"/>
      <c r="D89" s="7"/>
    </row>
    <row r="90" spans="2:4" ht="30" customHeight="1">
      <c r="C90" s="1"/>
      <c r="D90" s="1"/>
    </row>
    <row r="91" spans="2:4" ht="30" customHeight="1">
      <c r="C91" s="1"/>
      <c r="D91" s="1"/>
    </row>
    <row r="92" spans="2:4" ht="30" customHeight="1">
      <c r="C92" s="1"/>
      <c r="D92" s="1"/>
    </row>
    <row r="93" spans="2:4" ht="30" customHeight="1">
      <c r="C93" s="1"/>
      <c r="D93" s="1"/>
    </row>
    <row r="94" spans="2:4" ht="30" customHeight="1">
      <c r="C94" s="1"/>
      <c r="D94" s="1"/>
    </row>
    <row r="95" spans="2:4" ht="30" customHeight="1">
      <c r="C95" s="1"/>
      <c r="D95" s="1"/>
    </row>
    <row r="96" spans="2:4" ht="30" customHeight="1">
      <c r="C96" s="1"/>
      <c r="D96" s="1"/>
    </row>
    <row r="97" spans="3:4" ht="30" customHeight="1">
      <c r="C97" s="1"/>
      <c r="D97" s="1"/>
    </row>
    <row r="98" spans="3:4" ht="30" customHeight="1">
      <c r="C98" s="1"/>
      <c r="D98" s="1"/>
    </row>
    <row r="99" spans="3:4" ht="30" customHeight="1">
      <c r="C99" s="1"/>
      <c r="D99" s="1"/>
    </row>
    <row r="100" spans="3:4" ht="30" customHeight="1">
      <c r="C100" s="1"/>
      <c r="D100" s="1"/>
    </row>
    <row r="101" spans="3:4" ht="30" customHeight="1">
      <c r="C101" s="1"/>
      <c r="D101" s="1"/>
    </row>
    <row r="102" spans="3:4" ht="30" customHeight="1">
      <c r="C102" s="1"/>
      <c r="D102" s="1"/>
    </row>
    <row r="103" spans="3:4" ht="30" customHeight="1">
      <c r="C103" s="1"/>
      <c r="D103" s="1"/>
    </row>
    <row r="104" spans="3:4" ht="30" customHeight="1">
      <c r="C104" s="1"/>
      <c r="D104" s="1"/>
    </row>
    <row r="105" spans="3:4" ht="30" customHeight="1">
      <c r="C105" s="1"/>
      <c r="D105" s="1"/>
    </row>
    <row r="106" spans="3:4" ht="30" customHeight="1">
      <c r="C106" s="1"/>
      <c r="D106" s="1"/>
    </row>
    <row r="107" spans="3:4" ht="30" customHeight="1">
      <c r="C107" s="1"/>
      <c r="D107" s="1"/>
    </row>
    <row r="108" spans="3:4" ht="30" customHeight="1">
      <c r="C108" s="1"/>
      <c r="D108" s="1"/>
    </row>
    <row r="109" spans="3:4" ht="30" customHeight="1">
      <c r="C109" s="1"/>
      <c r="D109" s="1"/>
    </row>
    <row r="110" spans="3:4" ht="30" customHeight="1">
      <c r="C110" s="1"/>
      <c r="D110" s="1"/>
    </row>
    <row r="111" spans="3:4" ht="30" customHeight="1">
      <c r="C111" s="1"/>
      <c r="D111" s="1"/>
    </row>
    <row r="112" spans="3:4" ht="30" customHeight="1">
      <c r="C112" s="1"/>
      <c r="D112" s="1"/>
    </row>
    <row r="113" spans="3:4" ht="30" customHeight="1">
      <c r="C113" s="1"/>
      <c r="D113" s="1"/>
    </row>
    <row r="114" spans="3:4" ht="30" customHeight="1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</row>
  </sheetData>
  <mergeCells count="11">
    <mergeCell ref="A9:A76"/>
    <mergeCell ref="B7:B8"/>
    <mergeCell ref="E7:E8"/>
    <mergeCell ref="C7:C8"/>
    <mergeCell ref="D7:D8"/>
    <mergeCell ref="A7:A8"/>
    <mergeCell ref="J17:M17"/>
    <mergeCell ref="H7:H8"/>
    <mergeCell ref="G7:G8"/>
    <mergeCell ref="F7:F8"/>
    <mergeCell ref="H32:H33"/>
  </mergeCells>
  <phoneticPr fontId="1"/>
  <pageMargins left="0.70866141732283461" right="0.70866141732283461" top="0.74803149606299213" bottom="0.74803149606299213" header="0.31496062992125984" footer="0.31496062992125984"/>
  <pageSetup paperSize="8" scale="47" orientation="portrait" r:id="rId1"/>
  <ignoredErrors>
    <ignoredError sqref="G5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6"/>
  <sheetViews>
    <sheetView view="pageBreakPreview" topLeftCell="A103" zoomScale="55" zoomScaleNormal="100" zoomScaleSheetLayoutView="55" workbookViewId="0">
      <selection activeCell="N108" sqref="N108"/>
    </sheetView>
  </sheetViews>
  <sheetFormatPr defaultColWidth="9" defaultRowHeight="15.75"/>
  <cols>
    <col min="1" max="1" width="2.5703125" style="56" customWidth="1"/>
    <col min="2" max="2" width="80.42578125" style="56" customWidth="1"/>
    <col min="3" max="3" width="13.42578125" style="56" customWidth="1"/>
    <col min="4" max="4" width="2.42578125" style="56" bestFit="1" customWidth="1"/>
    <col min="5" max="5" width="25.7109375" style="56" bestFit="1" customWidth="1"/>
    <col min="6" max="6" width="10.42578125" style="56" bestFit="1" customWidth="1"/>
    <col min="7" max="7" width="9.42578125" style="56" bestFit="1" customWidth="1"/>
    <col min="8" max="8" width="7.140625" style="56" bestFit="1" customWidth="1"/>
    <col min="9" max="9" width="13.140625" style="56" customWidth="1"/>
    <col min="10" max="10" width="15.42578125" style="56" bestFit="1" customWidth="1"/>
    <col min="11" max="11" width="11.7109375" style="56" customWidth="1"/>
    <col min="12" max="12" width="2.5703125" style="56" customWidth="1"/>
    <col min="13" max="13" width="9" style="56" customWidth="1"/>
    <col min="14" max="14" width="32.140625" style="56" bestFit="1" customWidth="1"/>
    <col min="15" max="15" width="15.85546875" style="56" bestFit="1" customWidth="1"/>
    <col min="16" max="16" width="31.42578125" style="56" bestFit="1" customWidth="1"/>
    <col min="17" max="17" width="8.85546875" style="56" bestFit="1" customWidth="1"/>
    <col min="18" max="18" width="10.5703125" style="56" bestFit="1" customWidth="1"/>
    <col min="19" max="19" width="8.42578125" style="56" bestFit="1" customWidth="1"/>
    <col min="20" max="20" width="7.42578125" style="56" bestFit="1" customWidth="1"/>
    <col min="21" max="21" width="14.42578125" style="56" bestFit="1" customWidth="1"/>
    <col min="22" max="22" width="9" style="56"/>
    <col min="23" max="23" width="10.28515625" style="56" customWidth="1"/>
    <col min="24" max="16384" width="9" style="56"/>
  </cols>
  <sheetData>
    <row r="1" spans="1:11" ht="30" customHeight="1" thickBot="1">
      <c r="B1" s="58"/>
      <c r="I1" s="170" t="s">
        <v>425</v>
      </c>
      <c r="J1" s="171"/>
      <c r="K1" s="150" t="s">
        <v>424</v>
      </c>
    </row>
    <row r="2" spans="1:11" ht="30" customHeight="1">
      <c r="A2" s="83"/>
      <c r="B2" s="82"/>
      <c r="C2" s="82"/>
      <c r="D2" s="82"/>
      <c r="E2" s="82"/>
      <c r="F2" s="82"/>
      <c r="G2" s="82"/>
      <c r="H2" s="82"/>
      <c r="I2" s="82"/>
      <c r="J2" s="82"/>
      <c r="K2" s="81"/>
    </row>
    <row r="3" spans="1:11" ht="30" customHeight="1">
      <c r="A3" s="63"/>
      <c r="B3" s="85"/>
      <c r="C3" s="85"/>
      <c r="D3" s="85"/>
      <c r="E3" s="85"/>
      <c r="F3" s="85"/>
      <c r="G3" s="85"/>
      <c r="H3" s="85"/>
      <c r="I3" s="85"/>
      <c r="J3" s="85"/>
      <c r="K3" s="135"/>
    </row>
    <row r="4" spans="1:11" ht="30" customHeight="1">
      <c r="A4" s="63"/>
      <c r="B4" s="85"/>
      <c r="C4" s="85"/>
      <c r="D4" s="85"/>
      <c r="E4" s="85"/>
      <c r="F4" s="85"/>
      <c r="G4" s="85"/>
      <c r="H4" s="85"/>
      <c r="I4" s="85"/>
      <c r="J4" s="85"/>
      <c r="K4" s="135"/>
    </row>
    <row r="5" spans="1:11" ht="30" customHeight="1">
      <c r="A5" s="63"/>
      <c r="B5" s="85"/>
      <c r="C5" s="85"/>
      <c r="D5" s="85"/>
      <c r="E5" s="85"/>
      <c r="F5" s="85"/>
      <c r="G5" s="85"/>
      <c r="H5" s="85"/>
      <c r="I5" s="85"/>
      <c r="J5" s="85"/>
      <c r="K5" s="135"/>
    </row>
    <row r="6" spans="1:11" ht="30" customHeight="1">
      <c r="A6" s="63"/>
      <c r="B6" s="85"/>
      <c r="C6" s="85"/>
      <c r="D6" s="85"/>
      <c r="E6" s="85"/>
      <c r="F6" s="85"/>
      <c r="G6" s="85"/>
      <c r="H6" s="85"/>
      <c r="I6" s="85"/>
      <c r="J6" s="85"/>
      <c r="K6" s="135"/>
    </row>
    <row r="7" spans="1:11" ht="30" customHeight="1">
      <c r="A7" s="63"/>
      <c r="B7" s="85"/>
      <c r="C7" s="85"/>
      <c r="D7" s="85"/>
      <c r="E7" s="85"/>
      <c r="F7" s="85"/>
      <c r="G7" s="85"/>
      <c r="H7" s="85"/>
      <c r="I7" s="85"/>
      <c r="J7" s="85"/>
      <c r="K7" s="135"/>
    </row>
    <row r="8" spans="1:11" ht="30" customHeight="1">
      <c r="A8" s="63"/>
      <c r="B8" s="85"/>
      <c r="C8" s="85"/>
      <c r="D8" s="85"/>
      <c r="E8" s="85"/>
      <c r="F8" s="85"/>
      <c r="G8" s="85"/>
      <c r="H8" s="85"/>
      <c r="I8" s="85"/>
      <c r="J8" s="85"/>
      <c r="K8" s="135"/>
    </row>
    <row r="9" spans="1:11" ht="30" customHeight="1">
      <c r="A9" s="63"/>
      <c r="B9" s="85"/>
      <c r="C9" s="85"/>
      <c r="D9" s="85"/>
      <c r="E9" s="85"/>
      <c r="F9" s="85"/>
      <c r="G9" s="85"/>
      <c r="H9" s="85"/>
      <c r="I9" s="85"/>
      <c r="J9" s="85"/>
      <c r="K9" s="135"/>
    </row>
    <row r="10" spans="1:11" ht="30" customHeight="1">
      <c r="A10" s="63"/>
      <c r="B10" s="85"/>
      <c r="C10" s="85"/>
      <c r="D10" s="85"/>
      <c r="E10" s="85"/>
      <c r="F10" s="85"/>
      <c r="G10" s="85"/>
      <c r="H10" s="85"/>
      <c r="I10" s="85"/>
      <c r="J10" s="85"/>
      <c r="K10" s="135"/>
    </row>
    <row r="11" spans="1:11" ht="30" customHeight="1">
      <c r="A11" s="63"/>
      <c r="B11" s="85"/>
      <c r="C11" s="85"/>
      <c r="D11" s="85"/>
      <c r="E11" s="85"/>
      <c r="F11" s="85"/>
      <c r="G11" s="85"/>
      <c r="H11" s="85"/>
      <c r="I11" s="85"/>
      <c r="J11" s="85"/>
      <c r="K11" s="135"/>
    </row>
    <row r="12" spans="1:11" ht="30" customHeight="1">
      <c r="A12" s="63"/>
      <c r="B12" s="85"/>
      <c r="C12" s="85"/>
      <c r="D12" s="85"/>
      <c r="E12" s="85"/>
      <c r="F12" s="85"/>
      <c r="G12" s="85"/>
      <c r="H12" s="85"/>
      <c r="I12" s="85"/>
      <c r="J12" s="85"/>
      <c r="K12" s="135"/>
    </row>
    <row r="13" spans="1:11" ht="30" customHeight="1">
      <c r="A13" s="63"/>
      <c r="B13" s="85"/>
      <c r="C13" s="85"/>
      <c r="D13" s="85"/>
      <c r="E13" s="85"/>
      <c r="F13" s="85"/>
      <c r="G13" s="85"/>
      <c r="H13" s="85"/>
      <c r="I13" s="85"/>
      <c r="J13" s="85"/>
      <c r="K13" s="135"/>
    </row>
    <row r="14" spans="1:11" ht="30" customHeight="1">
      <c r="A14" s="63"/>
      <c r="B14" s="85"/>
      <c r="C14" s="85"/>
      <c r="D14" s="85"/>
      <c r="E14" s="85"/>
      <c r="F14" s="85"/>
      <c r="G14" s="85"/>
      <c r="H14" s="85"/>
      <c r="I14" s="85"/>
      <c r="J14" s="85"/>
      <c r="K14" s="135"/>
    </row>
    <row r="15" spans="1:11" ht="30" customHeight="1">
      <c r="A15" s="63"/>
      <c r="B15" s="85"/>
      <c r="C15" s="85"/>
      <c r="D15" s="85"/>
      <c r="E15" s="85"/>
      <c r="F15" s="85"/>
      <c r="G15" s="85"/>
      <c r="H15" s="85"/>
      <c r="I15" s="85"/>
      <c r="J15" s="85"/>
      <c r="K15" s="135"/>
    </row>
    <row r="16" spans="1:11" ht="30" customHeight="1">
      <c r="A16" s="63"/>
      <c r="B16" s="85"/>
      <c r="C16" s="85"/>
      <c r="D16" s="85"/>
      <c r="E16" s="85"/>
      <c r="F16" s="85"/>
      <c r="G16" s="85"/>
      <c r="H16" s="85"/>
      <c r="I16" s="85"/>
      <c r="J16" s="85"/>
      <c r="K16" s="135"/>
    </row>
    <row r="17" spans="1:11" ht="30" customHeight="1">
      <c r="A17" s="63"/>
      <c r="B17" s="85"/>
      <c r="C17" s="85"/>
      <c r="D17" s="85"/>
      <c r="E17" s="85"/>
      <c r="F17" s="85"/>
      <c r="G17" s="85"/>
      <c r="H17" s="85"/>
      <c r="I17" s="85"/>
      <c r="J17" s="85"/>
      <c r="K17" s="135"/>
    </row>
    <row r="18" spans="1:11" ht="30" customHeight="1">
      <c r="A18" s="63"/>
      <c r="B18" s="85"/>
      <c r="C18" s="85"/>
      <c r="D18" s="85"/>
      <c r="E18" s="85"/>
      <c r="F18" s="85"/>
      <c r="G18" s="85"/>
      <c r="H18" s="85"/>
      <c r="I18" s="85"/>
      <c r="J18" s="85"/>
      <c r="K18" s="135"/>
    </row>
    <row r="19" spans="1:11" ht="30" customHeight="1">
      <c r="A19" s="63"/>
      <c r="B19" s="85"/>
      <c r="C19" s="85"/>
      <c r="D19" s="85"/>
      <c r="E19" s="85"/>
      <c r="F19" s="85"/>
      <c r="G19" s="85"/>
      <c r="H19" s="85"/>
      <c r="I19" s="85"/>
      <c r="J19" s="85"/>
      <c r="K19" s="135"/>
    </row>
    <row r="20" spans="1:11" ht="30" customHeight="1">
      <c r="A20" s="63"/>
      <c r="B20" s="85"/>
      <c r="C20" s="85"/>
      <c r="D20" s="85"/>
      <c r="E20" s="85"/>
      <c r="F20" s="85"/>
      <c r="G20" s="85"/>
      <c r="H20" s="85"/>
      <c r="I20" s="85"/>
      <c r="J20" s="85"/>
      <c r="K20" s="135"/>
    </row>
    <row r="21" spans="1:11" ht="30" customHeight="1">
      <c r="A21" s="63"/>
      <c r="B21" s="85"/>
      <c r="C21" s="85"/>
      <c r="D21" s="85"/>
      <c r="E21" s="85"/>
      <c r="F21" s="85"/>
      <c r="G21" s="85"/>
      <c r="H21" s="85"/>
      <c r="I21" s="85"/>
      <c r="J21" s="85"/>
      <c r="K21" s="135"/>
    </row>
    <row r="22" spans="1:11" ht="30" customHeight="1">
      <c r="A22" s="63"/>
      <c r="B22" s="85"/>
      <c r="C22" s="85"/>
      <c r="D22" s="85"/>
      <c r="E22" s="85"/>
      <c r="F22" s="85"/>
      <c r="G22" s="85"/>
      <c r="H22" s="85"/>
      <c r="I22" s="85"/>
      <c r="J22" s="85"/>
      <c r="K22" s="135"/>
    </row>
    <row r="23" spans="1:11" ht="30" customHeight="1">
      <c r="A23" s="63"/>
      <c r="B23" s="85"/>
      <c r="C23" s="85"/>
      <c r="D23" s="85"/>
      <c r="E23" s="85"/>
      <c r="F23" s="85"/>
      <c r="G23" s="85"/>
      <c r="H23" s="85"/>
      <c r="I23" s="85"/>
      <c r="J23" s="85"/>
      <c r="K23" s="135"/>
    </row>
    <row r="24" spans="1:11" ht="24.95" customHeight="1">
      <c r="A24" s="63"/>
      <c r="B24" s="85"/>
      <c r="C24" s="85"/>
      <c r="D24" s="85"/>
      <c r="E24" s="85"/>
      <c r="F24" s="85"/>
      <c r="G24" s="85"/>
      <c r="H24" s="85"/>
      <c r="I24" s="85"/>
      <c r="J24" s="85"/>
      <c r="K24" s="135"/>
    </row>
    <row r="25" spans="1:11" ht="24.95" customHeight="1">
      <c r="A25" s="63"/>
      <c r="B25" s="76"/>
      <c r="C25" s="76"/>
      <c r="D25" s="76"/>
      <c r="E25" s="76"/>
      <c r="F25" s="76"/>
      <c r="G25" s="76"/>
      <c r="H25" s="76"/>
      <c r="I25" s="79"/>
      <c r="J25" s="17" t="s">
        <v>423</v>
      </c>
      <c r="K25" s="146"/>
    </row>
    <row r="26" spans="1:11" ht="24.95" customHeight="1">
      <c r="A26" s="63"/>
      <c r="B26" s="76"/>
      <c r="C26" s="76"/>
      <c r="D26" s="76"/>
      <c r="E26" s="76"/>
      <c r="F26" s="76"/>
      <c r="G26" s="76"/>
      <c r="H26" s="76"/>
      <c r="I26" s="105"/>
      <c r="J26" s="17" t="s">
        <v>422</v>
      </c>
      <c r="K26" s="146"/>
    </row>
    <row r="27" spans="1:11" ht="24.95" customHeight="1">
      <c r="A27" s="63"/>
      <c r="B27" s="76"/>
      <c r="C27" s="76"/>
      <c r="D27" s="76"/>
      <c r="E27" s="76"/>
      <c r="F27" s="76"/>
      <c r="G27" s="76"/>
      <c r="H27" s="76"/>
      <c r="I27" s="149"/>
      <c r="J27" s="148" t="s">
        <v>421</v>
      </c>
      <c r="K27" s="146"/>
    </row>
    <row r="28" spans="1:11" ht="30" customHeight="1">
      <c r="A28" s="63"/>
      <c r="B28" s="154" t="s">
        <v>420</v>
      </c>
      <c r="C28" s="154"/>
      <c r="D28" s="154"/>
      <c r="E28" s="154"/>
      <c r="F28" s="154"/>
      <c r="G28" s="154"/>
      <c r="H28" s="154"/>
      <c r="I28" s="154"/>
      <c r="J28" s="154"/>
      <c r="K28" s="146"/>
    </row>
    <row r="29" spans="1:11" ht="30" customHeight="1">
      <c r="A29" s="63"/>
      <c r="B29" s="76"/>
      <c r="C29" s="76"/>
      <c r="D29" s="66"/>
      <c r="E29" s="76"/>
      <c r="F29" s="76"/>
      <c r="G29" s="76"/>
      <c r="H29" s="76"/>
      <c r="I29" s="76"/>
      <c r="J29" s="76"/>
      <c r="K29" s="146"/>
    </row>
    <row r="30" spans="1:11" ht="30" customHeight="1">
      <c r="A30" s="63"/>
      <c r="B30" s="79" t="s">
        <v>419</v>
      </c>
      <c r="C30" s="79" t="s">
        <v>418</v>
      </c>
      <c r="D30" s="66" t="s">
        <v>175</v>
      </c>
      <c r="E30" s="79">
        <f>Sheet1!G14/2</f>
        <v>300.5</v>
      </c>
      <c r="F30" s="79" t="s">
        <v>207</v>
      </c>
      <c r="G30" s="76"/>
      <c r="H30" s="76"/>
      <c r="I30" s="76"/>
      <c r="J30" s="76"/>
      <c r="K30" s="146"/>
    </row>
    <row r="31" spans="1:11" ht="30" customHeight="1">
      <c r="A31" s="63"/>
      <c r="B31" s="76"/>
      <c r="C31" s="76"/>
      <c r="D31" s="66"/>
      <c r="E31" s="76"/>
      <c r="F31" s="76"/>
      <c r="G31" s="76"/>
      <c r="H31" s="76"/>
      <c r="I31" s="76"/>
      <c r="J31" s="76"/>
      <c r="K31" s="146"/>
    </row>
    <row r="32" spans="1:11" ht="30" customHeight="1">
      <c r="A32" s="63"/>
      <c r="B32" s="79" t="s">
        <v>417</v>
      </c>
      <c r="C32" s="79" t="s">
        <v>416</v>
      </c>
      <c r="D32" s="66" t="s">
        <v>175</v>
      </c>
      <c r="E32" s="79">
        <v>468</v>
      </c>
      <c r="F32" s="79" t="s">
        <v>207</v>
      </c>
      <c r="G32" s="76"/>
      <c r="H32" s="76"/>
      <c r="I32" s="76"/>
      <c r="J32" s="76"/>
      <c r="K32" s="146"/>
    </row>
    <row r="33" spans="1:11" ht="30" customHeight="1">
      <c r="A33" s="63"/>
      <c r="B33" s="76"/>
      <c r="C33" s="76"/>
      <c r="D33" s="66"/>
      <c r="E33" s="76"/>
      <c r="F33" s="76"/>
      <c r="G33" s="76"/>
      <c r="H33" s="76"/>
      <c r="I33" s="76"/>
      <c r="J33" s="76"/>
      <c r="K33" s="146"/>
    </row>
    <row r="34" spans="1:11" ht="30" customHeight="1">
      <c r="A34" s="63"/>
      <c r="B34" s="105" t="s">
        <v>415</v>
      </c>
      <c r="C34" s="105" t="s">
        <v>414</v>
      </c>
      <c r="D34" s="66" t="s">
        <v>175</v>
      </c>
      <c r="E34" s="105" t="s">
        <v>413</v>
      </c>
      <c r="F34" s="105" t="s">
        <v>175</v>
      </c>
      <c r="G34" s="105">
        <f>(E30+E32)/2</f>
        <v>384.25</v>
      </c>
      <c r="H34" s="105" t="s">
        <v>207</v>
      </c>
      <c r="I34" s="76"/>
      <c r="J34" s="76"/>
      <c r="K34" s="146"/>
    </row>
    <row r="35" spans="1:11" ht="30" customHeight="1">
      <c r="A35" s="63"/>
      <c r="B35" s="76"/>
      <c r="C35" s="76"/>
      <c r="D35" s="66"/>
      <c r="E35" s="76"/>
      <c r="F35" s="76"/>
      <c r="G35" s="76"/>
      <c r="H35" s="76"/>
      <c r="I35" s="76"/>
      <c r="J35" s="76"/>
      <c r="K35" s="146"/>
    </row>
    <row r="36" spans="1:11" ht="30" customHeight="1">
      <c r="A36" s="63"/>
      <c r="B36" s="79" t="s">
        <v>412</v>
      </c>
      <c r="C36" s="79" t="s">
        <v>411</v>
      </c>
      <c r="D36" s="66" t="s">
        <v>175</v>
      </c>
      <c r="E36" s="79">
        <v>130</v>
      </c>
      <c r="F36" s="79" t="s">
        <v>207</v>
      </c>
      <c r="G36" s="76"/>
      <c r="H36" s="76"/>
      <c r="I36" s="76"/>
      <c r="J36" s="76"/>
      <c r="K36" s="146"/>
    </row>
    <row r="37" spans="1:11" ht="30" customHeight="1">
      <c r="A37" s="63"/>
      <c r="B37" s="76"/>
      <c r="C37" s="76"/>
      <c r="D37" s="66"/>
      <c r="E37" s="76"/>
      <c r="F37" s="76"/>
      <c r="G37" s="76"/>
      <c r="H37" s="76"/>
      <c r="I37" s="76"/>
      <c r="J37" s="76"/>
      <c r="K37" s="146"/>
    </row>
    <row r="38" spans="1:11" ht="30" customHeight="1">
      <c r="A38" s="63"/>
      <c r="B38" s="105" t="s">
        <v>410</v>
      </c>
      <c r="C38" s="105" t="s">
        <v>409</v>
      </c>
      <c r="D38" s="66" t="s">
        <v>175</v>
      </c>
      <c r="E38" s="105">
        <f>E32-E30</f>
        <v>167.5</v>
      </c>
      <c r="F38" s="105" t="s">
        <v>207</v>
      </c>
      <c r="G38" s="76"/>
      <c r="H38" s="76"/>
      <c r="I38" s="76"/>
      <c r="J38" s="76"/>
      <c r="K38" s="146"/>
    </row>
    <row r="39" spans="1:11" ht="30" customHeight="1">
      <c r="A39" s="63"/>
      <c r="B39" s="76"/>
      <c r="C39" s="76"/>
      <c r="D39" s="66"/>
      <c r="E39" s="76"/>
      <c r="F39" s="76"/>
      <c r="G39" s="76"/>
      <c r="H39" s="76"/>
      <c r="I39" s="76"/>
      <c r="J39" s="76"/>
      <c r="K39" s="146"/>
    </row>
    <row r="40" spans="1:11" ht="30" customHeight="1">
      <c r="A40" s="63"/>
      <c r="B40" s="79" t="s">
        <v>408</v>
      </c>
      <c r="C40" s="79" t="s">
        <v>407</v>
      </c>
      <c r="D40" s="66" t="s">
        <v>175</v>
      </c>
      <c r="E40" s="79">
        <v>100</v>
      </c>
      <c r="F40" s="79" t="s">
        <v>207</v>
      </c>
      <c r="G40" s="76"/>
      <c r="H40" s="76"/>
      <c r="I40" s="76"/>
      <c r="J40" s="76"/>
      <c r="K40" s="146"/>
    </row>
    <row r="41" spans="1:11" ht="30" customHeight="1">
      <c r="A41" s="63"/>
      <c r="B41" s="76"/>
      <c r="C41" s="76"/>
      <c r="D41" s="66"/>
      <c r="E41" s="76"/>
      <c r="F41" s="76"/>
      <c r="G41" s="76"/>
      <c r="H41" s="76"/>
      <c r="I41" s="76"/>
      <c r="J41" s="76"/>
      <c r="K41" s="146"/>
    </row>
    <row r="42" spans="1:11" ht="30" customHeight="1">
      <c r="A42" s="63"/>
      <c r="B42" s="79" t="s">
        <v>406</v>
      </c>
      <c r="C42" s="79" t="s">
        <v>405</v>
      </c>
      <c r="D42" s="66"/>
      <c r="E42" s="79">
        <v>107</v>
      </c>
      <c r="F42" s="79" t="s">
        <v>207</v>
      </c>
      <c r="G42" s="76"/>
      <c r="H42" s="76"/>
      <c r="I42" s="76"/>
      <c r="J42" s="76"/>
      <c r="K42" s="146"/>
    </row>
    <row r="43" spans="1:11" ht="30" customHeight="1">
      <c r="A43" s="63"/>
      <c r="B43" s="76"/>
      <c r="C43" s="76"/>
      <c r="D43" s="66"/>
      <c r="E43" s="76"/>
      <c r="F43" s="76"/>
      <c r="G43" s="76"/>
      <c r="H43" s="76"/>
      <c r="I43" s="76"/>
      <c r="J43" s="76"/>
      <c r="K43" s="146"/>
    </row>
    <row r="44" spans="1:11" ht="30" customHeight="1">
      <c r="A44" s="63"/>
      <c r="B44" s="79" t="s">
        <v>404</v>
      </c>
      <c r="C44" s="79" t="s">
        <v>403</v>
      </c>
      <c r="D44" s="66" t="s">
        <v>175</v>
      </c>
      <c r="E44" s="79">
        <f>Sheet1!G10</f>
        <v>44700</v>
      </c>
      <c r="F44" s="79" t="s">
        <v>298</v>
      </c>
      <c r="G44" s="147" t="s">
        <v>402</v>
      </c>
      <c r="H44" s="76"/>
      <c r="I44" s="76"/>
      <c r="J44" s="76"/>
      <c r="K44" s="146"/>
    </row>
    <row r="45" spans="1:11" ht="30" customHeight="1">
      <c r="A45" s="63"/>
      <c r="B45" s="76"/>
      <c r="C45" s="76"/>
      <c r="D45" s="76"/>
      <c r="E45" s="76"/>
      <c r="F45" s="76"/>
      <c r="G45" s="76"/>
      <c r="H45" s="76"/>
      <c r="I45" s="76"/>
      <c r="J45" s="76"/>
      <c r="K45" s="146"/>
    </row>
    <row r="46" spans="1:11" ht="30" customHeight="1" thickBot="1">
      <c r="A46" s="59"/>
      <c r="B46" s="145"/>
      <c r="C46" s="145"/>
      <c r="D46" s="145"/>
      <c r="E46" s="145"/>
      <c r="F46" s="145"/>
      <c r="G46" s="145"/>
      <c r="H46" s="145"/>
      <c r="I46" s="145"/>
      <c r="J46" s="145"/>
      <c r="K46" s="144"/>
    </row>
    <row r="47" spans="1:11" ht="30" customHeight="1" thickBot="1">
      <c r="B47" s="85"/>
      <c r="I47" s="172" t="s">
        <v>241</v>
      </c>
      <c r="J47" s="173"/>
      <c r="K47" s="84" t="s">
        <v>401</v>
      </c>
    </row>
    <row r="48" spans="1:11" ht="30" customHeight="1">
      <c r="A48" s="83"/>
      <c r="B48" s="82"/>
      <c r="C48" s="82"/>
      <c r="D48" s="82"/>
      <c r="E48" s="82"/>
      <c r="F48" s="82"/>
      <c r="G48" s="82"/>
      <c r="H48" s="82"/>
      <c r="I48" s="82"/>
      <c r="J48" s="82"/>
      <c r="K48" s="81"/>
    </row>
    <row r="49" spans="1:16" ht="30" customHeight="1">
      <c r="A49" s="63"/>
      <c r="B49" s="85"/>
      <c r="C49" s="85"/>
      <c r="D49" s="85"/>
      <c r="E49" s="85"/>
      <c r="F49" s="85"/>
      <c r="G49" s="85"/>
      <c r="H49" s="85"/>
      <c r="I49" s="85"/>
      <c r="J49" s="85"/>
      <c r="K49" s="135"/>
    </row>
    <row r="50" spans="1:16" ht="30" customHeight="1">
      <c r="A50" s="98"/>
      <c r="B50" s="174" t="s">
        <v>400</v>
      </c>
      <c r="C50" s="163"/>
      <c r="D50" s="163"/>
      <c r="E50" s="163"/>
      <c r="F50" s="163"/>
      <c r="G50" s="163"/>
      <c r="H50" s="163"/>
      <c r="I50" s="163"/>
      <c r="J50" s="163"/>
      <c r="K50" s="164"/>
    </row>
    <row r="51" spans="1:16" ht="30" customHeight="1">
      <c r="A51" s="63"/>
      <c r="B51" s="85"/>
      <c r="C51" s="85"/>
      <c r="D51" s="85"/>
      <c r="E51" s="85"/>
      <c r="F51" s="85"/>
      <c r="G51" s="85"/>
      <c r="H51" s="85"/>
      <c r="I51" s="85"/>
      <c r="J51" s="85"/>
      <c r="K51" s="135"/>
    </row>
    <row r="52" spans="1:16" ht="30" customHeight="1">
      <c r="A52" s="63"/>
      <c r="B52" s="85"/>
      <c r="C52" s="85"/>
      <c r="D52" s="85"/>
      <c r="E52" s="85"/>
      <c r="F52" s="85"/>
      <c r="G52" s="85"/>
      <c r="H52" s="85"/>
      <c r="I52" s="85"/>
      <c r="J52" s="85"/>
      <c r="K52" s="135"/>
    </row>
    <row r="53" spans="1:16" ht="30" customHeight="1">
      <c r="A53" s="63"/>
      <c r="B53" s="76"/>
      <c r="C53" s="76"/>
      <c r="D53" s="66"/>
      <c r="E53" s="76"/>
      <c r="F53" s="76"/>
      <c r="G53" s="85"/>
      <c r="H53" s="85"/>
      <c r="I53" s="85"/>
      <c r="J53" s="85"/>
      <c r="K53" s="135"/>
      <c r="N53" s="126" t="s">
        <v>364</v>
      </c>
      <c r="O53" s="126" t="s">
        <v>362</v>
      </c>
      <c r="P53" s="126" t="s">
        <v>354</v>
      </c>
    </row>
    <row r="54" spans="1:16" ht="30" customHeight="1">
      <c r="A54" s="98"/>
      <c r="B54" s="139" t="s">
        <v>364</v>
      </c>
      <c r="C54" s="105" t="s">
        <v>364</v>
      </c>
      <c r="D54" s="66" t="s">
        <v>175</v>
      </c>
      <c r="E54" s="105" t="s">
        <v>324</v>
      </c>
      <c r="F54" s="76"/>
      <c r="G54" s="177" t="s">
        <v>399</v>
      </c>
      <c r="H54" s="177"/>
      <c r="I54" s="177"/>
      <c r="J54" s="177"/>
      <c r="K54" s="135"/>
      <c r="N54" s="126" t="s">
        <v>398</v>
      </c>
      <c r="O54" s="126">
        <v>7.85</v>
      </c>
      <c r="P54" s="126">
        <v>21</v>
      </c>
    </row>
    <row r="55" spans="1:16" ht="30" customHeight="1">
      <c r="A55" s="63"/>
      <c r="B55" s="143"/>
      <c r="C55" s="104"/>
      <c r="D55" s="66"/>
      <c r="E55" s="76"/>
      <c r="F55" s="76"/>
      <c r="G55" s="177"/>
      <c r="H55" s="177"/>
      <c r="I55" s="177"/>
      <c r="J55" s="177"/>
      <c r="K55" s="135"/>
      <c r="N55" s="126" t="s">
        <v>397</v>
      </c>
      <c r="O55" s="126">
        <v>7.86</v>
      </c>
      <c r="P55" s="126">
        <v>31.6</v>
      </c>
    </row>
    <row r="56" spans="1:16" ht="30" customHeight="1">
      <c r="A56" s="98"/>
      <c r="B56" s="139" t="s">
        <v>362</v>
      </c>
      <c r="C56" s="105" t="s">
        <v>361</v>
      </c>
      <c r="D56" s="66" t="s">
        <v>175</v>
      </c>
      <c r="E56" s="105">
        <f>VLOOKUP(E54,N54:P58,2,FALSE)</f>
        <v>7.85</v>
      </c>
      <c r="F56" s="76"/>
      <c r="G56" s="177"/>
      <c r="H56" s="177"/>
      <c r="I56" s="177"/>
      <c r="J56" s="177"/>
      <c r="K56" s="135"/>
      <c r="N56" s="126" t="s">
        <v>396</v>
      </c>
      <c r="O56" s="126">
        <v>7.86</v>
      </c>
      <c r="P56" s="126">
        <v>32</v>
      </c>
    </row>
    <row r="57" spans="1:16" ht="30" customHeight="1">
      <c r="A57" s="63"/>
      <c r="B57" s="143"/>
      <c r="C57" s="104"/>
      <c r="D57" s="66"/>
      <c r="E57" s="76"/>
      <c r="F57" s="76"/>
      <c r="G57" s="177"/>
      <c r="H57" s="177"/>
      <c r="I57" s="177"/>
      <c r="J57" s="177"/>
      <c r="K57" s="135"/>
      <c r="N57" s="126" t="s">
        <v>395</v>
      </c>
      <c r="O57" s="126">
        <v>7.83</v>
      </c>
      <c r="P57" s="126" t="s">
        <v>394</v>
      </c>
    </row>
    <row r="58" spans="1:16" ht="30" customHeight="1">
      <c r="A58" s="98"/>
      <c r="B58" s="139" t="s">
        <v>360</v>
      </c>
      <c r="C58" s="105" t="s">
        <v>354</v>
      </c>
      <c r="D58" s="66" t="s">
        <v>175</v>
      </c>
      <c r="E58" s="105">
        <f>VLOOKUP(E54,N54:P58,3,FALSE)</f>
        <v>21</v>
      </c>
      <c r="F58" s="76" t="s">
        <v>181</v>
      </c>
      <c r="G58" s="177"/>
      <c r="H58" s="177"/>
      <c r="I58" s="177"/>
      <c r="J58" s="177"/>
      <c r="K58" s="135"/>
      <c r="N58" s="126" t="s">
        <v>393</v>
      </c>
      <c r="O58" s="126">
        <v>7.83</v>
      </c>
      <c r="P58" s="126">
        <v>85</v>
      </c>
    </row>
    <row r="59" spans="1:16" ht="30" customHeight="1">
      <c r="A59" s="63"/>
      <c r="B59" s="143"/>
      <c r="C59" s="104"/>
      <c r="D59" s="66"/>
      <c r="E59" s="76"/>
      <c r="F59" s="76"/>
      <c r="G59" s="177"/>
      <c r="H59" s="177"/>
      <c r="I59" s="177"/>
      <c r="J59" s="177"/>
      <c r="K59" s="135"/>
      <c r="N59" s="126" t="s">
        <v>392</v>
      </c>
      <c r="O59" s="126">
        <v>7.83</v>
      </c>
      <c r="P59" s="126">
        <v>85</v>
      </c>
    </row>
    <row r="60" spans="1:16" ht="30" customHeight="1">
      <c r="A60" s="98"/>
      <c r="B60" s="139" t="s">
        <v>391</v>
      </c>
      <c r="C60" s="105" t="s">
        <v>390</v>
      </c>
      <c r="D60" s="66" t="s">
        <v>175</v>
      </c>
      <c r="E60" s="141">
        <f>PI()*E36*(E32^2-E30^2)</f>
        <v>52571686.354528785</v>
      </c>
      <c r="F60" s="76" t="s">
        <v>389</v>
      </c>
      <c r="G60" s="177"/>
      <c r="H60" s="177"/>
      <c r="I60" s="177"/>
      <c r="J60" s="177"/>
      <c r="K60" s="135"/>
    </row>
    <row r="61" spans="1:16" ht="30" customHeight="1">
      <c r="A61" s="63"/>
      <c r="B61" s="143"/>
      <c r="C61" s="104"/>
      <c r="D61" s="66"/>
      <c r="E61" s="76"/>
      <c r="F61" s="76"/>
      <c r="G61" s="177"/>
      <c r="H61" s="177"/>
      <c r="I61" s="177"/>
      <c r="J61" s="177"/>
      <c r="K61" s="135"/>
    </row>
    <row r="62" spans="1:16" ht="30" customHeight="1">
      <c r="A62" s="98"/>
      <c r="B62" s="139" t="s">
        <v>388</v>
      </c>
      <c r="C62" s="105" t="s">
        <v>387</v>
      </c>
      <c r="D62" s="66" t="s">
        <v>175</v>
      </c>
      <c r="E62" s="142">
        <f>ROUND((E60*E56*10^-6)/2,5)</f>
        <v>206.34387000000001</v>
      </c>
      <c r="F62" s="132" t="s">
        <v>298</v>
      </c>
      <c r="G62" s="177"/>
      <c r="H62" s="177"/>
      <c r="I62" s="177"/>
      <c r="J62" s="177"/>
      <c r="K62" s="135"/>
    </row>
    <row r="63" spans="1:16" ht="30" customHeight="1">
      <c r="A63" s="63"/>
      <c r="B63" s="76"/>
      <c r="C63" s="76"/>
      <c r="D63" s="66"/>
      <c r="E63" s="76"/>
      <c r="F63" s="76"/>
      <c r="G63" s="85"/>
      <c r="H63" s="138"/>
      <c r="I63" s="138"/>
      <c r="J63" s="85"/>
      <c r="K63" s="135"/>
      <c r="N63" s="85"/>
      <c r="O63" s="85"/>
      <c r="P63" s="85"/>
    </row>
    <row r="64" spans="1:16" ht="30" customHeight="1">
      <c r="A64" s="90"/>
      <c r="B64" s="174" t="s">
        <v>386</v>
      </c>
      <c r="C64" s="163"/>
      <c r="D64" s="163"/>
      <c r="E64" s="163"/>
      <c r="F64" s="163"/>
      <c r="G64" s="163"/>
      <c r="H64" s="163"/>
      <c r="I64" s="163"/>
      <c r="J64" s="163"/>
      <c r="K64" s="164"/>
    </row>
    <row r="65" spans="1:15" ht="30" customHeight="1">
      <c r="A65" s="91"/>
      <c r="B65" s="65"/>
      <c r="C65" s="65"/>
      <c r="D65" s="65"/>
      <c r="E65" s="65"/>
      <c r="F65" s="65"/>
      <c r="G65" s="65"/>
      <c r="H65" s="65"/>
      <c r="I65" s="65"/>
      <c r="J65" s="65"/>
      <c r="K65" s="106"/>
      <c r="L65" s="65"/>
      <c r="M65" s="65"/>
    </row>
    <row r="66" spans="1:15" ht="30" customHeight="1">
      <c r="A66" s="91"/>
      <c r="B66" s="66"/>
      <c r="C66" s="66"/>
      <c r="D66" s="66"/>
      <c r="E66" s="66"/>
      <c r="F66" s="66"/>
      <c r="G66" s="177" t="s">
        <v>385</v>
      </c>
      <c r="H66" s="177"/>
      <c r="I66" s="177"/>
      <c r="J66" s="177"/>
      <c r="K66" s="182"/>
    </row>
    <row r="67" spans="1:15" ht="30" customHeight="1">
      <c r="A67" s="90"/>
      <c r="B67" s="139" t="s">
        <v>204</v>
      </c>
      <c r="C67" s="105" t="s">
        <v>384</v>
      </c>
      <c r="D67" s="66" t="s">
        <v>175</v>
      </c>
      <c r="E67" s="105">
        <f>E36*E38</f>
        <v>21775</v>
      </c>
      <c r="F67" s="66" t="s">
        <v>202</v>
      </c>
      <c r="G67" s="177"/>
      <c r="H67" s="177"/>
      <c r="I67" s="177"/>
      <c r="J67" s="177"/>
      <c r="K67" s="182"/>
    </row>
    <row r="68" spans="1:15" ht="30" customHeight="1">
      <c r="A68" s="91"/>
      <c r="B68" s="66"/>
      <c r="C68" s="66"/>
      <c r="D68" s="66"/>
      <c r="E68" s="66"/>
      <c r="F68" s="66"/>
      <c r="G68" s="177"/>
      <c r="H68" s="177"/>
      <c r="I68" s="177"/>
      <c r="J68" s="177"/>
      <c r="K68" s="182"/>
    </row>
    <row r="69" spans="1:15" ht="30" customHeight="1">
      <c r="A69" s="90"/>
      <c r="B69" s="139" t="s">
        <v>383</v>
      </c>
      <c r="C69" s="105" t="s">
        <v>382</v>
      </c>
      <c r="D69" s="66" t="s">
        <v>175</v>
      </c>
      <c r="E69" s="105">
        <f>G34-E30</f>
        <v>83.75</v>
      </c>
      <c r="F69" s="66" t="s">
        <v>207</v>
      </c>
      <c r="G69" s="177"/>
      <c r="H69" s="177"/>
      <c r="I69" s="177"/>
      <c r="J69" s="177"/>
      <c r="K69" s="182"/>
    </row>
    <row r="70" spans="1:15" ht="30" customHeight="1">
      <c r="A70" s="91"/>
      <c r="B70" s="66"/>
      <c r="C70" s="66"/>
      <c r="D70" s="66"/>
      <c r="E70" s="66"/>
      <c r="F70" s="66"/>
      <c r="G70" s="177"/>
      <c r="H70" s="177"/>
      <c r="I70" s="177"/>
      <c r="J70" s="177"/>
      <c r="K70" s="182"/>
    </row>
    <row r="71" spans="1:15" ht="30" customHeight="1">
      <c r="A71" s="90"/>
      <c r="B71" s="139" t="s">
        <v>381</v>
      </c>
      <c r="C71" s="105" t="s">
        <v>380</v>
      </c>
      <c r="D71" s="66" t="s">
        <v>175</v>
      </c>
      <c r="E71" s="105">
        <f>ROUND((1/3*(E69/G34)^2)+(1/5*(E69/G34)^4)+(1/7*(E69/G34)^6),3)</f>
        <v>1.6E-2</v>
      </c>
      <c r="F71" s="66"/>
      <c r="G71" s="177"/>
      <c r="H71" s="177"/>
      <c r="I71" s="177"/>
      <c r="J71" s="177"/>
      <c r="K71" s="182"/>
      <c r="N71" s="128" t="s">
        <v>379</v>
      </c>
      <c r="O71" s="128" t="s">
        <v>378</v>
      </c>
    </row>
    <row r="72" spans="1:15" ht="30" customHeight="1">
      <c r="A72" s="91"/>
      <c r="B72" s="66"/>
      <c r="C72" s="66"/>
      <c r="D72" s="66"/>
      <c r="E72" s="66"/>
      <c r="F72" s="66"/>
      <c r="G72" s="177"/>
      <c r="H72" s="177"/>
      <c r="I72" s="177"/>
      <c r="J72" s="177"/>
      <c r="K72" s="182"/>
      <c r="N72" s="137">
        <v>0.05</v>
      </c>
      <c r="O72" s="128">
        <v>0.63600000000000001</v>
      </c>
    </row>
    <row r="73" spans="1:15" ht="30" customHeight="1">
      <c r="A73" s="90"/>
      <c r="B73" s="139" t="s">
        <v>377</v>
      </c>
      <c r="C73" s="105" t="s">
        <v>376</v>
      </c>
      <c r="D73" s="66" t="s">
        <v>175</v>
      </c>
      <c r="E73" s="105">
        <f>ROUND(E44/((PI()*E67)*(1+E71))*(1-(E69/(E71*(G34-E69)))),2)</f>
        <v>-10.56</v>
      </c>
      <c r="F73" s="66" t="s">
        <v>181</v>
      </c>
      <c r="G73" s="177"/>
      <c r="H73" s="177"/>
      <c r="I73" s="177"/>
      <c r="J73" s="177"/>
      <c r="K73" s="182"/>
      <c r="L73" s="138"/>
      <c r="N73" s="137">
        <v>0.1</v>
      </c>
      <c r="O73" s="128">
        <v>0.61799999999999999</v>
      </c>
    </row>
    <row r="74" spans="1:15" ht="30" customHeight="1">
      <c r="A74" s="91"/>
      <c r="B74" s="66"/>
      <c r="C74" s="66"/>
      <c r="D74" s="66"/>
      <c r="E74" s="66"/>
      <c r="F74" s="66"/>
      <c r="G74" s="177"/>
      <c r="H74" s="177"/>
      <c r="I74" s="177"/>
      <c r="J74" s="177"/>
      <c r="K74" s="182"/>
      <c r="L74" s="138"/>
      <c r="N74" s="137">
        <v>0.15</v>
      </c>
      <c r="O74" s="128">
        <v>0.60799999999999998</v>
      </c>
    </row>
    <row r="75" spans="1:15" ht="30" customHeight="1">
      <c r="A75" s="90"/>
      <c r="B75" s="139" t="s">
        <v>375</v>
      </c>
      <c r="C75" s="105" t="s">
        <v>374</v>
      </c>
      <c r="D75" s="66" t="s">
        <v>175</v>
      </c>
      <c r="E75" s="105">
        <f>ROUND(E44/(2*E67),2)</f>
        <v>1.03</v>
      </c>
      <c r="F75" s="66" t="s">
        <v>181</v>
      </c>
      <c r="G75" s="177"/>
      <c r="H75" s="177"/>
      <c r="I75" s="177"/>
      <c r="J75" s="177"/>
      <c r="K75" s="182"/>
      <c r="L75" s="138"/>
      <c r="N75" s="137">
        <v>0.2</v>
      </c>
      <c r="O75" s="128">
        <v>0.60199999999999998</v>
      </c>
    </row>
    <row r="76" spans="1:15" ht="30" customHeight="1">
      <c r="A76" s="91"/>
      <c r="B76" s="66"/>
      <c r="C76" s="66"/>
      <c r="D76" s="66"/>
      <c r="E76" s="66"/>
      <c r="F76" s="66"/>
      <c r="G76" s="177"/>
      <c r="H76" s="177"/>
      <c r="I76" s="177"/>
      <c r="J76" s="177"/>
      <c r="K76" s="182"/>
      <c r="L76" s="138"/>
      <c r="N76" s="137">
        <v>0.25</v>
      </c>
      <c r="O76" s="128">
        <v>0.6</v>
      </c>
    </row>
    <row r="77" spans="1:15" ht="30" customHeight="1">
      <c r="A77" s="98"/>
      <c r="B77" s="139" t="s">
        <v>373</v>
      </c>
      <c r="C77" s="105" t="s">
        <v>372</v>
      </c>
      <c r="D77" s="66" t="s">
        <v>175</v>
      </c>
      <c r="E77" s="141">
        <f>ROUND(E75/E73,3)</f>
        <v>-9.8000000000000004E-2</v>
      </c>
      <c r="F77" s="76"/>
      <c r="G77" s="177"/>
      <c r="H77" s="177"/>
      <c r="I77" s="177"/>
      <c r="J77" s="177"/>
      <c r="K77" s="182"/>
      <c r="L77" s="138"/>
      <c r="N77" s="137">
        <v>0.3</v>
      </c>
      <c r="O77" s="128">
        <v>0.60199999999999998</v>
      </c>
    </row>
    <row r="78" spans="1:15" ht="30" customHeight="1">
      <c r="A78" s="63"/>
      <c r="B78" s="66"/>
      <c r="C78" s="66"/>
      <c r="D78" s="66"/>
      <c r="E78" s="66"/>
      <c r="F78" s="76"/>
      <c r="G78" s="177"/>
      <c r="H78" s="177"/>
      <c r="I78" s="177"/>
      <c r="J78" s="177"/>
      <c r="K78" s="182"/>
      <c r="L78" s="138"/>
      <c r="N78" s="137">
        <v>0.35</v>
      </c>
      <c r="O78" s="128">
        <v>0.60599999999999998</v>
      </c>
    </row>
    <row r="79" spans="1:15" ht="30" customHeight="1">
      <c r="A79" s="90"/>
      <c r="B79" s="140" t="s">
        <v>371</v>
      </c>
      <c r="C79" s="133" t="s">
        <v>370</v>
      </c>
      <c r="D79" s="66" t="s">
        <v>175</v>
      </c>
      <c r="E79" s="133">
        <f>VLOOKUP(ABS(E77),N72:O91,2,TRUE)</f>
        <v>0.63600000000000001</v>
      </c>
      <c r="F79" s="66"/>
      <c r="G79" s="177"/>
      <c r="H79" s="177"/>
      <c r="I79" s="177"/>
      <c r="J79" s="177"/>
      <c r="K79" s="182"/>
      <c r="L79" s="138"/>
      <c r="N79" s="137">
        <v>0.4</v>
      </c>
      <c r="O79" s="128">
        <v>0.61</v>
      </c>
    </row>
    <row r="80" spans="1:15" ht="30" customHeight="1">
      <c r="A80" s="91"/>
      <c r="B80" s="66"/>
      <c r="C80" s="66"/>
      <c r="D80" s="66"/>
      <c r="E80" s="66"/>
      <c r="F80" s="66"/>
      <c r="G80" s="177"/>
      <c r="H80" s="177"/>
      <c r="I80" s="177"/>
      <c r="J80" s="177"/>
      <c r="K80" s="182"/>
      <c r="L80" s="138"/>
      <c r="N80" s="137">
        <v>0.45</v>
      </c>
      <c r="O80" s="128">
        <v>0.61599999999999999</v>
      </c>
    </row>
    <row r="81" spans="1:15" ht="30" customHeight="1">
      <c r="A81" s="90"/>
      <c r="B81" s="139" t="s">
        <v>369</v>
      </c>
      <c r="C81" s="105" t="s">
        <v>368</v>
      </c>
      <c r="D81" s="66" t="s">
        <v>175</v>
      </c>
      <c r="E81" s="105">
        <f>ROUND(E79*(E75+E73),3)</f>
        <v>-6.0609999999999999</v>
      </c>
      <c r="F81" s="66"/>
      <c r="G81" s="177"/>
      <c r="H81" s="177"/>
      <c r="I81" s="177"/>
      <c r="J81" s="177"/>
      <c r="K81" s="182"/>
      <c r="L81" s="138"/>
      <c r="N81" s="137">
        <v>0.5</v>
      </c>
      <c r="O81" s="128">
        <v>0.622</v>
      </c>
    </row>
    <row r="82" spans="1:15" ht="30" customHeight="1">
      <c r="A82" s="91"/>
      <c r="B82" s="66"/>
      <c r="C82" s="66"/>
      <c r="D82" s="66"/>
      <c r="E82" s="66"/>
      <c r="F82" s="66"/>
      <c r="G82" s="177"/>
      <c r="H82" s="177"/>
      <c r="I82" s="177"/>
      <c r="J82" s="177"/>
      <c r="K82" s="182"/>
      <c r="L82" s="138"/>
      <c r="N82" s="137">
        <v>0.55000000000000004</v>
      </c>
      <c r="O82" s="128">
        <v>0.63</v>
      </c>
    </row>
    <row r="83" spans="1:15" ht="30" customHeight="1">
      <c r="A83" s="90"/>
      <c r="B83" s="139" t="s">
        <v>431</v>
      </c>
      <c r="C83" s="105" t="s">
        <v>182</v>
      </c>
      <c r="D83" s="66" t="s">
        <v>175</v>
      </c>
      <c r="E83" s="105">
        <f>ROUND(SQRT((E81^2)+3*(E75^2)),2)</f>
        <v>6.32</v>
      </c>
      <c r="F83" s="66" t="s">
        <v>181</v>
      </c>
      <c r="G83" s="177"/>
      <c r="H83" s="177"/>
      <c r="I83" s="177"/>
      <c r="J83" s="177"/>
      <c r="K83" s="182"/>
      <c r="L83" s="138"/>
      <c r="N83" s="137">
        <v>0.6</v>
      </c>
      <c r="O83" s="128">
        <v>0.63800000000000001</v>
      </c>
    </row>
    <row r="84" spans="1:15" ht="30" customHeight="1">
      <c r="A84" s="91"/>
      <c r="B84" s="66"/>
      <c r="C84" s="66"/>
      <c r="D84" s="66"/>
      <c r="E84" s="76"/>
      <c r="F84" s="66"/>
      <c r="G84" s="177"/>
      <c r="H84" s="177"/>
      <c r="I84" s="177"/>
      <c r="J84" s="177"/>
      <c r="K84" s="182"/>
      <c r="L84" s="138"/>
      <c r="N84" s="137">
        <v>0.65</v>
      </c>
      <c r="O84" s="128">
        <v>0.64600000000000002</v>
      </c>
    </row>
    <row r="85" spans="1:15" ht="30" customHeight="1">
      <c r="A85" s="91"/>
      <c r="B85" s="66"/>
      <c r="C85" s="66"/>
      <c r="D85" s="66"/>
      <c r="E85" s="66"/>
      <c r="F85" s="66"/>
      <c r="G85" s="65"/>
      <c r="H85" s="65"/>
      <c r="I85" s="65"/>
      <c r="J85" s="65"/>
      <c r="K85" s="106"/>
      <c r="L85" s="138"/>
      <c r="N85" s="137">
        <v>0.7</v>
      </c>
      <c r="O85" s="128">
        <v>0.65400000000000003</v>
      </c>
    </row>
    <row r="86" spans="1:15" ht="30" customHeight="1">
      <c r="A86" s="90"/>
      <c r="B86" s="178" t="s">
        <v>180</v>
      </c>
      <c r="C86" s="178"/>
      <c r="D86" s="178"/>
      <c r="E86" s="178"/>
      <c r="F86" s="178"/>
      <c r="G86" s="178"/>
      <c r="H86" s="178"/>
      <c r="I86" s="178"/>
      <c r="J86" s="178"/>
      <c r="K86" s="179"/>
      <c r="N86" s="137">
        <v>0.75</v>
      </c>
      <c r="O86" s="128">
        <v>0.66</v>
      </c>
    </row>
    <row r="87" spans="1:15" ht="30" customHeight="1">
      <c r="A87" s="91"/>
      <c r="B87" s="65"/>
      <c r="C87" s="65"/>
      <c r="D87" s="65"/>
      <c r="E87" s="65"/>
      <c r="F87" s="65"/>
      <c r="G87" s="65"/>
      <c r="H87" s="65"/>
      <c r="I87" s="65"/>
      <c r="J87" s="65"/>
      <c r="K87" s="106"/>
      <c r="N87" s="137">
        <v>0.8</v>
      </c>
      <c r="O87" s="128">
        <v>0.66600000000000004</v>
      </c>
    </row>
    <row r="88" spans="1:15" ht="30" customHeight="1">
      <c r="A88" s="91"/>
      <c r="B88" s="65"/>
      <c r="C88" s="65"/>
      <c r="D88" s="65"/>
      <c r="E88" s="65"/>
      <c r="F88" s="65"/>
      <c r="G88" s="65"/>
      <c r="H88" s="65"/>
      <c r="I88" s="65"/>
      <c r="J88" s="65"/>
      <c r="K88" s="106"/>
      <c r="N88" s="137">
        <v>0.85</v>
      </c>
      <c r="O88" s="128">
        <v>0.67400000000000004</v>
      </c>
    </row>
    <row r="89" spans="1:15" ht="30" customHeight="1">
      <c r="A89" s="90"/>
      <c r="B89" s="139" t="s">
        <v>367</v>
      </c>
      <c r="C89" s="105" t="s">
        <v>177</v>
      </c>
      <c r="D89" s="66" t="s">
        <v>175</v>
      </c>
      <c r="E89" s="105">
        <f>0.5*E58</f>
        <v>10.5</v>
      </c>
      <c r="F89" s="65" t="s">
        <v>179</v>
      </c>
      <c r="G89" s="65"/>
      <c r="H89" s="65"/>
      <c r="I89" s="65"/>
      <c r="J89" s="65"/>
      <c r="K89" s="106"/>
      <c r="L89" s="138"/>
      <c r="N89" s="137">
        <v>0.9</v>
      </c>
      <c r="O89" s="128">
        <v>0.68</v>
      </c>
    </row>
    <row r="90" spans="1:15" ht="30" customHeight="1">
      <c r="A90" s="91"/>
      <c r="B90" s="76"/>
      <c r="C90" s="76"/>
      <c r="D90" s="76"/>
      <c r="E90" s="76"/>
      <c r="F90" s="65"/>
      <c r="G90" s="65"/>
      <c r="H90" s="65"/>
      <c r="I90" s="65"/>
      <c r="J90" s="65"/>
      <c r="K90" s="106"/>
      <c r="N90" s="137">
        <v>0.95</v>
      </c>
      <c r="O90" s="128">
        <v>0.68799999999999994</v>
      </c>
    </row>
    <row r="91" spans="1:15" ht="30" customHeight="1">
      <c r="A91" s="90"/>
      <c r="B91" s="175" t="s">
        <v>176</v>
      </c>
      <c r="C91" s="176"/>
      <c r="D91" s="66" t="s">
        <v>175</v>
      </c>
      <c r="E91" s="17" t="str">
        <f>IF(E89&gt;E83,"Design Accepted","Design Not Accepted")</f>
        <v>Design Accepted</v>
      </c>
      <c r="F91" s="65"/>
      <c r="G91" s="65"/>
      <c r="H91" s="65"/>
      <c r="I91" s="65"/>
      <c r="J91" s="65"/>
      <c r="K91" s="106"/>
      <c r="N91" s="137">
        <v>1</v>
      </c>
      <c r="O91" s="128">
        <v>0.69599999999999995</v>
      </c>
    </row>
    <row r="92" spans="1:15" ht="30" customHeight="1">
      <c r="A92" s="91"/>
      <c r="B92" s="66"/>
      <c r="C92" s="66"/>
      <c r="D92" s="66"/>
      <c r="E92" s="66"/>
      <c r="F92" s="65"/>
      <c r="G92" s="65"/>
      <c r="H92" s="65"/>
      <c r="I92" s="65"/>
      <c r="J92" s="65"/>
      <c r="K92" s="106"/>
    </row>
    <row r="93" spans="1:15" ht="30" customHeight="1">
      <c r="A93" s="63"/>
      <c r="B93" s="65"/>
      <c r="C93" s="85"/>
      <c r="D93" s="65"/>
      <c r="E93" s="136"/>
      <c r="F93" s="65"/>
      <c r="G93" s="65"/>
      <c r="H93" s="65"/>
      <c r="I93" s="65"/>
      <c r="J93" s="65"/>
      <c r="K93" s="135"/>
      <c r="N93" s="56">
        <v>0.5</v>
      </c>
    </row>
    <row r="94" spans="1:15" ht="30" customHeight="1" thickBot="1">
      <c r="A94" s="59"/>
      <c r="B94" s="103"/>
      <c r="C94" s="58"/>
      <c r="D94" s="103"/>
      <c r="E94" s="134"/>
      <c r="F94" s="103"/>
      <c r="G94" s="58"/>
      <c r="H94" s="103"/>
      <c r="I94" s="103"/>
      <c r="J94" s="103"/>
      <c r="K94" s="57"/>
      <c r="N94" s="56">
        <f>VLOOKUP(N93,N72:O91,2,TRUE)</f>
        <v>0.622</v>
      </c>
    </row>
    <row r="95" spans="1:15" ht="30" customHeight="1" thickBot="1">
      <c r="B95" s="85"/>
      <c r="I95" s="170" t="s">
        <v>241</v>
      </c>
      <c r="J95" s="180"/>
      <c r="K95" s="84" t="s">
        <v>366</v>
      </c>
    </row>
    <row r="96" spans="1:15" ht="30" customHeight="1">
      <c r="A96" s="115"/>
      <c r="B96" s="113"/>
      <c r="C96" s="113"/>
      <c r="D96" s="113"/>
      <c r="E96" s="113"/>
      <c r="F96" s="113"/>
      <c r="G96" s="113"/>
      <c r="H96" s="113"/>
      <c r="I96" s="113"/>
      <c r="J96" s="113"/>
      <c r="K96" s="112"/>
    </row>
    <row r="97" spans="1:24" ht="30" customHeight="1">
      <c r="A97" s="91"/>
      <c r="B97" s="163" t="s">
        <v>365</v>
      </c>
      <c r="C97" s="163"/>
      <c r="D97" s="163"/>
      <c r="E97" s="163"/>
      <c r="F97" s="163"/>
      <c r="G97" s="163"/>
      <c r="H97" s="163"/>
      <c r="I97" s="163"/>
      <c r="J97" s="163"/>
      <c r="K97" s="164"/>
    </row>
    <row r="98" spans="1:24" ht="30" customHeight="1">
      <c r="A98" s="91"/>
      <c r="B98" s="85"/>
      <c r="C98" s="181"/>
      <c r="D98" s="181"/>
      <c r="E98" s="85"/>
      <c r="F98" s="85"/>
      <c r="G98" s="85"/>
      <c r="H98" s="85"/>
      <c r="I98" s="85"/>
      <c r="J98" s="85"/>
      <c r="K98" s="106"/>
    </row>
    <row r="99" spans="1:24" ht="30" customHeight="1">
      <c r="A99" s="91"/>
      <c r="B99" s="76"/>
      <c r="C99" s="66"/>
      <c r="D99" s="66"/>
      <c r="E99" s="66"/>
      <c r="F99" s="66"/>
      <c r="G99" s="66"/>
      <c r="H99" s="65"/>
      <c r="I99" s="65"/>
      <c r="J99" s="65"/>
      <c r="K99" s="106"/>
      <c r="N99" s="126" t="s">
        <v>364</v>
      </c>
      <c r="O99" s="126" t="s">
        <v>362</v>
      </c>
      <c r="P99" s="126" t="s">
        <v>354</v>
      </c>
    </row>
    <row r="100" spans="1:24" ht="30" customHeight="1">
      <c r="A100" s="91"/>
      <c r="B100" s="133" t="s">
        <v>364</v>
      </c>
      <c r="C100" s="133" t="s">
        <v>364</v>
      </c>
      <c r="D100" s="66" t="s">
        <v>175</v>
      </c>
      <c r="E100" s="133" t="s">
        <v>363</v>
      </c>
      <c r="F100" s="66"/>
      <c r="G100" s="66"/>
      <c r="H100" s="65"/>
      <c r="I100" s="65"/>
      <c r="J100" s="65"/>
      <c r="K100" s="106"/>
      <c r="N100" s="126" t="s">
        <v>363</v>
      </c>
      <c r="O100" s="126">
        <v>7.83</v>
      </c>
      <c r="P100" s="126">
        <v>74</v>
      </c>
    </row>
    <row r="101" spans="1:24" ht="30" customHeight="1">
      <c r="A101" s="91"/>
      <c r="B101" s="66"/>
      <c r="C101" s="66"/>
      <c r="D101" s="66"/>
      <c r="E101" s="66"/>
      <c r="F101" s="66"/>
      <c r="G101" s="66"/>
      <c r="H101" s="65"/>
      <c r="I101" s="65"/>
      <c r="J101" s="65"/>
      <c r="K101" s="106"/>
    </row>
    <row r="102" spans="1:24" ht="30" customHeight="1">
      <c r="A102" s="91"/>
      <c r="B102" s="105" t="s">
        <v>362</v>
      </c>
      <c r="C102" s="105" t="s">
        <v>361</v>
      </c>
      <c r="D102" s="76" t="s">
        <v>175</v>
      </c>
      <c r="E102" s="105">
        <f>VLOOKUP(E100,N54:P57,2,FALSE)</f>
        <v>7.83</v>
      </c>
      <c r="F102" s="132"/>
      <c r="G102" s="132"/>
      <c r="H102" s="65"/>
      <c r="I102" s="65"/>
      <c r="J102" s="65"/>
      <c r="K102" s="106"/>
    </row>
    <row r="103" spans="1:24" ht="30" customHeight="1">
      <c r="A103" s="91"/>
      <c r="B103" s="66"/>
      <c r="C103" s="66"/>
      <c r="D103" s="66"/>
      <c r="E103" s="66"/>
      <c r="F103" s="66"/>
      <c r="G103" s="132"/>
      <c r="H103" s="65"/>
      <c r="I103" s="65"/>
      <c r="J103" s="65"/>
      <c r="K103" s="106"/>
    </row>
    <row r="104" spans="1:24" ht="30" customHeight="1">
      <c r="A104" s="91"/>
      <c r="B104" s="105" t="s">
        <v>360</v>
      </c>
      <c r="C104" s="105" t="s">
        <v>354</v>
      </c>
      <c r="D104" s="76" t="s">
        <v>175</v>
      </c>
      <c r="E104" s="105">
        <f>U116</f>
        <v>74</v>
      </c>
      <c r="F104" s="132"/>
      <c r="G104" s="132"/>
      <c r="H104" s="65"/>
      <c r="I104" s="65"/>
      <c r="J104" s="65"/>
      <c r="K104" s="106"/>
    </row>
    <row r="105" spans="1:24" ht="30" customHeight="1">
      <c r="A105" s="91"/>
      <c r="B105" s="66"/>
      <c r="C105" s="66"/>
      <c r="D105" s="66"/>
      <c r="E105" s="66"/>
      <c r="F105" s="66"/>
      <c r="G105" s="132"/>
      <c r="H105" s="65"/>
      <c r="I105" s="65"/>
      <c r="J105" s="65"/>
      <c r="K105" s="106"/>
      <c r="L105" s="85"/>
      <c r="M105" s="192" t="s">
        <v>359</v>
      </c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</row>
    <row r="106" spans="1:24" ht="30" customHeight="1">
      <c r="A106" s="91"/>
      <c r="B106" s="66"/>
      <c r="C106" s="66"/>
      <c r="D106" s="66"/>
      <c r="E106" s="66"/>
      <c r="F106" s="66"/>
      <c r="G106" s="66"/>
      <c r="H106" s="65"/>
      <c r="I106" s="65"/>
      <c r="J106" s="65"/>
      <c r="K106" s="106"/>
      <c r="M106" s="191" t="s">
        <v>358</v>
      </c>
      <c r="N106" s="193" t="s">
        <v>357</v>
      </c>
      <c r="O106" s="194"/>
      <c r="P106" s="194"/>
      <c r="Q106" s="194"/>
      <c r="R106" s="194"/>
      <c r="S106" s="194"/>
      <c r="T106" s="195"/>
      <c r="U106" s="191" t="s">
        <v>356</v>
      </c>
      <c r="V106" s="191"/>
      <c r="W106" s="190" t="s">
        <v>355</v>
      </c>
      <c r="X106" s="190" t="s">
        <v>354</v>
      </c>
    </row>
    <row r="107" spans="1:24" ht="30" customHeight="1">
      <c r="A107" s="91"/>
      <c r="B107" s="65"/>
      <c r="C107" s="65"/>
      <c r="D107" s="65"/>
      <c r="E107" s="65"/>
      <c r="F107" s="65"/>
      <c r="G107" s="65"/>
      <c r="H107" s="65"/>
      <c r="I107" s="65"/>
      <c r="J107" s="65"/>
      <c r="K107" s="106"/>
      <c r="M107" s="191"/>
      <c r="N107" s="131" t="s">
        <v>353</v>
      </c>
      <c r="O107" s="130" t="s">
        <v>352</v>
      </c>
      <c r="P107" s="129" t="s">
        <v>351</v>
      </c>
      <c r="Q107" s="129" t="s">
        <v>350</v>
      </c>
      <c r="R107" s="129" t="s">
        <v>339</v>
      </c>
      <c r="S107" s="129" t="s">
        <v>338</v>
      </c>
      <c r="T107" s="129" t="s">
        <v>337</v>
      </c>
      <c r="U107" s="126" t="s">
        <v>349</v>
      </c>
      <c r="V107" s="126" t="s">
        <v>348</v>
      </c>
      <c r="W107" s="191"/>
      <c r="X107" s="191"/>
    </row>
    <row r="108" spans="1:24" ht="30" customHeight="1">
      <c r="A108" s="91"/>
      <c r="B108" s="65"/>
      <c r="C108" s="65"/>
      <c r="D108" s="65"/>
      <c r="E108" s="65"/>
      <c r="F108" s="65"/>
      <c r="G108" s="65"/>
      <c r="H108" s="65"/>
      <c r="I108" s="65"/>
      <c r="J108" s="65"/>
      <c r="K108" s="106"/>
      <c r="M108" s="126" t="s">
        <v>347</v>
      </c>
      <c r="N108" s="128">
        <v>31.507000000000001</v>
      </c>
      <c r="O108" s="128">
        <v>29.545000000000002</v>
      </c>
      <c r="P108" s="128">
        <v>27.8</v>
      </c>
      <c r="Q108" s="128">
        <v>3.1749999999999998</v>
      </c>
      <c r="R108" s="128">
        <v>607</v>
      </c>
      <c r="S108" s="128">
        <v>13</v>
      </c>
      <c r="T108" s="128">
        <v>1.9590000000000001</v>
      </c>
      <c r="U108" s="127">
        <v>1</v>
      </c>
      <c r="V108" s="127">
        <v>20000</v>
      </c>
      <c r="W108" s="126" t="s">
        <v>347</v>
      </c>
      <c r="X108" s="126">
        <v>74</v>
      </c>
    </row>
    <row r="109" spans="1:24" ht="30" customHeight="1">
      <c r="A109" s="91"/>
      <c r="B109" s="65"/>
      <c r="C109" s="65"/>
      <c r="D109" s="65"/>
      <c r="E109" s="65"/>
      <c r="F109" s="65"/>
      <c r="G109" s="65"/>
      <c r="H109" s="65"/>
      <c r="I109" s="65"/>
      <c r="J109" s="65"/>
      <c r="K109" s="106"/>
      <c r="M109" s="126" t="s">
        <v>346</v>
      </c>
      <c r="N109" s="128">
        <v>37.853999999999999</v>
      </c>
      <c r="O109" s="128">
        <v>35.889000000000003</v>
      </c>
      <c r="P109" s="128">
        <v>34.148000000000003</v>
      </c>
      <c r="Q109" s="128">
        <v>3.1749999999999998</v>
      </c>
      <c r="R109" s="128">
        <v>915.8</v>
      </c>
      <c r="S109" s="128">
        <v>13</v>
      </c>
      <c r="T109" s="128">
        <v>1.613</v>
      </c>
      <c r="U109" s="127">
        <v>20001</v>
      </c>
      <c r="V109" s="127">
        <v>30000</v>
      </c>
      <c r="W109" s="126" t="s">
        <v>346</v>
      </c>
      <c r="X109" s="126">
        <v>74</v>
      </c>
    </row>
    <row r="110" spans="1:24" ht="30" customHeight="1">
      <c r="A110" s="91"/>
      <c r="B110" s="65"/>
      <c r="C110" s="65"/>
      <c r="D110" s="65"/>
      <c r="E110" s="65"/>
      <c r="F110" s="65"/>
      <c r="G110" s="65"/>
      <c r="H110" s="65"/>
      <c r="I110" s="65"/>
      <c r="J110" s="65"/>
      <c r="K110" s="106"/>
      <c r="M110" s="126" t="s">
        <v>345</v>
      </c>
      <c r="N110" s="128">
        <v>44.201999999999998</v>
      </c>
      <c r="O110" s="128">
        <v>42.234000000000002</v>
      </c>
      <c r="P110" s="128">
        <v>40.494999999999997</v>
      </c>
      <c r="Q110" s="128">
        <v>3.1749999999999998</v>
      </c>
      <c r="R110" s="128">
        <v>1287.9000000000001</v>
      </c>
      <c r="S110" s="128">
        <v>13</v>
      </c>
      <c r="T110" s="128">
        <v>1.371</v>
      </c>
      <c r="U110" s="127">
        <v>30001</v>
      </c>
      <c r="V110" s="127">
        <v>45000</v>
      </c>
      <c r="W110" s="126" t="s">
        <v>345</v>
      </c>
      <c r="X110" s="126">
        <v>74</v>
      </c>
    </row>
    <row r="111" spans="1:24" ht="30" customHeight="1">
      <c r="A111" s="91"/>
      <c r="B111" s="65"/>
      <c r="C111" s="65"/>
      <c r="D111" s="65"/>
      <c r="E111" s="65"/>
      <c r="F111" s="65"/>
      <c r="G111" s="65"/>
      <c r="H111" s="65"/>
      <c r="I111" s="65"/>
      <c r="J111" s="65"/>
      <c r="K111" s="106"/>
      <c r="M111" s="126">
        <v>2</v>
      </c>
      <c r="N111" s="128">
        <v>50.552</v>
      </c>
      <c r="O111" s="128">
        <v>48.58</v>
      </c>
      <c r="P111" s="128">
        <v>46.844999999999999</v>
      </c>
      <c r="Q111" s="128">
        <v>3.1749999999999998</v>
      </c>
      <c r="R111" s="128">
        <v>1723.5</v>
      </c>
      <c r="S111" s="128">
        <v>13</v>
      </c>
      <c r="T111" s="128">
        <v>1.1919999999999999</v>
      </c>
      <c r="U111" s="127">
        <v>45001</v>
      </c>
      <c r="V111" s="127">
        <v>60000</v>
      </c>
      <c r="W111" s="126">
        <v>2</v>
      </c>
      <c r="X111" s="126">
        <v>74</v>
      </c>
    </row>
    <row r="112" spans="1:24" ht="30" customHeight="1">
      <c r="A112" s="91"/>
      <c r="B112" s="65"/>
      <c r="C112" s="65"/>
      <c r="D112" s="65"/>
      <c r="E112" s="65"/>
      <c r="F112" s="65"/>
      <c r="G112" s="65"/>
      <c r="H112" s="65"/>
      <c r="I112" s="65"/>
      <c r="J112" s="65"/>
      <c r="K112" s="106"/>
      <c r="M112" s="126" t="s">
        <v>344</v>
      </c>
      <c r="N112" s="128">
        <v>56.899000000000001</v>
      </c>
      <c r="O112" s="128">
        <v>54.924999999999997</v>
      </c>
      <c r="P112" s="128">
        <v>53.192999999999998</v>
      </c>
      <c r="Q112" s="128">
        <v>3.1749999999999998</v>
      </c>
      <c r="R112" s="128">
        <v>2222.3000000000002</v>
      </c>
      <c r="S112" s="128">
        <v>13</v>
      </c>
      <c r="T112" s="128">
        <v>1.054</v>
      </c>
      <c r="U112" s="127">
        <v>60001</v>
      </c>
      <c r="V112" s="127">
        <v>80000</v>
      </c>
      <c r="W112" s="126" t="s">
        <v>344</v>
      </c>
      <c r="X112" s="126">
        <v>74</v>
      </c>
    </row>
    <row r="113" spans="1:24" ht="30" customHeight="1">
      <c r="A113" s="91"/>
      <c r="B113" s="65"/>
      <c r="C113" s="65"/>
      <c r="D113" s="65"/>
      <c r="E113" s="65"/>
      <c r="F113" s="65"/>
      <c r="G113" s="65"/>
      <c r="H113" s="65"/>
      <c r="I113" s="65"/>
      <c r="J113" s="65"/>
      <c r="K113" s="106"/>
      <c r="M113" s="126" t="s">
        <v>343</v>
      </c>
      <c r="N113" s="128">
        <v>63.249000000000002</v>
      </c>
      <c r="O113" s="128">
        <v>61.273000000000003</v>
      </c>
      <c r="P113" s="128">
        <v>59.542999999999999</v>
      </c>
      <c r="Q113" s="128">
        <v>3.1749999999999998</v>
      </c>
      <c r="R113" s="128">
        <v>2784.5</v>
      </c>
      <c r="S113" s="128">
        <v>13</v>
      </c>
      <c r="T113" s="128">
        <v>0.94499999999999995</v>
      </c>
      <c r="U113" s="127">
        <v>80001</v>
      </c>
      <c r="V113" s="127">
        <v>90000</v>
      </c>
      <c r="W113" s="126" t="s">
        <v>343</v>
      </c>
      <c r="X113" s="126">
        <v>67</v>
      </c>
    </row>
    <row r="114" spans="1:24" ht="30" customHeight="1">
      <c r="A114" s="91"/>
      <c r="B114" s="65"/>
      <c r="C114" s="65"/>
      <c r="D114" s="65"/>
      <c r="E114" s="65"/>
      <c r="F114" s="65"/>
      <c r="G114" s="65"/>
      <c r="H114" s="65"/>
      <c r="I114" s="65"/>
      <c r="J114" s="65"/>
      <c r="K114" s="106"/>
    </row>
    <row r="115" spans="1:24" ht="30" customHeight="1">
      <c r="A115" s="91"/>
      <c r="B115" s="65"/>
      <c r="C115" s="65"/>
      <c r="D115" s="65"/>
      <c r="E115" s="65"/>
      <c r="F115" s="65"/>
      <c r="G115" s="65"/>
      <c r="H115" s="65"/>
      <c r="I115" s="65"/>
      <c r="J115" s="65"/>
      <c r="K115" s="106"/>
      <c r="M115" s="56" t="s">
        <v>336</v>
      </c>
      <c r="N115" s="126" t="s">
        <v>214</v>
      </c>
      <c r="O115" s="126" t="s">
        <v>342</v>
      </c>
      <c r="P115" s="126" t="s">
        <v>341</v>
      </c>
      <c r="Q115" s="126" t="s">
        <v>340</v>
      </c>
      <c r="R115" s="126" t="s">
        <v>339</v>
      </c>
      <c r="S115" s="126" t="s">
        <v>338</v>
      </c>
      <c r="T115" s="126" t="s">
        <v>337</v>
      </c>
      <c r="U115" s="126" t="s">
        <v>216</v>
      </c>
    </row>
    <row r="116" spans="1:24" ht="30" customHeight="1">
      <c r="A116" s="91"/>
      <c r="B116" s="65"/>
      <c r="C116" s="65"/>
      <c r="D116" s="65"/>
      <c r="E116" s="65"/>
      <c r="F116" s="65"/>
      <c r="G116" s="65"/>
      <c r="H116" s="65"/>
      <c r="I116" s="65"/>
      <c r="J116" s="65"/>
      <c r="K116" s="106"/>
      <c r="M116" s="56" t="str">
        <f>VLOOKUP(E44,U108:W113,3,TRUE)</f>
        <v>1.3/4</v>
      </c>
      <c r="N116" s="56">
        <f>VLOOKUP(M116,M107:T113,2,FALSE)</f>
        <v>44.201999999999998</v>
      </c>
      <c r="O116" s="56">
        <f>VLOOKUP(M116,M107:T113,3,FALSE)</f>
        <v>42.234000000000002</v>
      </c>
      <c r="P116" s="56">
        <f>VLOOKUP(M116,M107:T113,4,FALSE)</f>
        <v>40.494999999999997</v>
      </c>
      <c r="Q116" s="56">
        <f>VLOOKUP(M116,M107:T113,5,FALSE)</f>
        <v>3.1749999999999998</v>
      </c>
      <c r="R116" s="56">
        <f>VLOOKUP(M116,M107:T113,6,FALSE)</f>
        <v>1287.9000000000001</v>
      </c>
      <c r="S116" s="56">
        <f>VLOOKUP(M116,M107:T113,7,FALSE)</f>
        <v>13</v>
      </c>
      <c r="T116" s="56">
        <f>VLOOKUP(M116,M107:T113,8,FALSE)</f>
        <v>1.371</v>
      </c>
      <c r="U116" s="56">
        <f>VLOOKUP(M116,M107:X113,12,FALSE)</f>
        <v>74</v>
      </c>
    </row>
    <row r="117" spans="1:24" ht="30" customHeight="1">
      <c r="A117" s="91"/>
      <c r="B117" s="65"/>
      <c r="C117" s="65"/>
      <c r="D117" s="65"/>
      <c r="E117" s="65"/>
      <c r="F117" s="65"/>
      <c r="G117" s="65"/>
      <c r="H117" s="65"/>
      <c r="I117" s="65"/>
      <c r="J117" s="65"/>
      <c r="K117" s="106"/>
    </row>
    <row r="118" spans="1:24" ht="30" customHeight="1">
      <c r="A118" s="91"/>
      <c r="B118" s="65"/>
      <c r="C118" s="65"/>
      <c r="D118" s="65"/>
      <c r="E118" s="65"/>
      <c r="F118" s="65"/>
      <c r="G118" s="65"/>
      <c r="H118" s="65"/>
      <c r="I118" s="65"/>
      <c r="J118" s="65"/>
      <c r="K118" s="106"/>
    </row>
    <row r="119" spans="1:24" ht="30" customHeight="1">
      <c r="A119" s="91"/>
      <c r="B119" s="65"/>
      <c r="C119" s="65"/>
      <c r="D119" s="65"/>
      <c r="E119" s="65"/>
      <c r="F119" s="65"/>
      <c r="G119" s="65"/>
      <c r="H119" s="65"/>
      <c r="I119" s="65"/>
      <c r="J119" s="65"/>
      <c r="K119" s="106"/>
    </row>
    <row r="120" spans="1:24" ht="30" customHeight="1">
      <c r="A120" s="91"/>
      <c r="B120" s="65"/>
      <c r="C120" s="65"/>
      <c r="D120" s="65"/>
      <c r="E120" s="65"/>
      <c r="F120" s="65"/>
      <c r="G120" s="65"/>
      <c r="H120" s="65"/>
      <c r="I120" s="65"/>
      <c r="J120" s="65"/>
      <c r="K120" s="106"/>
    </row>
    <row r="121" spans="1:24" ht="30" customHeight="1">
      <c r="A121" s="91"/>
      <c r="B121" s="65"/>
      <c r="C121" s="65"/>
      <c r="D121" s="65"/>
      <c r="E121" s="65"/>
      <c r="F121" s="65"/>
      <c r="G121" s="65"/>
      <c r="H121" s="65"/>
      <c r="I121" s="65"/>
      <c r="J121" s="65"/>
      <c r="K121" s="106"/>
      <c r="O121" s="56" t="s">
        <v>336</v>
      </c>
      <c r="P121" s="56">
        <v>20001</v>
      </c>
    </row>
    <row r="122" spans="1:24" ht="30" customHeight="1">
      <c r="A122" s="91"/>
      <c r="B122" s="65"/>
      <c r="C122" s="65"/>
      <c r="D122" s="65"/>
      <c r="E122" s="65"/>
      <c r="F122" s="65"/>
      <c r="G122" s="65"/>
      <c r="H122" s="65"/>
      <c r="I122" s="65"/>
      <c r="J122" s="65"/>
      <c r="K122" s="106"/>
    </row>
    <row r="123" spans="1:24" ht="30" customHeight="1">
      <c r="A123" s="91"/>
      <c r="B123" s="65"/>
      <c r="C123" s="65"/>
      <c r="D123" s="65"/>
      <c r="E123" s="65"/>
      <c r="F123" s="65"/>
      <c r="G123" s="65"/>
      <c r="H123" s="65"/>
      <c r="I123" s="65"/>
      <c r="J123" s="65"/>
      <c r="K123" s="106"/>
    </row>
    <row r="124" spans="1:24" ht="30" customHeight="1">
      <c r="A124" s="91"/>
      <c r="B124" s="65"/>
      <c r="C124" s="65"/>
      <c r="D124" s="65"/>
      <c r="E124" s="65"/>
      <c r="F124" s="65"/>
      <c r="G124" s="65"/>
      <c r="H124" s="65"/>
      <c r="I124" s="65"/>
      <c r="J124" s="65"/>
      <c r="K124" s="106"/>
    </row>
    <row r="125" spans="1:24" ht="30" customHeight="1">
      <c r="A125" s="91"/>
      <c r="B125" s="65"/>
      <c r="C125" s="65"/>
      <c r="D125" s="65"/>
      <c r="E125" s="65"/>
      <c r="F125" s="65"/>
      <c r="G125" s="65"/>
      <c r="H125" s="65"/>
      <c r="I125" s="65"/>
      <c r="J125" s="65"/>
      <c r="K125" s="106"/>
    </row>
    <row r="126" spans="1:24" ht="30" customHeight="1">
      <c r="A126" s="91"/>
      <c r="B126" s="65"/>
      <c r="C126" s="65"/>
      <c r="D126" s="65"/>
      <c r="E126" s="65"/>
      <c r="F126" s="65"/>
      <c r="G126" s="65"/>
      <c r="H126" s="65"/>
      <c r="I126" s="65"/>
      <c r="J126" s="65"/>
      <c r="K126" s="106"/>
    </row>
    <row r="127" spans="1:24" ht="30" customHeight="1">
      <c r="A127" s="91"/>
      <c r="B127" s="65"/>
      <c r="C127" s="65"/>
      <c r="D127" s="65"/>
      <c r="E127" s="65"/>
      <c r="F127" s="65"/>
      <c r="G127" s="65"/>
      <c r="H127" s="65"/>
      <c r="I127" s="65"/>
      <c r="J127" s="65"/>
      <c r="K127" s="106"/>
    </row>
    <row r="128" spans="1:24" ht="30" customHeight="1">
      <c r="A128" s="91"/>
      <c r="B128" s="65"/>
      <c r="C128" s="65"/>
      <c r="D128" s="65"/>
      <c r="E128" s="65"/>
      <c r="F128" s="65"/>
      <c r="G128" s="65"/>
      <c r="H128" s="65"/>
      <c r="I128" s="65"/>
      <c r="J128" s="65"/>
      <c r="K128" s="106"/>
    </row>
    <row r="129" spans="1:11" ht="30" customHeight="1">
      <c r="A129" s="91"/>
      <c r="B129" s="65"/>
      <c r="C129" s="65"/>
      <c r="D129" s="65"/>
      <c r="E129" s="65"/>
      <c r="F129" s="65"/>
      <c r="G129" s="65"/>
      <c r="H129" s="65"/>
      <c r="I129" s="65"/>
      <c r="J129" s="65"/>
      <c r="K129" s="106"/>
    </row>
    <row r="130" spans="1:11" ht="30" customHeight="1">
      <c r="A130" s="91"/>
      <c r="B130" s="105" t="s">
        <v>234</v>
      </c>
      <c r="C130" s="105" t="s">
        <v>335</v>
      </c>
      <c r="D130" s="76" t="s">
        <v>189</v>
      </c>
      <c r="E130" s="105" t="str">
        <f>M116</f>
        <v>1.3/4</v>
      </c>
      <c r="F130" s="66"/>
      <c r="G130" s="167" t="s">
        <v>334</v>
      </c>
      <c r="H130" s="167"/>
      <c r="I130" s="167"/>
      <c r="J130" s="167"/>
      <c r="K130" s="106"/>
    </row>
    <row r="131" spans="1:11" ht="30" customHeight="1">
      <c r="A131" s="91"/>
      <c r="B131" s="66"/>
      <c r="C131" s="66"/>
      <c r="D131" s="66"/>
      <c r="E131" s="66"/>
      <c r="F131" s="66"/>
      <c r="G131" s="167"/>
      <c r="H131" s="167"/>
      <c r="I131" s="167"/>
      <c r="J131" s="167"/>
      <c r="K131" s="106"/>
    </row>
    <row r="132" spans="1:11" ht="30" customHeight="1">
      <c r="A132" s="91"/>
      <c r="B132" s="105" t="s">
        <v>194</v>
      </c>
      <c r="C132" s="105" t="s">
        <v>333</v>
      </c>
      <c r="D132" s="76" t="s">
        <v>189</v>
      </c>
      <c r="E132" s="105">
        <f>E44/(2*R116)</f>
        <v>17.353831819240622</v>
      </c>
      <c r="F132" s="66" t="s">
        <v>192</v>
      </c>
      <c r="G132" s="167"/>
      <c r="H132" s="167"/>
      <c r="I132" s="167"/>
      <c r="J132" s="167"/>
      <c r="K132" s="106"/>
    </row>
    <row r="133" spans="1:11" ht="30" customHeight="1">
      <c r="A133" s="91"/>
      <c r="B133" s="66"/>
      <c r="C133" s="66"/>
      <c r="D133" s="66"/>
      <c r="E133" s="66"/>
      <c r="F133" s="66"/>
      <c r="G133" s="167"/>
      <c r="H133" s="167"/>
      <c r="I133" s="167"/>
      <c r="J133" s="167"/>
      <c r="K133" s="106"/>
    </row>
    <row r="134" spans="1:11" ht="30" customHeight="1">
      <c r="A134" s="91"/>
      <c r="B134" s="105" t="s">
        <v>313</v>
      </c>
      <c r="C134" s="105" t="s">
        <v>249</v>
      </c>
      <c r="D134" s="66" t="s">
        <v>189</v>
      </c>
      <c r="E134" s="105">
        <f>ROUND((4*E44*O116*TAN(RADIANS(S116)+RADIANS(T116)))/(PI()*P116^3),3)</f>
        <v>9.2739999999999991</v>
      </c>
      <c r="F134" s="66" t="s">
        <v>192</v>
      </c>
      <c r="G134" s="167"/>
      <c r="H134" s="167"/>
      <c r="I134" s="167"/>
      <c r="J134" s="167"/>
      <c r="K134" s="106"/>
    </row>
    <row r="135" spans="1:11" ht="30" customHeight="1">
      <c r="A135" s="91"/>
      <c r="B135" s="66"/>
      <c r="C135" s="66"/>
      <c r="D135" s="66"/>
      <c r="E135" s="66"/>
      <c r="F135" s="66"/>
      <c r="G135" s="167"/>
      <c r="H135" s="167"/>
      <c r="I135" s="167"/>
      <c r="J135" s="167"/>
      <c r="K135" s="106"/>
    </row>
    <row r="136" spans="1:11" ht="30" customHeight="1">
      <c r="A136" s="91"/>
      <c r="B136" s="105" t="s">
        <v>248</v>
      </c>
      <c r="C136" s="105" t="s">
        <v>247</v>
      </c>
      <c r="D136" s="66" t="s">
        <v>189</v>
      </c>
      <c r="E136" s="105">
        <f>ROUND(SQRT((E132^2)+3*(E134^2)),2)</f>
        <v>23.65</v>
      </c>
      <c r="F136" s="66" t="s">
        <v>192</v>
      </c>
      <c r="G136" s="167"/>
      <c r="H136" s="167"/>
      <c r="I136" s="167"/>
      <c r="J136" s="167"/>
      <c r="K136" s="106"/>
    </row>
    <row r="137" spans="1:11" ht="30" customHeight="1">
      <c r="A137" s="91"/>
      <c r="B137" s="66"/>
      <c r="C137" s="66"/>
      <c r="D137" s="66"/>
      <c r="E137" s="66"/>
      <c r="F137" s="125"/>
      <c r="G137" s="167"/>
      <c r="H137" s="167"/>
      <c r="I137" s="167"/>
      <c r="J137" s="167"/>
      <c r="K137" s="106"/>
    </row>
    <row r="138" spans="1:11" ht="30" customHeight="1">
      <c r="A138" s="91"/>
      <c r="B138" s="65"/>
      <c r="C138" s="65"/>
      <c r="D138" s="65"/>
      <c r="E138" s="65"/>
      <c r="F138" s="65"/>
      <c r="G138" s="65"/>
      <c r="H138" s="65"/>
      <c r="I138" s="65"/>
      <c r="J138" s="65"/>
      <c r="K138" s="106"/>
    </row>
    <row r="139" spans="1:11" ht="30" customHeight="1">
      <c r="A139" s="91"/>
      <c r="B139" s="188" t="s">
        <v>246</v>
      </c>
      <c r="C139" s="178"/>
      <c r="D139" s="178"/>
      <c r="E139" s="178"/>
      <c r="F139" s="178"/>
      <c r="G139" s="178"/>
      <c r="H139" s="178"/>
      <c r="I139" s="178"/>
      <c r="J139" s="178"/>
      <c r="K139" s="179"/>
    </row>
    <row r="140" spans="1:11" ht="30" customHeight="1">
      <c r="A140" s="91"/>
      <c r="B140" s="65"/>
      <c r="C140" s="65"/>
      <c r="D140" s="65"/>
      <c r="E140" s="65"/>
      <c r="F140" s="65"/>
      <c r="G140" s="65"/>
      <c r="H140" s="65"/>
      <c r="I140" s="65"/>
      <c r="J140" s="65"/>
      <c r="K140" s="106"/>
    </row>
    <row r="141" spans="1:11" ht="30" customHeight="1">
      <c r="A141" s="91"/>
      <c r="B141" s="65"/>
      <c r="C141" s="65"/>
      <c r="D141" s="65"/>
      <c r="E141" s="65"/>
      <c r="F141" s="65"/>
      <c r="G141" s="65"/>
      <c r="H141" s="65"/>
      <c r="I141" s="65"/>
      <c r="J141" s="65"/>
      <c r="K141" s="106"/>
    </row>
    <row r="142" spans="1:11">
      <c r="A142" s="91"/>
      <c r="B142" s="65"/>
      <c r="C142" s="65"/>
      <c r="D142" s="65"/>
      <c r="E142" s="65"/>
      <c r="F142" s="65"/>
      <c r="G142" s="65"/>
      <c r="H142" s="65"/>
      <c r="I142" s="65"/>
      <c r="J142" s="65"/>
      <c r="K142" s="106"/>
    </row>
    <row r="143" spans="1:11" ht="59.25" customHeight="1">
      <c r="A143" s="91"/>
      <c r="B143" s="105" t="s">
        <v>244</v>
      </c>
      <c r="C143" s="105" t="s">
        <v>243</v>
      </c>
      <c r="D143" s="65" t="s">
        <v>189</v>
      </c>
      <c r="E143" s="105">
        <f>0.5*E104</f>
        <v>37</v>
      </c>
      <c r="F143" s="66" t="s">
        <v>192</v>
      </c>
      <c r="G143" s="65"/>
      <c r="H143" s="165" t="s">
        <v>332</v>
      </c>
      <c r="I143" s="165"/>
      <c r="J143" s="165"/>
      <c r="K143" s="166"/>
    </row>
    <row r="144" spans="1:11" ht="30" customHeight="1">
      <c r="A144" s="91"/>
      <c r="B144" s="176" t="s">
        <v>242</v>
      </c>
      <c r="C144" s="176"/>
      <c r="D144" s="65" t="s">
        <v>189</v>
      </c>
      <c r="E144" s="104" t="str">
        <f>IF(E143&gt;E136,"Design Accepted","Design Not Accepted")</f>
        <v>Design Accepted</v>
      </c>
      <c r="F144" s="65"/>
      <c r="G144" s="65"/>
      <c r="H144" s="65"/>
      <c r="I144" s="65"/>
      <c r="J144" s="65"/>
      <c r="K144" s="106"/>
    </row>
    <row r="145" spans="1:11" ht="30" customHeight="1" thickBot="1">
      <c r="A145" s="89"/>
      <c r="B145" s="103"/>
      <c r="C145" s="103"/>
      <c r="D145" s="103"/>
      <c r="E145" s="103"/>
      <c r="F145" s="103"/>
      <c r="G145" s="103"/>
      <c r="H145" s="103"/>
      <c r="I145" s="103"/>
      <c r="J145" s="103"/>
      <c r="K145" s="102"/>
    </row>
    <row r="146" spans="1:11" ht="30" hidden="1" customHeight="1">
      <c r="A146" s="115"/>
      <c r="B146" s="113"/>
      <c r="C146" s="113"/>
      <c r="D146" s="113"/>
      <c r="E146" s="113"/>
      <c r="F146" s="113"/>
      <c r="G146" s="113"/>
      <c r="H146" s="113"/>
      <c r="I146" s="113"/>
      <c r="J146" s="113"/>
      <c r="K146" s="112"/>
    </row>
    <row r="147" spans="1:11" ht="30" hidden="1" customHeight="1">
      <c r="A147" s="91"/>
      <c r="B147" s="206" t="s">
        <v>331</v>
      </c>
      <c r="C147" s="206"/>
      <c r="D147" s="206"/>
      <c r="E147" s="206"/>
      <c r="F147" s="206"/>
      <c r="G147" s="206"/>
      <c r="H147" s="206"/>
      <c r="I147" s="206"/>
      <c r="J147" s="206"/>
      <c r="K147" s="206"/>
    </row>
    <row r="148" spans="1:11" ht="30" hidden="1" customHeight="1">
      <c r="A148" s="91"/>
      <c r="B148" s="85"/>
      <c r="C148" s="85"/>
      <c r="D148" s="85"/>
      <c r="E148" s="85"/>
      <c r="F148" s="85"/>
      <c r="G148" s="85"/>
      <c r="H148" s="85"/>
      <c r="I148" s="85"/>
      <c r="J148" s="85"/>
      <c r="K148" s="106"/>
    </row>
    <row r="149" spans="1:11" ht="30" hidden="1" customHeight="1">
      <c r="A149" s="91"/>
      <c r="B149" s="117" t="s">
        <v>236</v>
      </c>
      <c r="C149" s="117" t="s">
        <v>236</v>
      </c>
      <c r="D149" s="85" t="s">
        <v>189</v>
      </c>
      <c r="E149" s="124" t="s">
        <v>324</v>
      </c>
      <c r="F149" s="85"/>
      <c r="G149" s="85"/>
      <c r="H149" s="85"/>
      <c r="I149" s="85"/>
      <c r="J149" s="85"/>
      <c r="K149" s="106"/>
    </row>
    <row r="150" spans="1:11" ht="30" hidden="1" customHeight="1">
      <c r="A150" s="91"/>
      <c r="B150" s="65"/>
      <c r="C150" s="65"/>
      <c r="D150" s="65"/>
      <c r="E150" s="65"/>
      <c r="F150" s="85"/>
      <c r="G150" s="85"/>
      <c r="H150" s="85"/>
      <c r="I150" s="85"/>
      <c r="J150" s="85"/>
      <c r="K150" s="106"/>
    </row>
    <row r="151" spans="1:11" ht="30" hidden="1" customHeight="1">
      <c r="A151" s="91"/>
      <c r="B151" s="117" t="s">
        <v>219</v>
      </c>
      <c r="C151" s="117" t="s">
        <v>218</v>
      </c>
      <c r="D151" s="85" t="s">
        <v>189</v>
      </c>
      <c r="E151" s="123">
        <f>VLOOKUP(E149,N54:P59,2,FALSE)</f>
        <v>7.85</v>
      </c>
      <c r="F151" s="85"/>
      <c r="G151" s="65"/>
      <c r="H151" s="65"/>
      <c r="I151" s="65"/>
      <c r="J151" s="65"/>
      <c r="K151" s="106"/>
    </row>
    <row r="152" spans="1:11" ht="30" hidden="1" customHeight="1">
      <c r="A152" s="91"/>
      <c r="B152" s="65"/>
      <c r="C152" s="65"/>
      <c r="D152" s="65"/>
      <c r="E152" s="65"/>
      <c r="F152" s="85"/>
      <c r="G152" s="65"/>
      <c r="H152" s="65"/>
      <c r="I152" s="65"/>
      <c r="J152" s="65"/>
      <c r="K152" s="106"/>
    </row>
    <row r="153" spans="1:11" ht="30" hidden="1" customHeight="1">
      <c r="A153" s="91"/>
      <c r="B153" s="117" t="s">
        <v>217</v>
      </c>
      <c r="C153" s="117" t="s">
        <v>216</v>
      </c>
      <c r="D153" s="85" t="s">
        <v>189</v>
      </c>
      <c r="E153" s="123">
        <f>VLOOKUP(E149,N54:P59,3,FALSE)</f>
        <v>21</v>
      </c>
      <c r="F153" s="85"/>
      <c r="G153" s="65"/>
      <c r="H153" s="65"/>
      <c r="I153" s="65"/>
      <c r="J153" s="65"/>
      <c r="K153" s="106"/>
    </row>
    <row r="154" spans="1:11" ht="30" hidden="1" customHeight="1">
      <c r="A154" s="91"/>
      <c r="B154" s="85"/>
      <c r="C154" s="85"/>
      <c r="D154" s="85"/>
      <c r="E154" s="85"/>
      <c r="F154" s="85"/>
      <c r="G154" s="65"/>
      <c r="H154" s="65"/>
      <c r="I154" s="65"/>
      <c r="J154" s="65"/>
      <c r="K154" s="106"/>
    </row>
    <row r="155" spans="1:11" ht="30" hidden="1" customHeight="1">
      <c r="A155" s="91"/>
      <c r="B155" s="117" t="s">
        <v>323</v>
      </c>
      <c r="C155" s="117" t="s">
        <v>322</v>
      </c>
      <c r="D155" s="85" t="s">
        <v>189</v>
      </c>
      <c r="E155" s="122" t="e">
        <f>PI()*E142*(#REF!^2-#REF!^2)</f>
        <v>#REF!</v>
      </c>
      <c r="F155" s="65"/>
      <c r="G155" s="65"/>
      <c r="H155" s="65"/>
      <c r="I155" s="65"/>
      <c r="J155" s="65"/>
      <c r="K155" s="106"/>
    </row>
    <row r="156" spans="1:11" ht="30" hidden="1" customHeight="1">
      <c r="A156" s="91"/>
      <c r="B156" s="65"/>
      <c r="C156" s="65"/>
      <c r="D156" s="65"/>
      <c r="E156" s="65"/>
      <c r="F156" s="85"/>
      <c r="G156" s="65"/>
      <c r="H156" s="65"/>
      <c r="I156" s="65"/>
      <c r="J156" s="65"/>
      <c r="K156" s="106"/>
    </row>
    <row r="157" spans="1:11" ht="30" hidden="1" customHeight="1" thickBot="1">
      <c r="A157" s="91"/>
      <c r="B157" s="117" t="s">
        <v>321</v>
      </c>
      <c r="C157" s="117" t="s">
        <v>320</v>
      </c>
      <c r="D157" s="85" t="s">
        <v>189</v>
      </c>
      <c r="E157" s="121" t="e">
        <f>ROUND((E155*E151*10^-6)/2,5)</f>
        <v>#REF!</v>
      </c>
      <c r="F157" s="65"/>
      <c r="G157" s="65"/>
      <c r="H157" s="65"/>
      <c r="I157" s="65"/>
      <c r="J157" s="65"/>
      <c r="K157" s="106"/>
    </row>
    <row r="158" spans="1:11" ht="30" hidden="1" customHeight="1">
      <c r="A158" s="91"/>
      <c r="B158" s="85"/>
      <c r="C158" s="85"/>
      <c r="D158" s="85"/>
      <c r="E158" s="85"/>
      <c r="F158" s="65"/>
      <c r="G158" s="65"/>
      <c r="H158" s="197" t="s">
        <v>330</v>
      </c>
      <c r="I158" s="198"/>
      <c r="J158" s="199"/>
      <c r="K158" s="106"/>
    </row>
    <row r="159" spans="1:11" ht="30" hidden="1" customHeight="1">
      <c r="A159" s="91"/>
      <c r="B159" s="117" t="s">
        <v>318</v>
      </c>
      <c r="C159" s="117" t="s">
        <v>317</v>
      </c>
      <c r="D159" s="85" t="s">
        <v>189</v>
      </c>
      <c r="E159" s="121" t="e">
        <f>#REF!*#REF!</f>
        <v>#REF!</v>
      </c>
      <c r="F159" s="65" t="s">
        <v>316</v>
      </c>
      <c r="G159" s="65"/>
      <c r="H159" s="200"/>
      <c r="I159" s="201"/>
      <c r="J159" s="202"/>
      <c r="K159" s="106"/>
    </row>
    <row r="160" spans="1:11" ht="30" hidden="1" customHeight="1">
      <c r="A160" s="91"/>
      <c r="B160" s="85"/>
      <c r="C160" s="85"/>
      <c r="D160" s="85"/>
      <c r="E160" s="85"/>
      <c r="F160" s="65"/>
      <c r="G160" s="65"/>
      <c r="H160" s="200"/>
      <c r="I160" s="201"/>
      <c r="J160" s="202"/>
      <c r="K160" s="106"/>
    </row>
    <row r="161" spans="1:11" ht="30" hidden="1" customHeight="1">
      <c r="A161" s="91"/>
      <c r="B161" s="117" t="s">
        <v>315</v>
      </c>
      <c r="C161" s="117" t="s">
        <v>314</v>
      </c>
      <c r="D161" s="85" t="s">
        <v>189</v>
      </c>
      <c r="E161" s="119" t="e">
        <f>ROUND((E44*#REF!)/(#REF!*#REF!^2),2)</f>
        <v>#REF!</v>
      </c>
      <c r="F161" s="65" t="s">
        <v>245</v>
      </c>
      <c r="G161" s="65"/>
      <c r="H161" s="200"/>
      <c r="I161" s="201"/>
      <c r="J161" s="202"/>
      <c r="K161" s="106"/>
    </row>
    <row r="162" spans="1:11" ht="30" hidden="1" customHeight="1">
      <c r="A162" s="91"/>
      <c r="B162" s="65"/>
      <c r="C162" s="65"/>
      <c r="D162" s="65"/>
      <c r="E162" s="65"/>
      <c r="F162" s="65"/>
      <c r="G162" s="65"/>
      <c r="H162" s="200"/>
      <c r="I162" s="201"/>
      <c r="J162" s="202"/>
      <c r="K162" s="106"/>
    </row>
    <row r="163" spans="1:11" ht="30" hidden="1" customHeight="1">
      <c r="A163" s="91"/>
      <c r="B163" s="117" t="s">
        <v>313</v>
      </c>
      <c r="C163" s="117" t="s">
        <v>249</v>
      </c>
      <c r="D163" s="65" t="s">
        <v>189</v>
      </c>
      <c r="E163" s="120" t="e">
        <f>ROUND(E44/(2*E159),3)</f>
        <v>#REF!</v>
      </c>
      <c r="F163" s="65" t="s">
        <v>245</v>
      </c>
      <c r="G163" s="118"/>
      <c r="H163" s="200"/>
      <c r="I163" s="201"/>
      <c r="J163" s="202"/>
      <c r="K163" s="106"/>
    </row>
    <row r="164" spans="1:11" ht="30" hidden="1" customHeight="1">
      <c r="A164" s="91"/>
      <c r="B164" s="65"/>
      <c r="C164" s="65"/>
      <c r="D164" s="65"/>
      <c r="E164" s="118"/>
      <c r="F164" s="65"/>
      <c r="G164" s="118"/>
      <c r="H164" s="200"/>
      <c r="I164" s="201"/>
      <c r="J164" s="202"/>
      <c r="K164" s="106"/>
    </row>
    <row r="165" spans="1:11" ht="30" hidden="1" customHeight="1" thickBot="1">
      <c r="A165" s="91"/>
      <c r="B165" s="117" t="s">
        <v>329</v>
      </c>
      <c r="C165" s="117" t="s">
        <v>311</v>
      </c>
      <c r="D165" s="65" t="s">
        <v>189</v>
      </c>
      <c r="E165" s="120">
        <v>0.60799999999999998</v>
      </c>
      <c r="F165" s="65"/>
      <c r="G165" s="118"/>
      <c r="H165" s="203"/>
      <c r="I165" s="204"/>
      <c r="J165" s="205"/>
      <c r="K165" s="106"/>
    </row>
    <row r="166" spans="1:11" ht="30" hidden="1" customHeight="1">
      <c r="A166" s="91"/>
      <c r="B166" s="65"/>
      <c r="C166" s="65"/>
      <c r="D166" s="65"/>
      <c r="E166" s="118"/>
      <c r="F166" s="65"/>
      <c r="G166" s="118"/>
      <c r="H166" s="65"/>
      <c r="I166" s="65"/>
      <c r="J166" s="65"/>
      <c r="K166" s="106"/>
    </row>
    <row r="167" spans="1:11" ht="30" hidden="1" customHeight="1">
      <c r="A167" s="91"/>
      <c r="B167" s="117" t="s">
        <v>310</v>
      </c>
      <c r="C167" s="117" t="s">
        <v>309</v>
      </c>
      <c r="D167" s="65" t="s">
        <v>189</v>
      </c>
      <c r="E167" s="120" t="e">
        <f>ROUND((E165*E161),3)</f>
        <v>#REF!</v>
      </c>
      <c r="F167" s="65" t="s">
        <v>245</v>
      </c>
      <c r="G167" s="118"/>
      <c r="H167" s="65"/>
      <c r="I167" s="65"/>
      <c r="J167" s="65"/>
      <c r="K167" s="106"/>
    </row>
    <row r="168" spans="1:11" ht="30" hidden="1" customHeight="1">
      <c r="A168" s="91"/>
      <c r="B168" s="65"/>
      <c r="C168" s="65"/>
      <c r="D168" s="65"/>
      <c r="E168" s="118"/>
      <c r="F168" s="65"/>
      <c r="G168" s="118"/>
      <c r="H168" s="65"/>
      <c r="I168" s="65"/>
      <c r="J168" s="65"/>
      <c r="K168" s="106"/>
    </row>
    <row r="169" spans="1:11" ht="30" hidden="1" customHeight="1">
      <c r="A169" s="91"/>
      <c r="B169" s="117" t="s">
        <v>328</v>
      </c>
      <c r="C169" s="117" t="s">
        <v>327</v>
      </c>
      <c r="D169" s="65" t="s">
        <v>189</v>
      </c>
      <c r="E169" s="119" t="e">
        <f>ROUND(SQRT((E167^2)+3*(E163^2)),2)</f>
        <v>#REF!</v>
      </c>
      <c r="F169" s="65" t="s">
        <v>245</v>
      </c>
      <c r="G169" s="118"/>
      <c r="H169" s="65"/>
      <c r="I169" s="65"/>
      <c r="J169" s="65"/>
      <c r="K169" s="106"/>
    </row>
    <row r="170" spans="1:11" ht="30" hidden="1" customHeight="1">
      <c r="A170" s="91"/>
      <c r="B170" s="65"/>
      <c r="C170" s="65"/>
      <c r="D170" s="65"/>
      <c r="E170" s="118"/>
      <c r="F170" s="65"/>
      <c r="G170" s="118"/>
      <c r="H170" s="65"/>
      <c r="I170" s="65"/>
      <c r="J170" s="65"/>
      <c r="K170" s="106"/>
    </row>
    <row r="171" spans="1:11" ht="30" hidden="1" customHeight="1">
      <c r="A171" s="91"/>
      <c r="B171" s="183" t="s">
        <v>246</v>
      </c>
      <c r="C171" s="184"/>
      <c r="D171" s="184"/>
      <c r="E171" s="184"/>
      <c r="F171" s="184"/>
      <c r="G171" s="184"/>
      <c r="H171" s="184"/>
      <c r="I171" s="184"/>
      <c r="J171" s="184"/>
      <c r="K171" s="185"/>
    </row>
    <row r="172" spans="1:11" ht="30" hidden="1" customHeight="1">
      <c r="A172" s="91"/>
      <c r="B172" s="65"/>
      <c r="C172" s="65"/>
      <c r="D172" s="65"/>
      <c r="E172" s="118"/>
      <c r="F172" s="65"/>
      <c r="G172" s="118"/>
      <c r="H172" s="65"/>
      <c r="I172" s="65"/>
      <c r="J172" s="65"/>
      <c r="K172" s="106"/>
    </row>
    <row r="173" spans="1:11" ht="30" hidden="1" customHeight="1">
      <c r="A173" s="91"/>
      <c r="B173" s="117" t="s">
        <v>244</v>
      </c>
      <c r="C173" s="117" t="s">
        <v>326</v>
      </c>
      <c r="D173" s="116" t="s">
        <v>189</v>
      </c>
      <c r="E173" s="116">
        <f>0.5*E153</f>
        <v>10.5</v>
      </c>
      <c r="F173" s="65" t="s">
        <v>245</v>
      </c>
      <c r="G173" s="65"/>
      <c r="H173" s="186" t="s">
        <v>305</v>
      </c>
      <c r="I173" s="186"/>
      <c r="J173" s="186"/>
      <c r="K173" s="186"/>
    </row>
    <row r="174" spans="1:11" ht="30" hidden="1" customHeight="1">
      <c r="A174" s="91"/>
      <c r="B174" s="187" t="s">
        <v>242</v>
      </c>
      <c r="C174" s="187"/>
      <c r="D174" s="116" t="s">
        <v>189</v>
      </c>
      <c r="E174" s="116" t="e">
        <f>IF(E173&gt;E169,"Design Accepted","Design Not Accepted")</f>
        <v>#REF!</v>
      </c>
      <c r="F174" s="65"/>
      <c r="G174" s="65"/>
      <c r="H174" s="65"/>
      <c r="I174" s="65"/>
      <c r="J174" s="65"/>
      <c r="K174" s="106"/>
    </row>
    <row r="175" spans="1:11" ht="30" hidden="1" customHeight="1">
      <c r="A175" s="91"/>
      <c r="B175" s="65"/>
      <c r="C175" s="65"/>
      <c r="D175" s="65"/>
      <c r="E175" s="118"/>
      <c r="F175" s="65"/>
      <c r="G175" s="118"/>
      <c r="H175" s="65"/>
      <c r="I175" s="65"/>
      <c r="J175" s="65"/>
      <c r="K175" s="106"/>
    </row>
    <row r="176" spans="1:11" ht="30" hidden="1" customHeight="1">
      <c r="A176" s="91"/>
      <c r="B176" s="65"/>
      <c r="C176" s="65"/>
      <c r="D176" s="65"/>
      <c r="E176" s="65"/>
      <c r="F176" s="65"/>
      <c r="G176" s="65"/>
      <c r="H176" s="65"/>
      <c r="I176" s="65"/>
      <c r="J176" s="65"/>
      <c r="K176" s="106"/>
    </row>
    <row r="177" spans="1:11" ht="30" hidden="1" customHeight="1">
      <c r="A177" s="91"/>
      <c r="B177" s="183" t="s">
        <v>325</v>
      </c>
      <c r="C177" s="184"/>
      <c r="D177" s="184"/>
      <c r="E177" s="184"/>
      <c r="F177" s="184"/>
      <c r="G177" s="184"/>
      <c r="H177" s="184"/>
      <c r="I177" s="184"/>
      <c r="J177" s="184"/>
      <c r="K177" s="185"/>
    </row>
    <row r="178" spans="1:11" ht="30" hidden="1" customHeight="1">
      <c r="A178" s="91"/>
      <c r="B178" s="85"/>
      <c r="C178" s="181"/>
      <c r="D178" s="181"/>
      <c r="E178" s="85"/>
      <c r="F178" s="65"/>
      <c r="G178" s="85"/>
      <c r="H178" s="85"/>
      <c r="I178" s="85"/>
      <c r="J178" s="85"/>
      <c r="K178" s="106"/>
    </row>
    <row r="179" spans="1:11" ht="30" hidden="1" customHeight="1">
      <c r="A179" s="91"/>
      <c r="B179" s="124" t="s">
        <v>236</v>
      </c>
      <c r="C179" s="124" t="s">
        <v>236</v>
      </c>
      <c r="D179" s="85" t="s">
        <v>189</v>
      </c>
      <c r="E179" s="124" t="s">
        <v>324</v>
      </c>
      <c r="F179" s="85"/>
      <c r="G179" s="85"/>
      <c r="H179" s="85"/>
      <c r="I179" s="85"/>
      <c r="J179" s="85"/>
      <c r="K179" s="106"/>
    </row>
    <row r="180" spans="1:11" ht="30" hidden="1" customHeight="1">
      <c r="A180" s="91"/>
      <c r="B180" s="85"/>
      <c r="C180" s="85"/>
      <c r="D180" s="85"/>
      <c r="E180" s="85"/>
      <c r="F180" s="85"/>
      <c r="G180" s="85"/>
      <c r="H180" s="85"/>
      <c r="I180" s="85"/>
      <c r="J180" s="85"/>
      <c r="K180" s="106"/>
    </row>
    <row r="181" spans="1:11" ht="30" hidden="1" customHeight="1">
      <c r="A181" s="91"/>
      <c r="B181" s="117" t="s">
        <v>219</v>
      </c>
      <c r="C181" s="117" t="s">
        <v>218</v>
      </c>
      <c r="D181" s="85" t="s">
        <v>189</v>
      </c>
      <c r="E181" s="123">
        <f>VLOOKUP(E179,N54:P59,2,FALSE)</f>
        <v>7.85</v>
      </c>
      <c r="F181" s="85"/>
      <c r="G181" s="65"/>
      <c r="H181" s="65"/>
      <c r="I181" s="65"/>
      <c r="J181" s="65"/>
      <c r="K181" s="106"/>
    </row>
    <row r="182" spans="1:11" ht="30" hidden="1" customHeight="1">
      <c r="A182" s="91"/>
      <c r="B182" s="85"/>
      <c r="C182" s="85"/>
      <c r="D182" s="85"/>
      <c r="E182" s="85"/>
      <c r="F182" s="85"/>
      <c r="G182" s="65"/>
      <c r="H182" s="65"/>
      <c r="I182" s="65"/>
      <c r="J182" s="65"/>
      <c r="K182" s="106"/>
    </row>
    <row r="183" spans="1:11" ht="30" hidden="1" customHeight="1">
      <c r="A183" s="91"/>
      <c r="B183" s="117" t="s">
        <v>217</v>
      </c>
      <c r="C183" s="117" t="s">
        <v>216</v>
      </c>
      <c r="D183" s="85" t="s">
        <v>189</v>
      </c>
      <c r="E183" s="123">
        <f>VLOOKUP(E179,N54:P59,3,FALSE)</f>
        <v>21</v>
      </c>
      <c r="F183" s="85"/>
      <c r="G183" s="65"/>
      <c r="H183" s="65"/>
      <c r="I183" s="65"/>
      <c r="J183" s="65"/>
      <c r="K183" s="106"/>
    </row>
    <row r="184" spans="1:11" ht="30" hidden="1" customHeight="1">
      <c r="A184" s="91"/>
      <c r="B184" s="85"/>
      <c r="C184" s="85"/>
      <c r="D184" s="85"/>
      <c r="E184" s="85"/>
      <c r="F184" s="85"/>
      <c r="G184" s="65"/>
      <c r="H184" s="65"/>
      <c r="I184" s="65"/>
      <c r="J184" s="65"/>
      <c r="K184" s="106"/>
    </row>
    <row r="185" spans="1:11" ht="30" hidden="1" customHeight="1">
      <c r="A185" s="91"/>
      <c r="B185" s="117" t="s">
        <v>323</v>
      </c>
      <c r="C185" s="117" t="s">
        <v>322</v>
      </c>
      <c r="D185" s="85" t="s">
        <v>189</v>
      </c>
      <c r="E185" s="122" t="e">
        <f>PI()*E152*(#REF!^2-#REF!^2)</f>
        <v>#REF!</v>
      </c>
      <c r="F185" s="65"/>
      <c r="G185" s="65"/>
      <c r="H185" s="65"/>
      <c r="I185" s="65"/>
      <c r="J185" s="65"/>
      <c r="K185" s="106"/>
    </row>
    <row r="186" spans="1:11" ht="30" hidden="1" customHeight="1">
      <c r="A186" s="91"/>
      <c r="B186" s="85"/>
      <c r="C186" s="85"/>
      <c r="D186" s="85"/>
      <c r="E186" s="85"/>
      <c r="F186" s="85"/>
      <c r="G186" s="65"/>
      <c r="H186" s="65"/>
      <c r="I186" s="65"/>
      <c r="J186" s="65"/>
      <c r="K186" s="106"/>
    </row>
    <row r="187" spans="1:11" ht="30" hidden="1" customHeight="1" thickBot="1">
      <c r="A187" s="91"/>
      <c r="B187" s="117" t="s">
        <v>321</v>
      </c>
      <c r="C187" s="117" t="s">
        <v>320</v>
      </c>
      <c r="D187" s="85" t="s">
        <v>189</v>
      </c>
      <c r="E187" s="121" t="e">
        <f>ROUND((E185*E181*10^-6)/2,5)</f>
        <v>#REF!</v>
      </c>
      <c r="F187" s="65"/>
      <c r="G187" s="65"/>
      <c r="H187" s="65"/>
      <c r="I187" s="65"/>
      <c r="J187" s="65"/>
      <c r="K187" s="106"/>
    </row>
    <row r="188" spans="1:11" ht="30" hidden="1" customHeight="1">
      <c r="A188" s="91"/>
      <c r="B188" s="85"/>
      <c r="C188" s="85"/>
      <c r="D188" s="85"/>
      <c r="E188" s="85"/>
      <c r="F188" s="65"/>
      <c r="G188" s="65"/>
      <c r="H188" s="197" t="s">
        <v>319</v>
      </c>
      <c r="I188" s="198"/>
      <c r="J188" s="199"/>
      <c r="K188" s="106"/>
    </row>
    <row r="189" spans="1:11" ht="30" hidden="1" customHeight="1">
      <c r="A189" s="91"/>
      <c r="B189" s="117" t="s">
        <v>318</v>
      </c>
      <c r="C189" s="117" t="s">
        <v>317</v>
      </c>
      <c r="D189" s="85" t="s">
        <v>189</v>
      </c>
      <c r="E189" s="121" t="e">
        <f>#REF!*E40</f>
        <v>#REF!</v>
      </c>
      <c r="F189" s="65" t="s">
        <v>316</v>
      </c>
      <c r="G189" s="65"/>
      <c r="H189" s="200"/>
      <c r="I189" s="201"/>
      <c r="J189" s="202"/>
      <c r="K189" s="106"/>
    </row>
    <row r="190" spans="1:11" ht="30" hidden="1" customHeight="1">
      <c r="A190" s="91"/>
      <c r="B190" s="85"/>
      <c r="C190" s="85"/>
      <c r="D190" s="85"/>
      <c r="E190" s="85"/>
      <c r="F190" s="65"/>
      <c r="G190" s="65"/>
      <c r="H190" s="200"/>
      <c r="I190" s="201"/>
      <c r="J190" s="202"/>
      <c r="K190" s="106"/>
    </row>
    <row r="191" spans="1:11" ht="30" hidden="1" customHeight="1">
      <c r="A191" s="91"/>
      <c r="B191" s="117" t="s">
        <v>315</v>
      </c>
      <c r="C191" s="117" t="s">
        <v>314</v>
      </c>
      <c r="D191" s="85" t="s">
        <v>189</v>
      </c>
      <c r="E191" s="119" t="e">
        <f>ROUND((3*E44*#REF!)/(E40*#REF!^2),2)</f>
        <v>#REF!</v>
      </c>
      <c r="F191" s="65" t="s">
        <v>245</v>
      </c>
      <c r="G191" s="65"/>
      <c r="H191" s="200"/>
      <c r="I191" s="201"/>
      <c r="J191" s="202"/>
      <c r="K191" s="106"/>
    </row>
    <row r="192" spans="1:11" ht="30" hidden="1" customHeight="1">
      <c r="A192" s="91"/>
      <c r="B192" s="65"/>
      <c r="C192" s="65"/>
      <c r="D192" s="65"/>
      <c r="E192" s="65"/>
      <c r="F192" s="65"/>
      <c r="G192" s="65"/>
      <c r="H192" s="200"/>
      <c r="I192" s="201"/>
      <c r="J192" s="202"/>
      <c r="K192" s="106"/>
    </row>
    <row r="193" spans="1:11" ht="30" hidden="1" customHeight="1">
      <c r="A193" s="91"/>
      <c r="B193" s="117" t="s">
        <v>313</v>
      </c>
      <c r="C193" s="117" t="s">
        <v>249</v>
      </c>
      <c r="D193" s="65" t="s">
        <v>189</v>
      </c>
      <c r="E193" s="120" t="e">
        <f>ROUND(E44/(2*E189),3)</f>
        <v>#REF!</v>
      </c>
      <c r="F193" s="65" t="s">
        <v>245</v>
      </c>
      <c r="G193" s="118"/>
      <c r="H193" s="200"/>
      <c r="I193" s="201"/>
      <c r="J193" s="202"/>
      <c r="K193" s="106"/>
    </row>
    <row r="194" spans="1:11" ht="30" hidden="1" customHeight="1">
      <c r="A194" s="91"/>
      <c r="B194" s="65"/>
      <c r="C194" s="65"/>
      <c r="D194" s="65"/>
      <c r="E194" s="118"/>
      <c r="F194" s="65"/>
      <c r="G194" s="118"/>
      <c r="H194" s="200"/>
      <c r="I194" s="201"/>
      <c r="J194" s="202"/>
      <c r="K194" s="106"/>
    </row>
    <row r="195" spans="1:11" ht="30" hidden="1" customHeight="1">
      <c r="A195" s="91"/>
      <c r="B195" s="117" t="s">
        <v>312</v>
      </c>
      <c r="C195" s="117" t="s">
        <v>311</v>
      </c>
      <c r="D195" s="65" t="s">
        <v>189</v>
      </c>
      <c r="E195" s="121">
        <v>0.6</v>
      </c>
      <c r="F195" s="65"/>
      <c r="G195" s="118"/>
      <c r="H195" s="200"/>
      <c r="I195" s="201"/>
      <c r="J195" s="202"/>
      <c r="K195" s="106"/>
    </row>
    <row r="196" spans="1:11" ht="30" hidden="1" customHeight="1">
      <c r="A196" s="91"/>
      <c r="B196" s="65"/>
      <c r="C196" s="65"/>
      <c r="D196" s="65"/>
      <c r="E196" s="118"/>
      <c r="F196" s="65"/>
      <c r="G196" s="118"/>
      <c r="H196" s="200"/>
      <c r="I196" s="201"/>
      <c r="J196" s="202"/>
      <c r="K196" s="106"/>
    </row>
    <row r="197" spans="1:11" ht="30" hidden="1" customHeight="1">
      <c r="A197" s="91"/>
      <c r="B197" s="117" t="s">
        <v>310</v>
      </c>
      <c r="C197" s="117" t="s">
        <v>309</v>
      </c>
      <c r="D197" s="65" t="s">
        <v>189</v>
      </c>
      <c r="E197" s="120" t="e">
        <f>ROUND((E195*E191),3)</f>
        <v>#REF!</v>
      </c>
      <c r="F197" s="65" t="s">
        <v>179</v>
      </c>
      <c r="G197" s="118"/>
      <c r="H197" s="200"/>
      <c r="I197" s="201"/>
      <c r="J197" s="202"/>
      <c r="K197" s="106"/>
    </row>
    <row r="198" spans="1:11" ht="30" hidden="1" customHeight="1">
      <c r="A198" s="91"/>
      <c r="B198" s="65"/>
      <c r="C198" s="65"/>
      <c r="D198" s="65"/>
      <c r="E198" s="118"/>
      <c r="F198" s="65"/>
      <c r="G198" s="118"/>
      <c r="H198" s="200"/>
      <c r="I198" s="201"/>
      <c r="J198" s="202"/>
      <c r="K198" s="106"/>
    </row>
    <row r="199" spans="1:11" ht="30" hidden="1" customHeight="1" thickBot="1">
      <c r="A199" s="91"/>
      <c r="B199" s="117" t="s">
        <v>308</v>
      </c>
      <c r="C199" s="117" t="s">
        <v>307</v>
      </c>
      <c r="D199" s="65" t="s">
        <v>175</v>
      </c>
      <c r="E199" s="119" t="e">
        <f>ROUND(SQRT((E197^2)+3*(E193^2)),2)</f>
        <v>#REF!</v>
      </c>
      <c r="F199" s="65" t="s">
        <v>179</v>
      </c>
      <c r="G199" s="118"/>
      <c r="H199" s="203"/>
      <c r="I199" s="204"/>
      <c r="J199" s="205"/>
      <c r="K199" s="106"/>
    </row>
    <row r="200" spans="1:11" ht="30" hidden="1" customHeight="1">
      <c r="A200" s="91"/>
      <c r="B200" s="65"/>
      <c r="C200" s="65"/>
      <c r="D200" s="65"/>
      <c r="E200" s="65"/>
      <c r="F200" s="65"/>
      <c r="G200" s="65"/>
      <c r="H200" s="65"/>
      <c r="I200" s="65"/>
      <c r="J200" s="65"/>
      <c r="K200" s="106"/>
    </row>
    <row r="201" spans="1:11" ht="30" hidden="1" customHeight="1">
      <c r="A201" s="91"/>
      <c r="B201" s="183" t="s">
        <v>180</v>
      </c>
      <c r="C201" s="184"/>
      <c r="D201" s="184"/>
      <c r="E201" s="184"/>
      <c r="F201" s="184"/>
      <c r="G201" s="184"/>
      <c r="H201" s="184"/>
      <c r="I201" s="184"/>
      <c r="J201" s="184"/>
      <c r="K201" s="185"/>
    </row>
    <row r="202" spans="1:11" ht="30" hidden="1" customHeight="1">
      <c r="A202" s="91"/>
      <c r="B202" s="65"/>
      <c r="C202" s="65"/>
      <c r="D202" s="65"/>
      <c r="E202" s="107"/>
      <c r="F202" s="65"/>
      <c r="G202" s="65"/>
      <c r="H202" s="65"/>
      <c r="I202" s="65"/>
      <c r="J202" s="65"/>
      <c r="K202" s="106"/>
    </row>
    <row r="203" spans="1:11" ht="30" hidden="1" customHeight="1">
      <c r="A203" s="91"/>
      <c r="B203" s="117" t="s">
        <v>178</v>
      </c>
      <c r="C203" s="117" t="s">
        <v>306</v>
      </c>
      <c r="D203" s="116" t="s">
        <v>175</v>
      </c>
      <c r="E203" s="116">
        <f>0.5*E183</f>
        <v>10.5</v>
      </c>
      <c r="F203" s="65" t="s">
        <v>179</v>
      </c>
      <c r="G203" s="65"/>
      <c r="H203" s="186" t="s">
        <v>305</v>
      </c>
      <c r="I203" s="186"/>
      <c r="J203" s="186"/>
      <c r="K203" s="186"/>
    </row>
    <row r="204" spans="1:11" ht="30" hidden="1" customHeight="1">
      <c r="A204" s="91"/>
      <c r="B204" s="187" t="s">
        <v>176</v>
      </c>
      <c r="C204" s="187"/>
      <c r="D204" s="116" t="s">
        <v>175</v>
      </c>
      <c r="E204" s="116" t="e">
        <f>IF(E203&gt;E199,"Design Accepted","Design Not Accepted")</f>
        <v>#REF!</v>
      </c>
      <c r="F204" s="65"/>
      <c r="G204" s="65"/>
      <c r="H204" s="65"/>
      <c r="I204" s="65"/>
      <c r="J204" s="65"/>
      <c r="K204" s="106"/>
    </row>
    <row r="205" spans="1:11" ht="30" hidden="1" customHeight="1">
      <c r="A205" s="91"/>
      <c r="B205" s="65"/>
      <c r="C205" s="65"/>
      <c r="D205" s="65"/>
      <c r="E205" s="65"/>
      <c r="F205" s="65"/>
      <c r="G205" s="65"/>
      <c r="H205" s="65"/>
      <c r="I205" s="65"/>
      <c r="J205" s="65"/>
      <c r="K205" s="106"/>
    </row>
    <row r="206" spans="1:11" ht="30" hidden="1" customHeight="1">
      <c r="A206" s="91"/>
      <c r="B206" s="65"/>
      <c r="C206" s="65"/>
      <c r="D206" s="65"/>
      <c r="E206" s="65"/>
      <c r="F206" s="65"/>
      <c r="G206" s="65"/>
      <c r="H206" s="65"/>
      <c r="I206" s="65"/>
      <c r="J206" s="65"/>
      <c r="K206" s="106"/>
    </row>
    <row r="207" spans="1:11" ht="30" hidden="1" customHeight="1">
      <c r="A207" s="91"/>
      <c r="B207" s="65"/>
      <c r="C207" s="65"/>
      <c r="D207" s="65"/>
      <c r="E207" s="65"/>
      <c r="F207" s="65"/>
      <c r="G207" s="65"/>
      <c r="H207" s="65"/>
      <c r="I207" s="65"/>
      <c r="J207" s="65"/>
      <c r="K207" s="106"/>
    </row>
    <row r="208" spans="1:11" ht="30" hidden="1" customHeight="1">
      <c r="A208" s="91"/>
      <c r="B208" s="65"/>
      <c r="C208" s="65"/>
      <c r="D208" s="65"/>
      <c r="E208" s="65"/>
      <c r="F208" s="65"/>
      <c r="G208" s="65"/>
      <c r="H208" s="65"/>
      <c r="I208" s="65"/>
      <c r="J208" s="65"/>
      <c r="K208" s="106"/>
    </row>
    <row r="209" spans="1:11" ht="30" hidden="1" customHeight="1">
      <c r="A209" s="91"/>
      <c r="B209" s="65"/>
      <c r="C209" s="65"/>
      <c r="D209" s="65"/>
      <c r="E209" s="65"/>
      <c r="F209" s="65"/>
      <c r="G209" s="65"/>
      <c r="H209" s="65"/>
      <c r="I209" s="65"/>
      <c r="J209" s="65"/>
      <c r="K209" s="106"/>
    </row>
    <row r="210" spans="1:11" ht="30" hidden="1" customHeight="1">
      <c r="A210" s="91"/>
      <c r="B210" s="65"/>
      <c r="C210" s="65"/>
      <c r="D210" s="65"/>
      <c r="E210" s="65"/>
      <c r="F210" s="65"/>
      <c r="G210" s="65"/>
      <c r="H210" s="65"/>
      <c r="I210" s="65"/>
      <c r="J210" s="65"/>
      <c r="K210" s="106"/>
    </row>
    <row r="211" spans="1:11" ht="30" hidden="1" customHeight="1" thickBot="1">
      <c r="A211" s="89"/>
      <c r="B211" s="103"/>
      <c r="C211" s="103"/>
      <c r="D211" s="103"/>
      <c r="E211" s="103"/>
      <c r="F211" s="65"/>
      <c r="G211" s="103"/>
      <c r="H211" s="103"/>
      <c r="I211" s="103"/>
      <c r="J211" s="103"/>
      <c r="K211" s="102"/>
    </row>
    <row r="212" spans="1:11" ht="30" customHeight="1" thickBot="1">
      <c r="B212" s="85"/>
      <c r="I212" s="170" t="s">
        <v>241</v>
      </c>
      <c r="J212" s="180"/>
      <c r="K212" s="84" t="s">
        <v>304</v>
      </c>
    </row>
    <row r="213" spans="1:11" ht="30" customHeight="1">
      <c r="A213" s="115"/>
      <c r="B213" s="113"/>
      <c r="C213" s="113"/>
      <c r="D213" s="114"/>
      <c r="E213" s="113"/>
      <c r="F213" s="113"/>
      <c r="G213" s="113"/>
      <c r="H213" s="113"/>
      <c r="I213" s="113"/>
      <c r="J213" s="113"/>
      <c r="K213" s="112"/>
    </row>
    <row r="214" spans="1:11" ht="30" customHeight="1">
      <c r="A214" s="91"/>
      <c r="B214" s="163" t="s">
        <v>303</v>
      </c>
      <c r="C214" s="163"/>
      <c r="D214" s="163"/>
      <c r="E214" s="163"/>
      <c r="F214" s="163"/>
      <c r="G214" s="163"/>
      <c r="H214" s="163"/>
      <c r="I214" s="163"/>
      <c r="J214" s="163"/>
      <c r="K214" s="164"/>
    </row>
    <row r="215" spans="1:11" ht="30" customHeight="1">
      <c r="A215" s="91"/>
      <c r="B215" s="65"/>
      <c r="C215" s="65"/>
      <c r="D215" s="65"/>
      <c r="E215" s="65"/>
      <c r="F215" s="65"/>
      <c r="G215" s="65"/>
      <c r="H215" s="65"/>
      <c r="I215" s="65"/>
      <c r="J215" s="65"/>
      <c r="K215" s="106"/>
    </row>
    <row r="216" spans="1:11" ht="30" customHeight="1">
      <c r="A216" s="91"/>
      <c r="B216" s="65"/>
      <c r="C216" s="65"/>
      <c r="D216" s="65"/>
      <c r="E216" s="65"/>
      <c r="F216" s="65"/>
      <c r="G216" s="65"/>
      <c r="H216" s="65"/>
      <c r="I216" s="65"/>
      <c r="J216" s="65"/>
      <c r="K216" s="106"/>
    </row>
    <row r="217" spans="1:11" ht="30" customHeight="1">
      <c r="A217" s="91"/>
      <c r="B217" s="65"/>
      <c r="C217" s="65"/>
      <c r="D217" s="65"/>
      <c r="E217" s="65"/>
      <c r="F217" s="65"/>
      <c r="G217" s="65"/>
      <c r="H217" s="65"/>
      <c r="I217" s="65"/>
      <c r="J217" s="65"/>
      <c r="K217" s="106"/>
    </row>
    <row r="218" spans="1:11" ht="30" customHeight="1">
      <c r="A218" s="91"/>
      <c r="B218" s="65"/>
      <c r="C218" s="65"/>
      <c r="D218" s="65"/>
      <c r="E218" s="65"/>
      <c r="F218" s="65"/>
      <c r="G218" s="65"/>
      <c r="H218" s="65"/>
      <c r="I218" s="65"/>
      <c r="J218" s="65"/>
      <c r="K218" s="106"/>
    </row>
    <row r="219" spans="1:11" ht="30" customHeight="1">
      <c r="A219" s="91"/>
      <c r="B219" s="65"/>
      <c r="C219" s="65"/>
      <c r="D219" s="65"/>
      <c r="E219" s="65"/>
      <c r="F219" s="65"/>
      <c r="G219" s="65"/>
      <c r="H219" s="65"/>
      <c r="I219" s="65"/>
      <c r="J219" s="65"/>
      <c r="K219" s="106"/>
    </row>
    <row r="220" spans="1:11" ht="30" customHeight="1">
      <c r="A220" s="91"/>
      <c r="B220" s="65"/>
      <c r="C220" s="65"/>
      <c r="D220" s="65"/>
      <c r="E220" s="65"/>
      <c r="F220" s="65"/>
      <c r="G220" s="65"/>
      <c r="H220" s="65"/>
      <c r="I220" s="65"/>
      <c r="J220" s="65"/>
      <c r="K220" s="106"/>
    </row>
    <row r="221" spans="1:11" ht="30" customHeight="1">
      <c r="A221" s="91"/>
      <c r="B221" s="65"/>
      <c r="C221" s="65"/>
      <c r="D221" s="65"/>
      <c r="E221" s="65"/>
      <c r="F221" s="65"/>
      <c r="G221" s="65"/>
      <c r="H221" s="65"/>
      <c r="I221" s="65"/>
      <c r="J221" s="65"/>
      <c r="K221" s="106"/>
    </row>
    <row r="222" spans="1:11" ht="30" customHeight="1">
      <c r="A222" s="91"/>
      <c r="B222" s="65"/>
      <c r="C222" s="65"/>
      <c r="D222" s="65"/>
      <c r="E222" s="65"/>
      <c r="F222" s="65"/>
      <c r="G222" s="65"/>
      <c r="H222" s="65"/>
      <c r="I222" s="65"/>
      <c r="J222" s="65"/>
      <c r="K222" s="106"/>
    </row>
    <row r="223" spans="1:11" ht="30" customHeight="1">
      <c r="A223" s="91"/>
      <c r="B223" s="65"/>
      <c r="C223" s="65"/>
      <c r="D223" s="65"/>
      <c r="E223" s="65"/>
      <c r="F223" s="65"/>
      <c r="G223" s="65"/>
      <c r="H223" s="65"/>
      <c r="I223" s="65"/>
      <c r="J223" s="65"/>
      <c r="K223" s="106"/>
    </row>
    <row r="224" spans="1:11" ht="30" customHeight="1">
      <c r="A224" s="91"/>
      <c r="B224" s="65"/>
      <c r="C224" s="65"/>
      <c r="D224" s="65"/>
      <c r="E224" s="65"/>
      <c r="F224" s="65"/>
      <c r="G224" s="65"/>
      <c r="H224" s="65"/>
      <c r="I224" s="65"/>
      <c r="J224" s="65"/>
      <c r="K224" s="106"/>
    </row>
    <row r="225" spans="1:15" ht="30" customHeight="1">
      <c r="A225" s="91"/>
      <c r="B225" s="65"/>
      <c r="C225" s="65"/>
      <c r="D225" s="65"/>
      <c r="E225" s="65"/>
      <c r="F225" s="65"/>
      <c r="G225" s="65"/>
      <c r="H225" s="65"/>
      <c r="I225" s="65"/>
      <c r="J225" s="65"/>
      <c r="K225" s="106"/>
    </row>
    <row r="226" spans="1:15" ht="30" customHeight="1">
      <c r="A226" s="91"/>
      <c r="B226" s="65"/>
      <c r="C226" s="65"/>
      <c r="D226" s="65"/>
      <c r="E226" s="65"/>
      <c r="F226" s="65"/>
      <c r="G226" s="65"/>
      <c r="H226" s="65"/>
      <c r="I226" s="65"/>
      <c r="J226" s="65"/>
      <c r="K226" s="106"/>
    </row>
    <row r="227" spans="1:15" ht="30" customHeight="1">
      <c r="A227" s="91"/>
      <c r="B227" s="65"/>
      <c r="C227" s="65"/>
      <c r="D227" s="65"/>
      <c r="E227" s="65"/>
      <c r="F227" s="65"/>
      <c r="G227" s="65"/>
      <c r="H227" s="65"/>
      <c r="I227" s="65"/>
      <c r="J227" s="65"/>
      <c r="K227" s="106"/>
    </row>
    <row r="228" spans="1:15" ht="30" customHeight="1">
      <c r="A228" s="91"/>
      <c r="B228" s="65"/>
      <c r="C228" s="65"/>
      <c r="D228" s="65"/>
      <c r="E228" s="65"/>
      <c r="F228" s="65"/>
      <c r="G228" s="65"/>
      <c r="H228" s="65"/>
      <c r="I228" s="65"/>
      <c r="J228" s="65"/>
      <c r="K228" s="106"/>
    </row>
    <row r="229" spans="1:15" ht="30" customHeight="1">
      <c r="A229" s="91"/>
      <c r="B229" s="65"/>
      <c r="C229" s="65"/>
      <c r="D229" s="65"/>
      <c r="E229" s="65"/>
      <c r="F229" s="65"/>
      <c r="G229" s="65"/>
      <c r="H229" s="65"/>
      <c r="I229" s="65"/>
      <c r="J229" s="65"/>
      <c r="K229" s="106"/>
    </row>
    <row r="230" spans="1:15" ht="30" customHeight="1">
      <c r="A230" s="91"/>
      <c r="B230" s="65"/>
      <c r="C230" s="65"/>
      <c r="D230" s="111"/>
      <c r="E230" s="65"/>
      <c r="F230" s="65"/>
      <c r="G230" s="65"/>
      <c r="H230" s="65"/>
      <c r="I230" s="65"/>
      <c r="J230" s="65"/>
      <c r="K230" s="106"/>
    </row>
    <row r="231" spans="1:15" ht="30" customHeight="1">
      <c r="A231" s="91"/>
      <c r="B231" s="105" t="s">
        <v>302</v>
      </c>
      <c r="C231" s="105" t="s">
        <v>301</v>
      </c>
      <c r="D231" s="66" t="s">
        <v>175</v>
      </c>
      <c r="E231" s="105">
        <f>E44/2</f>
        <v>22350</v>
      </c>
      <c r="F231" s="105" t="s">
        <v>298</v>
      </c>
      <c r="G231" s="65"/>
      <c r="H231" s="65"/>
      <c r="I231" s="65"/>
      <c r="J231" s="65"/>
      <c r="K231" s="106"/>
    </row>
    <row r="232" spans="1:15" ht="30" customHeight="1">
      <c r="A232" s="91"/>
      <c r="B232" s="66"/>
      <c r="C232" s="66"/>
      <c r="D232" s="108"/>
      <c r="E232" s="66"/>
      <c r="F232" s="66"/>
      <c r="G232" s="65"/>
      <c r="H232" s="65"/>
      <c r="I232" s="65"/>
      <c r="J232" s="65"/>
      <c r="K232" s="106"/>
    </row>
    <row r="233" spans="1:15" ht="30" customHeight="1">
      <c r="A233" s="91"/>
      <c r="B233" s="105" t="s">
        <v>300</v>
      </c>
      <c r="C233" s="105" t="s">
        <v>299</v>
      </c>
      <c r="D233" s="66" t="s">
        <v>175</v>
      </c>
      <c r="E233" s="105">
        <f>E44/2</f>
        <v>22350</v>
      </c>
      <c r="F233" s="105" t="s">
        <v>298</v>
      </c>
      <c r="G233" s="65"/>
      <c r="H233" s="65"/>
      <c r="I233" s="65"/>
      <c r="J233" s="65"/>
      <c r="K233" s="106"/>
    </row>
    <row r="234" spans="1:15" ht="30" customHeight="1">
      <c r="A234" s="91"/>
      <c r="B234" s="66"/>
      <c r="C234" s="66"/>
      <c r="D234" s="108"/>
      <c r="E234" s="66"/>
      <c r="F234" s="66"/>
      <c r="G234" s="65"/>
      <c r="H234" s="65"/>
      <c r="I234" s="65"/>
      <c r="J234" s="65"/>
      <c r="K234" s="106"/>
    </row>
    <row r="235" spans="1:15" ht="30" customHeight="1">
      <c r="A235" s="91"/>
      <c r="B235" s="105" t="s">
        <v>297</v>
      </c>
      <c r="C235" s="105" t="s">
        <v>296</v>
      </c>
      <c r="D235" s="66" t="s">
        <v>175</v>
      </c>
      <c r="E235" s="105">
        <f>E42/10</f>
        <v>10.7</v>
      </c>
      <c r="F235" s="105" t="s">
        <v>293</v>
      </c>
      <c r="G235" s="65"/>
      <c r="H235" s="65"/>
      <c r="I235" s="65"/>
      <c r="J235" s="65"/>
      <c r="K235" s="106"/>
    </row>
    <row r="236" spans="1:15" ht="30" customHeight="1">
      <c r="A236" s="91"/>
      <c r="B236" s="66"/>
      <c r="C236" s="66"/>
      <c r="D236" s="66"/>
      <c r="E236" s="66"/>
      <c r="F236" s="66"/>
      <c r="G236" s="65"/>
      <c r="H236" s="65"/>
      <c r="I236" s="65"/>
      <c r="J236" s="65"/>
      <c r="K236" s="106"/>
    </row>
    <row r="237" spans="1:15" ht="30" customHeight="1">
      <c r="A237" s="91"/>
      <c r="B237" s="105" t="s">
        <v>295</v>
      </c>
      <c r="C237" s="105" t="s">
        <v>294</v>
      </c>
      <c r="D237" s="66" t="s">
        <v>175</v>
      </c>
      <c r="E237" s="105">
        <f>ROUND(2*G34,)/10</f>
        <v>76.900000000000006</v>
      </c>
      <c r="F237" s="105" t="s">
        <v>293</v>
      </c>
      <c r="G237" s="65"/>
      <c r="H237" s="65"/>
      <c r="I237" s="65"/>
      <c r="J237" s="65"/>
      <c r="K237" s="106"/>
      <c r="O237" s="56" t="s">
        <v>292</v>
      </c>
    </row>
    <row r="238" spans="1:15" ht="30" customHeight="1">
      <c r="A238" s="91"/>
      <c r="B238" s="66"/>
      <c r="C238" s="66"/>
      <c r="D238" s="66"/>
      <c r="E238" s="66"/>
      <c r="F238" s="66"/>
      <c r="G238" s="65"/>
      <c r="H238" s="65"/>
      <c r="I238" s="65"/>
      <c r="J238" s="65"/>
      <c r="K238" s="106"/>
    </row>
    <row r="239" spans="1:15" ht="30" customHeight="1">
      <c r="A239" s="91"/>
      <c r="B239" s="109" t="s">
        <v>291</v>
      </c>
      <c r="C239" s="109" t="s">
        <v>290</v>
      </c>
      <c r="D239" s="66" t="s">
        <v>175</v>
      </c>
      <c r="E239" s="110" t="s">
        <v>289</v>
      </c>
      <c r="F239" s="109" t="s">
        <v>288</v>
      </c>
      <c r="G239" s="65"/>
      <c r="H239" s="65"/>
      <c r="I239" s="65"/>
      <c r="J239" s="65"/>
      <c r="K239" s="106"/>
    </row>
    <row r="240" spans="1:15" ht="30" customHeight="1">
      <c r="A240" s="91"/>
      <c r="B240" s="66"/>
      <c r="C240" s="66"/>
      <c r="D240" s="66"/>
      <c r="E240" s="66"/>
      <c r="F240" s="66"/>
      <c r="G240" s="65"/>
      <c r="H240" s="65"/>
      <c r="I240" s="65"/>
      <c r="J240" s="65"/>
      <c r="K240" s="106"/>
    </row>
    <row r="241" spans="1:11" ht="30" customHeight="1">
      <c r="A241" s="91"/>
      <c r="B241" s="105" t="s">
        <v>287</v>
      </c>
      <c r="C241" s="105" t="s">
        <v>256</v>
      </c>
      <c r="D241" s="66" t="s">
        <v>189</v>
      </c>
      <c r="E241" s="105">
        <f>E36/10</f>
        <v>13</v>
      </c>
      <c r="F241" s="105" t="s">
        <v>275</v>
      </c>
      <c r="G241" s="65"/>
      <c r="H241" s="65"/>
      <c r="I241" s="65"/>
      <c r="J241" s="65"/>
      <c r="K241" s="106"/>
    </row>
    <row r="242" spans="1:11" ht="30" customHeight="1">
      <c r="A242" s="91"/>
      <c r="B242" s="66"/>
      <c r="C242" s="66"/>
      <c r="D242" s="66"/>
      <c r="E242" s="66"/>
      <c r="F242" s="66"/>
      <c r="G242" s="65"/>
      <c r="H242" s="168" t="s">
        <v>286</v>
      </c>
      <c r="I242" s="169"/>
      <c r="J242" s="169"/>
      <c r="K242" s="106"/>
    </row>
    <row r="243" spans="1:11" ht="30" customHeight="1">
      <c r="A243" s="91"/>
      <c r="B243" s="105" t="s">
        <v>285</v>
      </c>
      <c r="C243" s="105" t="s">
        <v>284</v>
      </c>
      <c r="D243" s="66" t="s">
        <v>189</v>
      </c>
      <c r="E243" s="105">
        <f>(E32-E30)/10</f>
        <v>16.75</v>
      </c>
      <c r="F243" s="105" t="s">
        <v>275</v>
      </c>
      <c r="G243" s="65"/>
      <c r="H243" s="169"/>
      <c r="I243" s="169"/>
      <c r="J243" s="169"/>
      <c r="K243" s="106"/>
    </row>
    <row r="244" spans="1:11" ht="30" customHeight="1">
      <c r="A244" s="91"/>
      <c r="B244" s="66"/>
      <c r="C244" s="66"/>
      <c r="D244" s="66"/>
      <c r="E244" s="66"/>
      <c r="F244" s="66"/>
      <c r="G244" s="65"/>
      <c r="H244" s="169"/>
      <c r="I244" s="169"/>
      <c r="J244" s="169"/>
      <c r="K244" s="106"/>
    </row>
    <row r="245" spans="1:11" ht="30" customHeight="1">
      <c r="A245" s="91"/>
      <c r="B245" s="105" t="s">
        <v>191</v>
      </c>
      <c r="C245" s="105" t="s">
        <v>283</v>
      </c>
      <c r="D245" s="66" t="s">
        <v>189</v>
      </c>
      <c r="E245" s="105">
        <f>ROUND((1/12)*E241*E243^3,2)</f>
        <v>5091.04</v>
      </c>
      <c r="F245" s="105" t="s">
        <v>282</v>
      </c>
      <c r="G245" s="65"/>
      <c r="H245" s="169"/>
      <c r="I245" s="169"/>
      <c r="J245" s="169"/>
      <c r="K245" s="106"/>
    </row>
    <row r="246" spans="1:11" ht="30" customHeight="1">
      <c r="A246" s="91"/>
      <c r="B246" s="66"/>
      <c r="C246" s="66"/>
      <c r="D246" s="66"/>
      <c r="E246" s="66"/>
      <c r="F246" s="66"/>
      <c r="G246" s="65"/>
      <c r="H246" s="169"/>
      <c r="I246" s="169"/>
      <c r="J246" s="169"/>
      <c r="K246" s="106"/>
    </row>
    <row r="247" spans="1:11" ht="30" customHeight="1">
      <c r="A247" s="91"/>
      <c r="B247" s="105" t="s">
        <v>281</v>
      </c>
      <c r="C247" s="105" t="s">
        <v>280</v>
      </c>
      <c r="D247" s="66" t="s">
        <v>189</v>
      </c>
      <c r="E247" s="105">
        <f>ROUND(((E231*E235^3)/(6*(2.1*10^6)*E245))*(((3*E237)/E235)+2),3)</f>
        <v>0.01</v>
      </c>
      <c r="F247" s="105" t="s">
        <v>275</v>
      </c>
      <c r="G247" s="65"/>
      <c r="H247" s="169"/>
      <c r="I247" s="169"/>
      <c r="J247" s="169"/>
      <c r="K247" s="106"/>
    </row>
    <row r="248" spans="1:11" ht="30" customHeight="1">
      <c r="A248" s="91"/>
      <c r="B248" s="66"/>
      <c r="C248" s="66"/>
      <c r="D248" s="108"/>
      <c r="E248" s="66"/>
      <c r="F248" s="66"/>
      <c r="G248" s="65"/>
      <c r="H248" s="65"/>
      <c r="I248" s="65"/>
      <c r="J248" s="65"/>
      <c r="K248" s="106"/>
    </row>
    <row r="249" spans="1:11" ht="30" customHeight="1">
      <c r="A249" s="91"/>
      <c r="B249" s="105" t="s">
        <v>279</v>
      </c>
      <c r="C249" s="105" t="s">
        <v>278</v>
      </c>
      <c r="D249" s="66" t="s">
        <v>189</v>
      </c>
      <c r="E249" s="105">
        <f>ROUND((E231*E235*E237^2)/(8*(2.1*10^6)*E245),3)</f>
        <v>1.7000000000000001E-2</v>
      </c>
      <c r="F249" s="105" t="s">
        <v>275</v>
      </c>
      <c r="G249" s="65"/>
      <c r="H249" s="65"/>
      <c r="I249" s="65"/>
      <c r="J249" s="65"/>
      <c r="K249" s="106"/>
    </row>
    <row r="250" spans="1:11" ht="30" customHeight="1">
      <c r="A250" s="91"/>
      <c r="B250" s="66"/>
      <c r="C250" s="66"/>
      <c r="D250" s="66"/>
      <c r="E250" s="66"/>
      <c r="F250" s="66"/>
      <c r="G250" s="65"/>
      <c r="H250" s="65"/>
      <c r="I250" s="65"/>
      <c r="J250" s="65"/>
      <c r="K250" s="106"/>
    </row>
    <row r="251" spans="1:11" ht="30" customHeight="1">
      <c r="A251" s="91"/>
      <c r="B251" s="105" t="s">
        <v>277</v>
      </c>
      <c r="C251" s="105" t="s">
        <v>276</v>
      </c>
      <c r="D251" s="66" t="s">
        <v>189</v>
      </c>
      <c r="E251" s="105">
        <f>(E247+E249)*100</f>
        <v>2.7</v>
      </c>
      <c r="F251" s="105" t="s">
        <v>275</v>
      </c>
      <c r="G251" s="65"/>
      <c r="H251" s="65"/>
      <c r="I251" s="65"/>
      <c r="J251" s="65"/>
      <c r="K251" s="106"/>
    </row>
    <row r="252" spans="1:11" ht="30" customHeight="1">
      <c r="A252" s="91"/>
      <c r="B252" s="65"/>
      <c r="C252" s="65"/>
      <c r="D252" s="65"/>
      <c r="E252" s="65"/>
      <c r="F252" s="65"/>
      <c r="G252" s="65"/>
      <c r="H252" s="65"/>
      <c r="I252" s="65"/>
      <c r="J252" s="65"/>
      <c r="K252" s="106"/>
    </row>
    <row r="253" spans="1:11" ht="30" customHeight="1">
      <c r="A253" s="91"/>
      <c r="B253" s="188" t="s">
        <v>246</v>
      </c>
      <c r="C253" s="178"/>
      <c r="D253" s="178"/>
      <c r="E253" s="178"/>
      <c r="F253" s="178"/>
      <c r="G253" s="178"/>
      <c r="H253" s="178"/>
      <c r="I253" s="178"/>
      <c r="J253" s="178"/>
      <c r="K253" s="179"/>
    </row>
    <row r="254" spans="1:11" ht="30" customHeight="1">
      <c r="A254" s="91"/>
      <c r="B254" s="65"/>
      <c r="C254" s="65"/>
      <c r="D254" s="65"/>
      <c r="E254" s="107"/>
      <c r="F254" s="65"/>
      <c r="G254" s="65"/>
      <c r="H254" s="65"/>
      <c r="I254" s="65"/>
      <c r="J254" s="65"/>
      <c r="K254" s="106"/>
    </row>
    <row r="255" spans="1:11" ht="30" customHeight="1">
      <c r="A255" s="91"/>
      <c r="B255" s="196" t="s">
        <v>274</v>
      </c>
      <c r="C255" s="175"/>
      <c r="D255" s="66" t="s">
        <v>189</v>
      </c>
      <c r="E255" s="105">
        <v>6</v>
      </c>
      <c r="F255" s="105" t="s">
        <v>211</v>
      </c>
      <c r="G255" s="65"/>
      <c r="H255" s="186" t="s">
        <v>273</v>
      </c>
      <c r="I255" s="186"/>
      <c r="J255" s="186"/>
      <c r="K255" s="189"/>
    </row>
    <row r="256" spans="1:11" ht="30" customHeight="1">
      <c r="A256" s="91"/>
      <c r="B256" s="176" t="s">
        <v>242</v>
      </c>
      <c r="C256" s="176"/>
      <c r="D256" s="66" t="s">
        <v>189</v>
      </c>
      <c r="E256" s="104" t="str">
        <f>IF(E255&gt;E251,"Design Accepted","Design Not Accepted")</f>
        <v>Design Accepted</v>
      </c>
      <c r="F256" s="66"/>
      <c r="G256" s="65"/>
      <c r="H256" s="186"/>
      <c r="I256" s="186"/>
      <c r="J256" s="186"/>
      <c r="K256" s="189"/>
    </row>
    <row r="257" spans="1:11" ht="30" customHeight="1">
      <c r="A257" s="91"/>
      <c r="B257" s="65"/>
      <c r="C257" s="65"/>
      <c r="D257" s="65"/>
      <c r="E257" s="65"/>
      <c r="F257" s="65"/>
      <c r="G257" s="65"/>
      <c r="H257" s="186"/>
      <c r="I257" s="186"/>
      <c r="J257" s="186"/>
      <c r="K257" s="189"/>
    </row>
    <row r="258" spans="1:11" ht="30" customHeight="1" thickBot="1">
      <c r="A258" s="89"/>
      <c r="B258" s="103"/>
      <c r="C258" s="103"/>
      <c r="D258" s="103"/>
      <c r="E258" s="103"/>
      <c r="F258" s="103"/>
      <c r="G258" s="103"/>
      <c r="H258" s="103"/>
      <c r="I258" s="103"/>
      <c r="J258" s="103"/>
      <c r="K258" s="102"/>
    </row>
    <row r="259" spans="1:11" ht="30" customHeight="1" thickBot="1">
      <c r="B259" s="85"/>
      <c r="I259" s="170" t="s">
        <v>241</v>
      </c>
      <c r="J259" s="180"/>
      <c r="K259" s="84" t="s">
        <v>272</v>
      </c>
    </row>
    <row r="260" spans="1:11" ht="30" customHeight="1">
      <c r="A260" s="101"/>
      <c r="B260" s="100"/>
      <c r="C260" s="100"/>
      <c r="D260" s="100"/>
      <c r="E260" s="100"/>
      <c r="F260" s="100"/>
      <c r="G260" s="100"/>
      <c r="H260" s="100"/>
      <c r="I260" s="100"/>
      <c r="J260" s="100"/>
      <c r="K260" s="99"/>
    </row>
    <row r="261" spans="1:11" ht="30" customHeight="1">
      <c r="A261" s="98"/>
      <c r="B261" s="163" t="s">
        <v>271</v>
      </c>
      <c r="C261" s="163"/>
      <c r="D261" s="163"/>
      <c r="E261" s="163"/>
      <c r="F261" s="163"/>
      <c r="G261" s="163"/>
      <c r="H261" s="163" t="s">
        <v>238</v>
      </c>
      <c r="I261" s="163"/>
      <c r="J261" s="163"/>
      <c r="K261" s="164"/>
    </row>
    <row r="262" spans="1:11" ht="30" hidden="1" customHeight="1">
      <c r="A262" s="63"/>
      <c r="B262" s="97"/>
      <c r="C262" s="97"/>
      <c r="D262" s="97"/>
      <c r="E262" s="97"/>
      <c r="F262" s="97"/>
      <c r="G262" s="97"/>
      <c r="H262" s="97"/>
      <c r="I262" s="97"/>
      <c r="J262" s="97"/>
      <c r="K262" s="96"/>
    </row>
    <row r="263" spans="1:11" ht="30" hidden="1" customHeight="1">
      <c r="A263" s="63"/>
      <c r="B263" s="97"/>
      <c r="C263" s="97"/>
      <c r="D263" s="97"/>
      <c r="E263" s="97"/>
      <c r="F263" s="97"/>
      <c r="G263" s="97"/>
      <c r="H263" s="97"/>
      <c r="I263" s="97"/>
      <c r="J263" s="97"/>
      <c r="K263" s="96"/>
    </row>
    <row r="264" spans="1:11" ht="30" customHeight="1">
      <c r="A264" s="63"/>
      <c r="B264" s="61"/>
      <c r="C264" s="61"/>
      <c r="D264" s="61"/>
      <c r="E264" s="61"/>
      <c r="F264" s="61"/>
      <c r="G264" s="61"/>
      <c r="H264" s="61"/>
      <c r="I264" s="61"/>
      <c r="J264" s="61"/>
      <c r="K264" s="60"/>
    </row>
    <row r="265" spans="1:11" ht="30" customHeight="1">
      <c r="A265" s="63"/>
      <c r="B265" s="61"/>
      <c r="C265" s="61"/>
      <c r="D265" s="61"/>
      <c r="E265" s="61"/>
      <c r="F265" s="61"/>
      <c r="G265" s="61"/>
      <c r="H265" s="61"/>
      <c r="I265" s="61"/>
      <c r="J265" s="61"/>
      <c r="K265" s="60"/>
    </row>
    <row r="266" spans="1:11" ht="30" customHeight="1">
      <c r="A266" s="63"/>
      <c r="B266" s="61"/>
      <c r="C266" s="61"/>
      <c r="D266" s="61"/>
      <c r="E266" s="61"/>
      <c r="F266" s="61"/>
      <c r="G266" s="61"/>
      <c r="H266" s="61"/>
      <c r="I266" s="61"/>
      <c r="J266" s="61"/>
      <c r="K266" s="60"/>
    </row>
    <row r="267" spans="1:11" ht="30" customHeight="1">
      <c r="A267" s="63"/>
      <c r="B267" s="61"/>
      <c r="C267" s="61"/>
      <c r="D267" s="61"/>
      <c r="E267" s="61"/>
      <c r="F267" s="61"/>
      <c r="G267" s="61"/>
      <c r="H267" s="61"/>
      <c r="I267" s="61"/>
      <c r="J267" s="61"/>
      <c r="K267" s="60"/>
    </row>
    <row r="268" spans="1:11" ht="30" customHeight="1">
      <c r="A268" s="63"/>
      <c r="B268" s="61"/>
      <c r="C268" s="61"/>
      <c r="D268" s="61"/>
      <c r="E268" s="61"/>
      <c r="F268" s="61"/>
      <c r="G268" s="61"/>
      <c r="H268" s="61"/>
      <c r="I268" s="61"/>
      <c r="J268" s="61"/>
      <c r="K268" s="60"/>
    </row>
    <row r="269" spans="1:11" ht="30" customHeight="1">
      <c r="A269" s="63"/>
      <c r="B269" s="61"/>
      <c r="C269" s="61"/>
      <c r="D269" s="61"/>
      <c r="E269" s="61"/>
      <c r="F269" s="61"/>
      <c r="G269" s="61"/>
      <c r="H269" s="61"/>
      <c r="I269" s="61"/>
      <c r="J269" s="61"/>
      <c r="K269" s="60"/>
    </row>
    <row r="270" spans="1:11" ht="30" customHeight="1">
      <c r="A270" s="63"/>
      <c r="B270" s="61"/>
      <c r="C270" s="61"/>
      <c r="D270" s="61"/>
      <c r="E270" s="61"/>
      <c r="F270" s="61"/>
      <c r="G270" s="61"/>
      <c r="H270" s="61"/>
      <c r="I270" s="61"/>
      <c r="J270" s="61"/>
      <c r="K270" s="60"/>
    </row>
    <row r="271" spans="1:11" ht="30" customHeight="1">
      <c r="A271" s="63"/>
      <c r="B271" s="61"/>
      <c r="C271" s="61"/>
      <c r="D271" s="61"/>
      <c r="E271" s="61"/>
      <c r="F271" s="61"/>
      <c r="G271" s="61"/>
      <c r="H271" s="61"/>
      <c r="I271" s="61"/>
      <c r="J271" s="61"/>
      <c r="K271" s="60"/>
    </row>
    <row r="272" spans="1:11" ht="30" customHeight="1">
      <c r="A272" s="63"/>
      <c r="B272" s="61"/>
      <c r="C272" s="61"/>
      <c r="D272" s="61"/>
      <c r="E272" s="61"/>
      <c r="F272" s="61"/>
      <c r="G272" s="61"/>
      <c r="H272" s="61"/>
      <c r="I272" s="61"/>
      <c r="J272" s="61"/>
      <c r="K272" s="60"/>
    </row>
    <row r="273" spans="1:18" ht="30" customHeight="1">
      <c r="A273" s="63"/>
      <c r="B273" s="61"/>
      <c r="C273" s="61"/>
      <c r="D273" s="61"/>
      <c r="E273" s="61"/>
      <c r="F273" s="61"/>
      <c r="G273" s="61"/>
      <c r="H273" s="61"/>
      <c r="I273" s="61"/>
      <c r="J273" s="61"/>
      <c r="K273" s="60"/>
    </row>
    <row r="274" spans="1:18" ht="30" customHeight="1">
      <c r="A274" s="63"/>
      <c r="B274" s="61"/>
      <c r="C274" s="61"/>
      <c r="D274" s="61"/>
      <c r="E274" s="61"/>
      <c r="F274" s="61"/>
      <c r="G274" s="61"/>
      <c r="H274" s="61"/>
      <c r="I274" s="61"/>
      <c r="J274" s="61"/>
      <c r="K274" s="60"/>
    </row>
    <row r="275" spans="1:18" ht="21">
      <c r="A275" s="91"/>
      <c r="B275" s="79" t="s">
        <v>237</v>
      </c>
      <c r="C275" s="79" t="s">
        <v>236</v>
      </c>
      <c r="D275" s="76" t="s">
        <v>189</v>
      </c>
      <c r="E275" s="79" t="s">
        <v>270</v>
      </c>
      <c r="F275" s="69"/>
      <c r="G275" s="69"/>
      <c r="H275" s="61"/>
      <c r="I275" s="61"/>
      <c r="J275" s="61"/>
      <c r="K275" s="60"/>
    </row>
    <row r="276" spans="1:18" ht="21">
      <c r="A276" s="91"/>
      <c r="B276" s="76"/>
      <c r="C276" s="76"/>
      <c r="D276" s="76"/>
      <c r="E276" s="76"/>
      <c r="F276" s="69"/>
      <c r="G276" s="69"/>
      <c r="H276" s="61"/>
      <c r="I276" s="61"/>
      <c r="J276" s="61"/>
      <c r="K276" s="60"/>
    </row>
    <row r="277" spans="1:18" ht="21">
      <c r="A277" s="91"/>
      <c r="B277" s="67" t="s">
        <v>234</v>
      </c>
      <c r="C277" s="67" t="s">
        <v>233</v>
      </c>
      <c r="D277" s="76" t="s">
        <v>189</v>
      </c>
      <c r="E277" s="67" t="s">
        <v>232</v>
      </c>
      <c r="F277" s="67" t="s">
        <v>211</v>
      </c>
      <c r="G277" s="69"/>
      <c r="H277" s="61"/>
      <c r="I277" s="61"/>
      <c r="J277" s="61"/>
      <c r="K277" s="60"/>
    </row>
    <row r="278" spans="1:18" ht="21">
      <c r="A278" s="91"/>
      <c r="B278" s="62"/>
      <c r="C278" s="62"/>
      <c r="D278" s="62"/>
      <c r="E278" s="62"/>
      <c r="F278" s="69"/>
      <c r="G278" s="69"/>
      <c r="H278" s="61"/>
      <c r="I278" s="61"/>
      <c r="J278" s="61"/>
      <c r="K278" s="60"/>
    </row>
    <row r="279" spans="1:18" ht="21">
      <c r="A279" s="91"/>
      <c r="B279" s="80" t="s">
        <v>231</v>
      </c>
      <c r="C279" s="67" t="s">
        <v>438</v>
      </c>
      <c r="D279" s="76" t="s">
        <v>189</v>
      </c>
      <c r="E279" s="67">
        <v>275</v>
      </c>
      <c r="F279" s="67" t="s">
        <v>211</v>
      </c>
      <c r="G279" s="61"/>
      <c r="H279" s="61"/>
      <c r="I279" s="61"/>
      <c r="J279" s="61"/>
      <c r="K279" s="60"/>
      <c r="Q279" s="94"/>
      <c r="R279" s="94" t="s">
        <v>214</v>
      </c>
    </row>
    <row r="280" spans="1:18" ht="21">
      <c r="A280" s="91"/>
      <c r="B280" s="62"/>
      <c r="C280" s="62"/>
      <c r="D280" s="62"/>
      <c r="E280" s="62"/>
      <c r="F280" s="69"/>
      <c r="G280" s="61"/>
      <c r="H280" s="61"/>
      <c r="I280" s="61"/>
      <c r="J280" s="61"/>
      <c r="K280" s="60"/>
      <c r="N280" s="222" t="s">
        <v>210</v>
      </c>
      <c r="O280" s="222"/>
      <c r="Q280" s="94" t="s">
        <v>269</v>
      </c>
      <c r="R280" s="94">
        <v>8.3759999999999994</v>
      </c>
    </row>
    <row r="281" spans="1:18" ht="21">
      <c r="A281" s="91"/>
      <c r="B281" s="80" t="s">
        <v>229</v>
      </c>
      <c r="C281" s="67" t="s">
        <v>437</v>
      </c>
      <c r="D281" s="76" t="s">
        <v>189</v>
      </c>
      <c r="E281" s="67">
        <v>470</v>
      </c>
      <c r="F281" s="67" t="s">
        <v>211</v>
      </c>
      <c r="G281" s="61"/>
      <c r="H281" s="61"/>
      <c r="I281" s="61"/>
      <c r="J281" s="61"/>
      <c r="K281" s="60"/>
      <c r="N281" s="55" t="s">
        <v>209</v>
      </c>
      <c r="O281" s="77">
        <f>DEGREES(ATAN((E283-E285)/(E281-E279)))</f>
        <v>12.994616791916506</v>
      </c>
      <c r="Q281" s="94" t="s">
        <v>268</v>
      </c>
      <c r="R281" s="94">
        <v>10.106</v>
      </c>
    </row>
    <row r="282" spans="1:18" ht="21">
      <c r="A282" s="91"/>
      <c r="B282" s="62"/>
      <c r="C282" s="62"/>
      <c r="D282" s="62"/>
      <c r="E282" s="62"/>
      <c r="F282" s="69"/>
      <c r="G282" s="61"/>
      <c r="H282" s="61"/>
      <c r="I282" s="61"/>
      <c r="J282" s="61"/>
      <c r="K282" s="60"/>
      <c r="N282" s="55" t="s">
        <v>212</v>
      </c>
      <c r="O282" s="55">
        <f>E287/(COS(RADIANS(O281)))</f>
        <v>97.496775853230901</v>
      </c>
      <c r="Q282" s="94" t="s">
        <v>267</v>
      </c>
      <c r="R282" s="94">
        <v>13.835000000000001</v>
      </c>
    </row>
    <row r="283" spans="1:18" ht="21">
      <c r="A283" s="91"/>
      <c r="B283" s="80" t="s">
        <v>227</v>
      </c>
      <c r="C283" s="67" t="s">
        <v>446</v>
      </c>
      <c r="D283" s="76" t="s">
        <v>189</v>
      </c>
      <c r="E283" s="67">
        <v>465</v>
      </c>
      <c r="F283" s="67" t="s">
        <v>211</v>
      </c>
      <c r="G283" s="61"/>
      <c r="H283" s="61"/>
      <c r="I283" s="61"/>
      <c r="J283" s="61"/>
      <c r="K283" s="60"/>
      <c r="N283" s="55" t="s">
        <v>256</v>
      </c>
      <c r="O283" s="55">
        <f>(E281-E279)/(COS(RADIANS(O281)))-O282</f>
        <v>102.6281851086641</v>
      </c>
      <c r="Q283" s="94" t="s">
        <v>266</v>
      </c>
      <c r="R283" s="94">
        <v>17.294</v>
      </c>
    </row>
    <row r="284" spans="1:18" ht="21">
      <c r="A284" s="91"/>
      <c r="B284" s="76"/>
      <c r="C284" s="62"/>
      <c r="D284" s="62"/>
      <c r="E284" s="62"/>
      <c r="F284" s="69"/>
      <c r="G284" s="69"/>
      <c r="H284" s="61"/>
      <c r="I284" s="61"/>
      <c r="J284" s="61"/>
      <c r="K284" s="60"/>
      <c r="N284" s="55"/>
      <c r="O284" s="55"/>
      <c r="Q284" s="94" t="s">
        <v>232</v>
      </c>
      <c r="R284" s="94">
        <v>20.751999999999999</v>
      </c>
    </row>
    <row r="285" spans="1:18" ht="21">
      <c r="A285" s="90"/>
      <c r="B285" s="95" t="s">
        <v>170</v>
      </c>
      <c r="C285" s="67" t="s">
        <v>225</v>
      </c>
      <c r="D285" s="76" t="s">
        <v>189</v>
      </c>
      <c r="E285" s="67">
        <v>420</v>
      </c>
      <c r="F285" s="67" t="s">
        <v>211</v>
      </c>
      <c r="G285" s="69"/>
      <c r="H285" s="61"/>
      <c r="I285" s="61"/>
      <c r="J285" s="61"/>
      <c r="K285" s="60"/>
      <c r="N285" s="55"/>
      <c r="O285" s="55"/>
      <c r="Q285" s="94" t="s">
        <v>265</v>
      </c>
      <c r="R285" s="94">
        <v>26.210999999999999</v>
      </c>
    </row>
    <row r="286" spans="1:18" ht="21">
      <c r="A286" s="91"/>
      <c r="B286" s="76"/>
      <c r="C286" s="76"/>
      <c r="D286" s="76"/>
      <c r="E286" s="72"/>
      <c r="F286" s="69"/>
      <c r="G286" s="69"/>
      <c r="H286" s="61"/>
      <c r="I286" s="61"/>
      <c r="J286" s="61"/>
      <c r="K286" s="60"/>
      <c r="N286" s="55"/>
      <c r="O286" s="55"/>
      <c r="Q286" s="94" t="s">
        <v>264</v>
      </c>
      <c r="R286" s="94">
        <v>31.67</v>
      </c>
    </row>
    <row r="287" spans="1:18" ht="21">
      <c r="A287" s="90"/>
      <c r="B287" s="93" t="s">
        <v>223</v>
      </c>
      <c r="C287" s="79" t="s">
        <v>263</v>
      </c>
      <c r="D287" s="76" t="s">
        <v>189</v>
      </c>
      <c r="E287" s="79">
        <v>95</v>
      </c>
      <c r="F287" s="79" t="s">
        <v>211</v>
      </c>
      <c r="G287" s="69"/>
      <c r="H287" s="61"/>
      <c r="I287" s="61"/>
      <c r="J287" s="61"/>
      <c r="K287" s="60"/>
      <c r="Q287" s="94" t="s">
        <v>262</v>
      </c>
      <c r="R287" s="94">
        <v>37.128999999999998</v>
      </c>
    </row>
    <row r="288" spans="1:18" ht="21">
      <c r="A288" s="91"/>
      <c r="B288" s="62"/>
      <c r="C288" s="62"/>
      <c r="D288" s="62"/>
      <c r="E288" s="62"/>
      <c r="F288" s="69"/>
      <c r="G288" s="69"/>
      <c r="H288" s="61"/>
      <c r="I288" s="61"/>
      <c r="J288" s="61"/>
      <c r="K288" s="60"/>
      <c r="Q288" s="94" t="s">
        <v>261</v>
      </c>
      <c r="R288" s="94">
        <v>42.587000000000003</v>
      </c>
    </row>
    <row r="289" spans="1:18" ht="21">
      <c r="A289" s="90"/>
      <c r="B289" s="93" t="s">
        <v>223</v>
      </c>
      <c r="C289" s="79" t="s">
        <v>260</v>
      </c>
      <c r="D289" s="76" t="s">
        <v>189</v>
      </c>
      <c r="E289" s="79">
        <v>86.5</v>
      </c>
      <c r="F289" s="79" t="s">
        <v>211</v>
      </c>
      <c r="G289" s="69"/>
      <c r="H289" s="61"/>
      <c r="I289" s="61"/>
      <c r="J289" s="61"/>
      <c r="K289" s="60"/>
      <c r="Q289" s="94" t="s">
        <v>259</v>
      </c>
      <c r="R289" s="94">
        <v>50.045999999999999</v>
      </c>
    </row>
    <row r="290" spans="1:18" ht="21">
      <c r="A290" s="91"/>
      <c r="B290" s="76"/>
      <c r="C290" s="76"/>
      <c r="D290" s="76"/>
      <c r="E290" s="72"/>
      <c r="F290" s="69"/>
      <c r="G290" s="69"/>
      <c r="H290" s="61"/>
      <c r="I290" s="61"/>
      <c r="J290" s="61"/>
      <c r="K290" s="60"/>
      <c r="Q290" s="94" t="s">
        <v>258</v>
      </c>
      <c r="R290" s="94">
        <v>57.505000000000003</v>
      </c>
    </row>
    <row r="291" spans="1:18" ht="24">
      <c r="A291" s="90"/>
      <c r="B291" s="93" t="s">
        <v>221</v>
      </c>
      <c r="C291" s="79" t="s">
        <v>220</v>
      </c>
      <c r="D291" s="76" t="s">
        <v>189</v>
      </c>
      <c r="E291" s="79">
        <v>70</v>
      </c>
      <c r="F291" s="79" t="s">
        <v>211</v>
      </c>
      <c r="G291" s="69"/>
      <c r="H291" s="61"/>
      <c r="I291" s="61"/>
      <c r="J291" s="61"/>
      <c r="K291" s="60"/>
      <c r="Q291" s="26"/>
      <c r="R291" s="26"/>
    </row>
    <row r="292" spans="1:18" ht="21">
      <c r="A292" s="91"/>
      <c r="B292" s="76"/>
      <c r="C292" s="76"/>
      <c r="D292" s="76"/>
      <c r="E292" s="72"/>
      <c r="F292" s="69"/>
      <c r="G292" s="69"/>
      <c r="H292" s="61"/>
      <c r="I292" s="61"/>
      <c r="J292" s="61"/>
      <c r="K292" s="60"/>
    </row>
    <row r="293" spans="1:18" ht="21">
      <c r="A293" s="90"/>
      <c r="B293" s="92" t="s">
        <v>219</v>
      </c>
      <c r="C293" s="67" t="s">
        <v>218</v>
      </c>
      <c r="D293" s="76" t="s">
        <v>189</v>
      </c>
      <c r="E293" s="67">
        <f>VLOOKUP(E275,N54:P59,2,FALSE)</f>
        <v>7.83</v>
      </c>
      <c r="F293" s="78"/>
      <c r="G293" s="69"/>
      <c r="H293" s="61"/>
      <c r="I293" s="61"/>
      <c r="J293" s="61"/>
      <c r="K293" s="60"/>
    </row>
    <row r="294" spans="1:18" ht="21">
      <c r="A294" s="91"/>
      <c r="B294" s="76"/>
      <c r="C294" s="76"/>
      <c r="D294" s="76"/>
      <c r="E294" s="76"/>
      <c r="F294" s="61"/>
      <c r="G294" s="69"/>
      <c r="H294" s="61"/>
      <c r="I294" s="61"/>
      <c r="J294" s="61"/>
      <c r="K294" s="60"/>
    </row>
    <row r="295" spans="1:18" ht="21">
      <c r="A295" s="90"/>
      <c r="B295" s="92" t="s">
        <v>217</v>
      </c>
      <c r="C295" s="67" t="s">
        <v>216</v>
      </c>
      <c r="D295" s="76" t="s">
        <v>189</v>
      </c>
      <c r="E295" s="67">
        <f>VLOOKUP(E275,N54:P59,3,FALSE)</f>
        <v>85</v>
      </c>
      <c r="F295" s="78"/>
      <c r="G295" s="69"/>
      <c r="H295" s="61"/>
      <c r="I295" s="61"/>
      <c r="J295" s="61"/>
      <c r="K295" s="60"/>
    </row>
    <row r="296" spans="1:18" ht="21">
      <c r="A296" s="91"/>
      <c r="B296" s="76"/>
      <c r="C296" s="76"/>
      <c r="D296" s="76"/>
      <c r="E296" s="76"/>
      <c r="F296" s="69"/>
      <c r="G296" s="69"/>
      <c r="H296" s="61"/>
      <c r="I296" s="61"/>
      <c r="J296" s="61"/>
      <c r="K296" s="60"/>
    </row>
    <row r="297" spans="1:18" ht="30" customHeight="1">
      <c r="A297" s="90"/>
      <c r="B297" s="92" t="s">
        <v>215</v>
      </c>
      <c r="C297" s="67" t="s">
        <v>214</v>
      </c>
      <c r="D297" s="76" t="s">
        <v>189</v>
      </c>
      <c r="E297" s="67">
        <f>VLOOKUP(E277,Q280:R290,2,FALSE)</f>
        <v>20.751999999999999</v>
      </c>
      <c r="F297" s="71" t="s">
        <v>211</v>
      </c>
      <c r="G297" s="69"/>
      <c r="H297" s="61"/>
      <c r="I297" s="61"/>
      <c r="J297" s="61"/>
      <c r="K297" s="60"/>
    </row>
    <row r="298" spans="1:18" ht="21">
      <c r="A298" s="91"/>
      <c r="B298" s="76"/>
      <c r="C298" s="76"/>
      <c r="D298" s="76"/>
      <c r="E298" s="76"/>
      <c r="F298" s="69"/>
      <c r="G298" s="69"/>
      <c r="H298" s="61"/>
      <c r="I298" s="61"/>
      <c r="J298" s="61"/>
      <c r="K298" s="60"/>
    </row>
    <row r="299" spans="1:18" ht="30" customHeight="1">
      <c r="A299" s="90"/>
      <c r="B299" s="92" t="s">
        <v>213</v>
      </c>
      <c r="C299" s="67" t="s">
        <v>212</v>
      </c>
      <c r="D299" s="76" t="s">
        <v>189</v>
      </c>
      <c r="E299" s="74">
        <f>O282</f>
        <v>97.496775853230901</v>
      </c>
      <c r="F299" s="71" t="s">
        <v>211</v>
      </c>
      <c r="G299" s="69"/>
      <c r="H299" s="61"/>
      <c r="I299" s="61"/>
      <c r="J299" s="61"/>
      <c r="K299" s="60"/>
    </row>
    <row r="300" spans="1:18" ht="21">
      <c r="A300" s="91"/>
      <c r="B300" s="73"/>
      <c r="C300" s="62"/>
      <c r="D300" s="62"/>
      <c r="E300" s="72"/>
      <c r="F300" s="69"/>
      <c r="G300" s="69"/>
      <c r="H300" s="61"/>
      <c r="I300" s="61"/>
      <c r="J300" s="61"/>
      <c r="K300" s="60"/>
    </row>
    <row r="301" spans="1:18" ht="30" customHeight="1">
      <c r="A301" s="90"/>
      <c r="B301" s="92" t="s">
        <v>257</v>
      </c>
      <c r="C301" s="67" t="s">
        <v>256</v>
      </c>
      <c r="D301" s="76" t="s">
        <v>189</v>
      </c>
      <c r="E301" s="74">
        <f>O283</f>
        <v>102.6281851086641</v>
      </c>
      <c r="F301" s="71" t="s">
        <v>211</v>
      </c>
      <c r="G301" s="69"/>
      <c r="H301" s="61"/>
      <c r="I301" s="61"/>
      <c r="J301" s="61"/>
      <c r="K301" s="60"/>
    </row>
    <row r="302" spans="1:18" ht="31.5" customHeight="1">
      <c r="A302" s="91"/>
      <c r="B302" s="73"/>
      <c r="C302" s="62"/>
      <c r="D302" s="62"/>
      <c r="E302" s="72"/>
      <c r="F302" s="69"/>
      <c r="G302" s="69"/>
      <c r="H302" s="207" t="s">
        <v>255</v>
      </c>
      <c r="I302" s="207"/>
      <c r="J302" s="207"/>
      <c r="K302" s="208"/>
    </row>
    <row r="303" spans="1:18" ht="30" customHeight="1">
      <c r="A303" s="90"/>
      <c r="B303" s="92" t="s">
        <v>254</v>
      </c>
      <c r="C303" s="67" t="s">
        <v>253</v>
      </c>
      <c r="D303" s="76" t="s">
        <v>189</v>
      </c>
      <c r="E303" s="67">
        <f>E289*E291</f>
        <v>6055</v>
      </c>
      <c r="F303" s="71" t="s">
        <v>198</v>
      </c>
      <c r="G303" s="69"/>
      <c r="H303" s="207"/>
      <c r="I303" s="207"/>
      <c r="J303" s="207"/>
      <c r="K303" s="208"/>
    </row>
    <row r="304" spans="1:18" ht="18.75" customHeight="1">
      <c r="A304" s="91"/>
      <c r="B304" s="73"/>
      <c r="C304" s="62"/>
      <c r="D304" s="62"/>
      <c r="E304" s="72"/>
      <c r="F304" s="69"/>
      <c r="G304" s="69"/>
      <c r="H304" s="207"/>
      <c r="I304" s="207"/>
      <c r="J304" s="207"/>
      <c r="K304" s="208"/>
    </row>
    <row r="305" spans="1:11" ht="30" customHeight="1">
      <c r="A305" s="90"/>
      <c r="B305" s="92" t="s">
        <v>200</v>
      </c>
      <c r="C305" s="67" t="s">
        <v>199</v>
      </c>
      <c r="D305" s="76" t="s">
        <v>189</v>
      </c>
      <c r="E305" s="67">
        <f>ROUND((PI()/4)*(E297^2),1)</f>
        <v>338.2</v>
      </c>
      <c r="F305" s="71" t="s">
        <v>198</v>
      </c>
      <c r="G305" s="69"/>
      <c r="H305" s="207"/>
      <c r="I305" s="207"/>
      <c r="J305" s="207"/>
      <c r="K305" s="208"/>
    </row>
    <row r="306" spans="1:11" ht="18.75" customHeight="1">
      <c r="A306" s="91"/>
      <c r="B306" s="73"/>
      <c r="C306" s="62"/>
      <c r="D306" s="62"/>
      <c r="E306" s="72"/>
      <c r="F306" s="69"/>
      <c r="G306" s="69"/>
      <c r="H306" s="207"/>
      <c r="I306" s="207"/>
      <c r="J306" s="207"/>
      <c r="K306" s="208"/>
    </row>
    <row r="307" spans="1:11" ht="30" customHeight="1">
      <c r="A307" s="90"/>
      <c r="B307" s="92" t="s">
        <v>197</v>
      </c>
      <c r="C307" s="67" t="s">
        <v>196</v>
      </c>
      <c r="D307" s="76" t="s">
        <v>189</v>
      </c>
      <c r="E307" s="67">
        <f>ROUND((E299/E301)*(E44/2),1)</f>
        <v>21232.5</v>
      </c>
      <c r="F307" s="71" t="s">
        <v>195</v>
      </c>
      <c r="G307" s="69"/>
      <c r="H307" s="207"/>
      <c r="I307" s="207"/>
      <c r="J307" s="207"/>
      <c r="K307" s="208"/>
    </row>
    <row r="308" spans="1:11" ht="18.75" customHeight="1">
      <c r="A308" s="91"/>
      <c r="B308" s="73"/>
      <c r="C308" s="62"/>
      <c r="D308" s="62"/>
      <c r="E308" s="72"/>
      <c r="F308" s="69"/>
      <c r="G308" s="69"/>
      <c r="H308" s="207"/>
      <c r="I308" s="207"/>
      <c r="J308" s="207"/>
      <c r="K308" s="208"/>
    </row>
    <row r="309" spans="1:11" ht="23.25" customHeight="1">
      <c r="A309" s="90"/>
      <c r="B309" s="92" t="s">
        <v>194</v>
      </c>
      <c r="C309" s="67" t="s">
        <v>193</v>
      </c>
      <c r="D309" s="62" t="s">
        <v>189</v>
      </c>
      <c r="E309" s="75">
        <f>E307/E305</f>
        <v>62.7808988764045</v>
      </c>
      <c r="F309" s="71" t="s">
        <v>192</v>
      </c>
      <c r="G309" s="69"/>
      <c r="H309" s="207"/>
      <c r="I309" s="207"/>
      <c r="J309" s="207"/>
      <c r="K309" s="208"/>
    </row>
    <row r="310" spans="1:11" ht="21" customHeight="1">
      <c r="A310" s="91"/>
      <c r="B310" s="66"/>
      <c r="C310" s="66"/>
      <c r="D310" s="62"/>
      <c r="E310" s="72"/>
      <c r="F310" s="69"/>
      <c r="G310" s="69"/>
      <c r="H310" s="207"/>
      <c r="I310" s="207"/>
      <c r="J310" s="207"/>
      <c r="K310" s="208"/>
    </row>
    <row r="311" spans="1:11" ht="21" customHeight="1">
      <c r="A311" s="90"/>
      <c r="B311" s="92" t="s">
        <v>191</v>
      </c>
      <c r="C311" s="67" t="s">
        <v>190</v>
      </c>
      <c r="D311" s="62" t="s">
        <v>189</v>
      </c>
      <c r="E311" s="74">
        <f>(E289*E291^2)/6</f>
        <v>70641.666666666672</v>
      </c>
      <c r="F311" s="71" t="s">
        <v>252</v>
      </c>
      <c r="G311" s="69"/>
      <c r="H311" s="207"/>
      <c r="I311" s="207"/>
      <c r="J311" s="207"/>
      <c r="K311" s="208"/>
    </row>
    <row r="312" spans="1:11" ht="21" customHeight="1">
      <c r="A312" s="91"/>
      <c r="B312" s="66"/>
      <c r="C312" s="66"/>
      <c r="D312" s="62"/>
      <c r="E312" s="72"/>
      <c r="F312" s="69"/>
      <c r="G312" s="69"/>
      <c r="H312" s="207"/>
      <c r="I312" s="207"/>
      <c r="J312" s="207"/>
      <c r="K312" s="208"/>
    </row>
    <row r="313" spans="1:11" ht="24" customHeight="1">
      <c r="A313" s="90"/>
      <c r="B313" s="92" t="s">
        <v>194</v>
      </c>
      <c r="C313" s="67" t="s">
        <v>251</v>
      </c>
      <c r="D313" s="62" t="s">
        <v>189</v>
      </c>
      <c r="E313" s="67">
        <f>ROUND(((E44/2)*E287)/E311,3)</f>
        <v>30.056999999999999</v>
      </c>
      <c r="F313" s="71" t="s">
        <v>192</v>
      </c>
      <c r="G313" s="69"/>
      <c r="H313" s="207"/>
      <c r="I313" s="207"/>
      <c r="J313" s="207"/>
      <c r="K313" s="208"/>
    </row>
    <row r="314" spans="1:11" ht="21" customHeight="1">
      <c r="A314" s="91"/>
      <c r="B314" s="66"/>
      <c r="C314" s="66"/>
      <c r="D314" s="62"/>
      <c r="E314" s="72"/>
      <c r="F314" s="69"/>
      <c r="G314" s="69"/>
      <c r="H314" s="207"/>
      <c r="I314" s="207"/>
      <c r="J314" s="207"/>
      <c r="K314" s="208"/>
    </row>
    <row r="315" spans="1:11" ht="23.25" customHeight="1">
      <c r="A315" s="90"/>
      <c r="B315" s="92" t="s">
        <v>250</v>
      </c>
      <c r="C315" s="67" t="s">
        <v>249</v>
      </c>
      <c r="D315" s="62" t="s">
        <v>189</v>
      </c>
      <c r="E315" s="67">
        <f>ROUND((E44/2)/E303,3)</f>
        <v>3.6909999999999998</v>
      </c>
      <c r="F315" s="71" t="s">
        <v>192</v>
      </c>
      <c r="G315" s="69"/>
      <c r="H315" s="207"/>
      <c r="I315" s="207"/>
      <c r="J315" s="207"/>
      <c r="K315" s="208"/>
    </row>
    <row r="316" spans="1:11" ht="18.75" customHeight="1">
      <c r="A316" s="91"/>
      <c r="B316" s="73"/>
      <c r="C316" s="62"/>
      <c r="D316" s="62"/>
      <c r="E316" s="72"/>
      <c r="F316" s="69"/>
      <c r="G316" s="69"/>
      <c r="H316" s="207"/>
      <c r="I316" s="207"/>
      <c r="J316" s="207"/>
      <c r="K316" s="208"/>
    </row>
    <row r="317" spans="1:11" ht="24" customHeight="1">
      <c r="A317" s="90"/>
      <c r="B317" s="92" t="s">
        <v>248</v>
      </c>
      <c r="C317" s="67" t="s">
        <v>247</v>
      </c>
      <c r="D317" s="62" t="s">
        <v>189</v>
      </c>
      <c r="E317" s="67">
        <f>ROUND(SQRT((((2/3)*E313)^2)+(3*E315^2)),3)</f>
        <v>21.033000000000001</v>
      </c>
      <c r="F317" s="71" t="s">
        <v>192</v>
      </c>
      <c r="G317" s="69"/>
      <c r="H317" s="209"/>
      <c r="I317" s="209"/>
      <c r="J317" s="209"/>
      <c r="K317" s="210"/>
    </row>
    <row r="318" spans="1:11">
      <c r="A318" s="91"/>
      <c r="B318" s="70"/>
      <c r="C318" s="61"/>
      <c r="D318" s="61"/>
      <c r="E318" s="69"/>
      <c r="F318" s="69"/>
      <c r="G318" s="69"/>
      <c r="H318" s="61"/>
      <c r="I318" s="61"/>
      <c r="J318" s="61"/>
      <c r="K318" s="60"/>
    </row>
    <row r="319" spans="1:11" ht="21">
      <c r="A319" s="90"/>
      <c r="B319" s="178" t="s">
        <v>246</v>
      </c>
      <c r="C319" s="178"/>
      <c r="D319" s="178"/>
      <c r="E319" s="178"/>
      <c r="F319" s="178"/>
      <c r="G319" s="178"/>
      <c r="H319" s="178"/>
      <c r="I319" s="178"/>
      <c r="J319" s="178"/>
      <c r="K319" s="179"/>
    </row>
    <row r="320" spans="1:11">
      <c r="A320" s="91"/>
      <c r="B320" s="70"/>
      <c r="C320" s="61"/>
      <c r="D320" s="61"/>
      <c r="E320" s="69"/>
      <c r="F320" s="69"/>
      <c r="G320" s="69"/>
      <c r="H320" s="61"/>
      <c r="I320" s="61"/>
      <c r="J320" s="61"/>
      <c r="K320" s="60"/>
    </row>
    <row r="321" spans="1:11" ht="24">
      <c r="A321" s="90"/>
      <c r="B321" s="92" t="s">
        <v>244</v>
      </c>
      <c r="C321" s="67" t="s">
        <v>243</v>
      </c>
      <c r="D321" s="62" t="s">
        <v>189</v>
      </c>
      <c r="E321" s="67">
        <f>0.5*E295</f>
        <v>42.5</v>
      </c>
      <c r="F321" s="67" t="s">
        <v>245</v>
      </c>
      <c r="G321" s="64"/>
      <c r="H321" s="61"/>
      <c r="I321" s="61"/>
      <c r="J321" s="61"/>
      <c r="K321" s="60"/>
    </row>
    <row r="322" spans="1:11" ht="21">
      <c r="A322" s="91"/>
      <c r="B322" s="62"/>
      <c r="C322" s="68"/>
      <c r="D322" s="62"/>
      <c r="E322" s="62"/>
      <c r="F322" s="65"/>
      <c r="G322" s="64"/>
      <c r="H322" s="61"/>
      <c r="I322" s="61"/>
      <c r="J322" s="61"/>
      <c r="K322" s="60"/>
    </row>
    <row r="323" spans="1:11" ht="21">
      <c r="A323" s="90"/>
      <c r="B323" s="223" t="s">
        <v>242</v>
      </c>
      <c r="C323" s="211"/>
      <c r="D323" s="62"/>
      <c r="E323" s="212" t="str">
        <f>IF(E321&gt;E309,"Design Accepted","Design Not Accepted")</f>
        <v>Design Not Accepted</v>
      </c>
      <c r="F323" s="212"/>
      <c r="G323" s="64"/>
      <c r="H323" s="61"/>
      <c r="I323" s="61"/>
      <c r="J323" s="61"/>
      <c r="K323" s="60"/>
    </row>
    <row r="324" spans="1:11" ht="21">
      <c r="A324" s="91"/>
      <c r="B324" s="62"/>
      <c r="C324" s="68"/>
      <c r="D324" s="62"/>
      <c r="E324" s="62"/>
      <c r="F324" s="65"/>
      <c r="G324" s="64"/>
      <c r="H324" s="61"/>
      <c r="I324" s="61"/>
      <c r="J324" s="61"/>
      <c r="K324" s="60"/>
    </row>
    <row r="325" spans="1:11" ht="24">
      <c r="A325" s="90"/>
      <c r="B325" s="92" t="s">
        <v>244</v>
      </c>
      <c r="C325" s="67" t="s">
        <v>243</v>
      </c>
      <c r="D325" s="62" t="s">
        <v>189</v>
      </c>
      <c r="E325" s="67">
        <f>E58/2</f>
        <v>10.5</v>
      </c>
      <c r="F325" s="65"/>
      <c r="G325" s="64"/>
      <c r="H325" s="61"/>
      <c r="I325" s="61"/>
      <c r="J325" s="61"/>
      <c r="K325" s="60"/>
    </row>
    <row r="326" spans="1:11" ht="30" customHeight="1">
      <c r="A326" s="91"/>
      <c r="B326" s="66"/>
      <c r="C326" s="66"/>
      <c r="D326" s="66"/>
      <c r="E326" s="66"/>
      <c r="F326" s="65"/>
      <c r="G326" s="64"/>
      <c r="H326" s="61"/>
      <c r="I326" s="61"/>
      <c r="J326" s="61"/>
      <c r="K326" s="60"/>
    </row>
    <row r="327" spans="1:11" ht="30" customHeight="1">
      <c r="A327" s="90"/>
      <c r="B327" s="223" t="s">
        <v>242</v>
      </c>
      <c r="C327" s="211"/>
      <c r="D327" s="62" t="s">
        <v>175</v>
      </c>
      <c r="E327" s="212" t="str">
        <f>IF(E325&gt;E317,"Design Accepted","Design Not Accepted")</f>
        <v>Design Not Accepted</v>
      </c>
      <c r="F327" s="212"/>
      <c r="G327" s="61"/>
      <c r="H327" s="61"/>
      <c r="I327" s="61"/>
      <c r="J327" s="61"/>
      <c r="K327" s="60"/>
    </row>
    <row r="328" spans="1:11" ht="30" customHeight="1" thickBot="1">
      <c r="A328" s="89"/>
      <c r="B328" s="87"/>
      <c r="C328" s="87"/>
      <c r="D328" s="88"/>
      <c r="E328" s="87"/>
      <c r="F328" s="87"/>
      <c r="G328" s="87"/>
      <c r="H328" s="87"/>
      <c r="I328" s="87"/>
      <c r="J328" s="87"/>
      <c r="K328" s="86"/>
    </row>
    <row r="329" spans="1:11" ht="30" customHeight="1" thickBot="1">
      <c r="B329" s="85"/>
      <c r="I329" s="170" t="s">
        <v>241</v>
      </c>
      <c r="J329" s="180"/>
      <c r="K329" s="84" t="s">
        <v>240</v>
      </c>
    </row>
    <row r="330" spans="1:11">
      <c r="A330" s="83"/>
      <c r="B330" s="82"/>
      <c r="C330" s="82"/>
      <c r="D330" s="82"/>
      <c r="E330" s="82"/>
      <c r="F330" s="82"/>
      <c r="G330" s="82"/>
      <c r="H330" s="82"/>
      <c r="I330" s="82"/>
      <c r="J330" s="82"/>
      <c r="K330" s="81"/>
    </row>
    <row r="331" spans="1:11" ht="30" customHeight="1">
      <c r="A331" s="63"/>
      <c r="B331" s="224" t="s">
        <v>239</v>
      </c>
      <c r="C331" s="225"/>
      <c r="D331" s="225"/>
      <c r="E331" s="225"/>
      <c r="F331" s="225"/>
      <c r="G331" s="225"/>
      <c r="H331" s="225" t="s">
        <v>238</v>
      </c>
      <c r="I331" s="225"/>
      <c r="J331" s="225"/>
      <c r="K331" s="226"/>
    </row>
    <row r="332" spans="1:11" ht="20.100000000000001" customHeight="1">
      <c r="A332" s="63"/>
      <c r="B332" s="61"/>
      <c r="C332" s="61"/>
      <c r="D332" s="61"/>
      <c r="E332" s="61"/>
      <c r="F332" s="61"/>
      <c r="G332" s="61"/>
      <c r="H332" s="61"/>
      <c r="I332" s="61"/>
      <c r="J332" s="61"/>
      <c r="K332" s="60"/>
    </row>
    <row r="333" spans="1:11" ht="20.100000000000001" customHeight="1">
      <c r="A333" s="63"/>
      <c r="B333" s="61"/>
      <c r="C333" s="61"/>
      <c r="D333" s="61"/>
      <c r="E333" s="61"/>
      <c r="F333" s="61"/>
      <c r="G333" s="61"/>
      <c r="H333" s="61"/>
      <c r="I333" s="61"/>
      <c r="J333" s="61"/>
      <c r="K333" s="60"/>
    </row>
    <row r="334" spans="1:11" ht="20.100000000000001" customHeight="1">
      <c r="A334" s="63"/>
      <c r="B334" s="61"/>
      <c r="C334" s="61"/>
      <c r="D334" s="61"/>
      <c r="E334" s="61"/>
      <c r="F334" s="61"/>
      <c r="G334" s="61"/>
      <c r="H334" s="61"/>
      <c r="I334" s="61"/>
      <c r="J334" s="61"/>
      <c r="K334" s="60"/>
    </row>
    <row r="335" spans="1:11" ht="20.100000000000001" customHeight="1">
      <c r="A335" s="63"/>
      <c r="B335" s="61"/>
      <c r="C335" s="61"/>
      <c r="D335" s="61"/>
      <c r="E335" s="61"/>
      <c r="F335" s="61"/>
      <c r="G335" s="61"/>
      <c r="H335" s="61"/>
      <c r="I335" s="61"/>
      <c r="J335" s="61"/>
      <c r="K335" s="60"/>
    </row>
    <row r="336" spans="1:11" ht="20.100000000000001" customHeight="1">
      <c r="A336" s="63"/>
      <c r="B336" s="61"/>
      <c r="C336" s="61"/>
      <c r="D336" s="61"/>
      <c r="E336" s="61"/>
      <c r="F336" s="61"/>
      <c r="G336" s="61"/>
      <c r="H336" s="61"/>
      <c r="I336" s="61"/>
      <c r="J336" s="61"/>
      <c r="K336" s="60"/>
    </row>
    <row r="337" spans="1:11" ht="20.100000000000001" customHeight="1">
      <c r="A337" s="63"/>
      <c r="B337" s="61"/>
      <c r="C337" s="61"/>
      <c r="D337" s="61"/>
      <c r="E337" s="61"/>
      <c r="F337" s="61"/>
      <c r="G337" s="61"/>
      <c r="H337" s="61"/>
      <c r="I337" s="61"/>
      <c r="J337" s="61"/>
      <c r="K337" s="60"/>
    </row>
    <row r="338" spans="1:11" ht="20.100000000000001" customHeight="1">
      <c r="A338" s="63"/>
      <c r="B338" s="61"/>
      <c r="C338" s="61"/>
      <c r="D338" s="61"/>
      <c r="E338" s="61"/>
      <c r="F338" s="61"/>
      <c r="G338" s="61"/>
      <c r="H338" s="61"/>
      <c r="I338" s="61"/>
      <c r="J338" s="61"/>
      <c r="K338" s="60"/>
    </row>
    <row r="339" spans="1:11" ht="20.100000000000001" customHeight="1">
      <c r="A339" s="63"/>
      <c r="B339" s="61"/>
      <c r="C339" s="61"/>
      <c r="D339" s="61"/>
      <c r="E339" s="61"/>
      <c r="F339" s="61"/>
      <c r="G339" s="61"/>
      <c r="H339" s="61"/>
      <c r="I339" s="61"/>
      <c r="J339" s="61"/>
      <c r="K339" s="60"/>
    </row>
    <row r="340" spans="1:11" ht="20.100000000000001" customHeight="1">
      <c r="A340" s="63"/>
      <c r="B340" s="61"/>
      <c r="C340" s="61"/>
      <c r="D340" s="61"/>
      <c r="E340" s="61"/>
      <c r="F340" s="61"/>
      <c r="G340" s="61"/>
      <c r="H340" s="61"/>
      <c r="I340" s="61"/>
      <c r="J340" s="61"/>
      <c r="K340" s="60"/>
    </row>
    <row r="341" spans="1:11" ht="20.100000000000001" customHeight="1">
      <c r="A341" s="63"/>
      <c r="B341" s="61"/>
      <c r="C341" s="61"/>
      <c r="D341" s="61"/>
      <c r="E341" s="61"/>
      <c r="F341" s="61"/>
      <c r="G341" s="61"/>
      <c r="H341" s="61"/>
      <c r="I341" s="61"/>
      <c r="J341" s="61"/>
      <c r="K341" s="60"/>
    </row>
    <row r="342" spans="1:11" ht="20.100000000000001" customHeight="1">
      <c r="A342" s="63"/>
      <c r="B342" s="61"/>
      <c r="C342" s="61"/>
      <c r="D342" s="61"/>
      <c r="E342" s="61"/>
      <c r="F342" s="61"/>
      <c r="G342" s="61"/>
      <c r="H342" s="61"/>
      <c r="I342" s="61"/>
      <c r="J342" s="61"/>
      <c r="K342" s="60"/>
    </row>
    <row r="343" spans="1:11" ht="20.100000000000001" customHeight="1">
      <c r="A343" s="63"/>
      <c r="B343" s="61"/>
      <c r="C343" s="61"/>
      <c r="D343" s="61"/>
      <c r="E343" s="61"/>
      <c r="F343" s="61"/>
      <c r="G343" s="61"/>
      <c r="H343" s="61"/>
      <c r="I343" s="61"/>
      <c r="J343" s="61"/>
      <c r="K343" s="60"/>
    </row>
    <row r="344" spans="1:11" ht="20.100000000000001" customHeight="1">
      <c r="A344" s="63"/>
      <c r="B344" s="61"/>
      <c r="C344" s="61"/>
      <c r="D344" s="61"/>
      <c r="E344" s="61"/>
      <c r="F344" s="61"/>
      <c r="G344" s="61"/>
      <c r="H344" s="61"/>
      <c r="I344" s="61"/>
      <c r="J344" s="61"/>
      <c r="K344" s="60"/>
    </row>
    <row r="345" spans="1:11" ht="20.100000000000001" customHeight="1">
      <c r="A345" s="63"/>
      <c r="B345" s="61"/>
      <c r="C345" s="61"/>
      <c r="D345" s="61"/>
      <c r="E345" s="61"/>
      <c r="F345" s="61"/>
      <c r="G345" s="61"/>
      <c r="H345" s="61"/>
      <c r="I345" s="61"/>
      <c r="J345" s="61"/>
      <c r="K345" s="60"/>
    </row>
    <row r="346" spans="1:11" ht="20.100000000000001" customHeight="1">
      <c r="A346" s="63"/>
      <c r="B346" s="61"/>
      <c r="C346" s="61"/>
      <c r="D346" s="61"/>
      <c r="E346" s="61"/>
      <c r="F346" s="61"/>
      <c r="G346" s="61"/>
      <c r="H346" s="61"/>
      <c r="I346" s="61"/>
      <c r="J346" s="61"/>
      <c r="K346" s="60"/>
    </row>
    <row r="347" spans="1:11" ht="20.100000000000001" customHeight="1">
      <c r="A347" s="63"/>
      <c r="B347" s="61"/>
      <c r="C347" s="61"/>
      <c r="D347" s="61"/>
      <c r="E347" s="61"/>
      <c r="F347" s="61"/>
      <c r="G347" s="61"/>
      <c r="H347" s="61"/>
      <c r="I347" s="61"/>
      <c r="J347" s="61"/>
      <c r="K347" s="60"/>
    </row>
    <row r="348" spans="1:11" ht="20.100000000000001" customHeight="1">
      <c r="A348" s="63"/>
      <c r="B348" s="61"/>
      <c r="C348" s="61"/>
      <c r="D348" s="61"/>
      <c r="E348" s="61"/>
      <c r="F348" s="61"/>
      <c r="G348" s="61"/>
      <c r="H348" s="61"/>
      <c r="I348" s="61"/>
      <c r="J348" s="61"/>
      <c r="K348" s="60"/>
    </row>
    <row r="349" spans="1:11" ht="20.100000000000001" customHeight="1">
      <c r="A349" s="63"/>
      <c r="B349" s="61"/>
      <c r="C349" s="61"/>
      <c r="D349" s="61"/>
      <c r="E349" s="61"/>
      <c r="F349" s="61"/>
      <c r="G349" s="61"/>
      <c r="H349" s="61"/>
      <c r="I349" s="61"/>
      <c r="J349" s="61"/>
      <c r="K349" s="60"/>
    </row>
    <row r="350" spans="1:11" ht="20.100000000000001" customHeight="1">
      <c r="A350" s="63"/>
      <c r="B350" s="61"/>
      <c r="C350" s="61"/>
      <c r="D350" s="61"/>
      <c r="E350" s="61"/>
      <c r="F350" s="61"/>
      <c r="G350" s="61"/>
      <c r="H350" s="61"/>
      <c r="I350" s="61"/>
      <c r="J350" s="61"/>
      <c r="K350" s="60"/>
    </row>
    <row r="351" spans="1:11" ht="20.100000000000001" customHeight="1">
      <c r="A351" s="63"/>
      <c r="B351" s="61"/>
      <c r="C351" s="61"/>
      <c r="D351" s="61"/>
      <c r="E351" s="61"/>
      <c r="F351" s="61"/>
      <c r="G351" s="61"/>
      <c r="H351" s="61"/>
      <c r="I351" s="61"/>
      <c r="J351" s="61"/>
      <c r="K351" s="60"/>
    </row>
    <row r="352" spans="1:11" ht="21">
      <c r="A352" s="63"/>
      <c r="B352" s="79" t="s">
        <v>237</v>
      </c>
      <c r="C352" s="79" t="s">
        <v>236</v>
      </c>
      <c r="D352" s="76" t="s">
        <v>189</v>
      </c>
      <c r="E352" s="79" t="s">
        <v>235</v>
      </c>
      <c r="F352" s="69"/>
      <c r="G352" s="69"/>
      <c r="H352" s="61"/>
      <c r="I352" s="61"/>
      <c r="J352" s="61"/>
      <c r="K352" s="60"/>
    </row>
    <row r="353" spans="1:11" ht="21">
      <c r="A353" s="63"/>
      <c r="B353" s="76"/>
      <c r="C353" s="76"/>
      <c r="D353" s="76"/>
      <c r="E353" s="76"/>
      <c r="F353" s="69"/>
      <c r="G353" s="69"/>
      <c r="H353" s="61"/>
      <c r="I353" s="61"/>
      <c r="J353" s="61"/>
      <c r="K353" s="60"/>
    </row>
    <row r="354" spans="1:11" ht="21">
      <c r="A354" s="63"/>
      <c r="B354" s="67" t="s">
        <v>234</v>
      </c>
      <c r="C354" s="67" t="s">
        <v>233</v>
      </c>
      <c r="D354" s="76" t="s">
        <v>189</v>
      </c>
      <c r="E354" s="67" t="s">
        <v>232</v>
      </c>
      <c r="F354" s="67" t="s">
        <v>211</v>
      </c>
      <c r="G354" s="69"/>
      <c r="H354" s="61"/>
      <c r="I354" s="61"/>
      <c r="J354" s="61"/>
      <c r="K354" s="60"/>
    </row>
    <row r="355" spans="1:11" ht="21">
      <c r="A355" s="63"/>
      <c r="B355" s="62"/>
      <c r="C355" s="62"/>
      <c r="D355" s="62"/>
      <c r="E355" s="62"/>
      <c r="F355" s="69"/>
      <c r="G355" s="69"/>
      <c r="H355" s="61"/>
      <c r="I355" s="61"/>
      <c r="J355" s="61"/>
      <c r="K355" s="60"/>
    </row>
    <row r="356" spans="1:11" ht="21">
      <c r="A356" s="63"/>
      <c r="B356" s="80" t="s">
        <v>231</v>
      </c>
      <c r="C356" s="67" t="s">
        <v>230</v>
      </c>
      <c r="D356" s="76" t="s">
        <v>189</v>
      </c>
      <c r="E356" s="67">
        <v>275</v>
      </c>
      <c r="F356" s="67" t="s">
        <v>211</v>
      </c>
      <c r="G356" s="61"/>
      <c r="H356" s="61"/>
      <c r="I356" s="61"/>
      <c r="J356" s="61"/>
      <c r="K356" s="60"/>
    </row>
    <row r="357" spans="1:11" ht="21">
      <c r="A357" s="63"/>
      <c r="B357" s="62"/>
      <c r="C357" s="62"/>
      <c r="D357" s="62"/>
      <c r="E357" s="62"/>
      <c r="F357" s="69"/>
      <c r="G357" s="61"/>
      <c r="H357" s="61"/>
      <c r="I357" s="61"/>
      <c r="J357" s="61"/>
      <c r="K357" s="60"/>
    </row>
    <row r="358" spans="1:11" ht="21">
      <c r="A358" s="63"/>
      <c r="B358" s="80" t="s">
        <v>229</v>
      </c>
      <c r="C358" s="67" t="s">
        <v>228</v>
      </c>
      <c r="D358" s="76" t="s">
        <v>189</v>
      </c>
      <c r="E358" s="67">
        <v>470</v>
      </c>
      <c r="F358" s="67" t="s">
        <v>211</v>
      </c>
      <c r="G358" s="61"/>
      <c r="H358" s="61"/>
      <c r="I358" s="61"/>
      <c r="J358" s="61"/>
      <c r="K358" s="60"/>
    </row>
    <row r="359" spans="1:11" ht="21">
      <c r="A359" s="63"/>
      <c r="B359" s="62"/>
      <c r="C359" s="62"/>
      <c r="D359" s="62"/>
      <c r="E359" s="62"/>
      <c r="F359" s="69"/>
      <c r="G359" s="61"/>
      <c r="H359" s="61"/>
      <c r="I359" s="61"/>
      <c r="J359" s="61"/>
      <c r="K359" s="60"/>
    </row>
    <row r="360" spans="1:11" ht="21">
      <c r="A360" s="63"/>
      <c r="B360" s="80" t="s">
        <v>227</v>
      </c>
      <c r="C360" s="67" t="s">
        <v>226</v>
      </c>
      <c r="D360" s="76" t="s">
        <v>189</v>
      </c>
      <c r="E360" s="67">
        <v>465</v>
      </c>
      <c r="F360" s="67" t="s">
        <v>211</v>
      </c>
      <c r="G360" s="61"/>
      <c r="H360" s="61"/>
      <c r="I360" s="61"/>
      <c r="J360" s="61"/>
      <c r="K360" s="60"/>
    </row>
    <row r="361" spans="1:11" ht="21">
      <c r="A361" s="63"/>
      <c r="B361" s="76"/>
      <c r="C361" s="62"/>
      <c r="D361" s="62"/>
      <c r="E361" s="62"/>
      <c r="F361" s="69"/>
      <c r="G361" s="69"/>
      <c r="H361" s="61"/>
      <c r="I361" s="61"/>
      <c r="J361" s="61"/>
      <c r="K361" s="60"/>
    </row>
    <row r="362" spans="1:11" ht="16.5" customHeight="1">
      <c r="A362" s="63"/>
      <c r="B362" s="80" t="s">
        <v>170</v>
      </c>
      <c r="C362" s="67" t="s">
        <v>225</v>
      </c>
      <c r="D362" s="76" t="s">
        <v>189</v>
      </c>
      <c r="E362" s="67">
        <v>420</v>
      </c>
      <c r="F362" s="67" t="s">
        <v>211</v>
      </c>
      <c r="G362" s="69"/>
      <c r="H362" s="61"/>
      <c r="I362" s="61"/>
      <c r="J362" s="61"/>
      <c r="K362" s="60"/>
    </row>
    <row r="363" spans="1:11" ht="16.5" customHeight="1">
      <c r="A363" s="63"/>
      <c r="B363" s="76"/>
      <c r="C363" s="76"/>
      <c r="D363" s="76"/>
      <c r="E363" s="72"/>
      <c r="F363" s="69"/>
      <c r="G363" s="69"/>
      <c r="H363" s="61"/>
      <c r="I363" s="61"/>
      <c r="J363" s="61"/>
      <c r="K363" s="60"/>
    </row>
    <row r="364" spans="1:11" ht="21">
      <c r="A364" s="63"/>
      <c r="B364" s="79" t="s">
        <v>223</v>
      </c>
      <c r="C364" s="79" t="s">
        <v>224</v>
      </c>
      <c r="D364" s="76" t="s">
        <v>189</v>
      </c>
      <c r="E364" s="79">
        <v>15</v>
      </c>
      <c r="F364" s="79" t="s">
        <v>211</v>
      </c>
      <c r="G364" s="69"/>
      <c r="H364" s="61"/>
      <c r="I364" s="61"/>
      <c r="J364" s="61"/>
      <c r="K364" s="60"/>
    </row>
    <row r="365" spans="1:11" ht="21">
      <c r="A365" s="63"/>
      <c r="B365" s="62"/>
      <c r="C365" s="62"/>
      <c r="D365" s="62"/>
      <c r="E365" s="62"/>
      <c r="F365" s="69"/>
      <c r="G365" s="69"/>
      <c r="H365" s="61"/>
      <c r="I365" s="61"/>
      <c r="J365" s="61"/>
      <c r="K365" s="60"/>
    </row>
    <row r="366" spans="1:11" ht="21">
      <c r="A366" s="63"/>
      <c r="B366" s="79" t="s">
        <v>223</v>
      </c>
      <c r="C366" s="79" t="s">
        <v>222</v>
      </c>
      <c r="D366" s="76" t="s">
        <v>189</v>
      </c>
      <c r="E366" s="79">
        <v>225</v>
      </c>
      <c r="F366" s="79" t="s">
        <v>211</v>
      </c>
      <c r="G366" s="69"/>
      <c r="H366" s="61"/>
      <c r="I366" s="61"/>
      <c r="J366" s="61"/>
      <c r="K366" s="60"/>
    </row>
    <row r="367" spans="1:11" ht="21">
      <c r="A367" s="63"/>
      <c r="B367" s="76"/>
      <c r="C367" s="76"/>
      <c r="D367" s="76"/>
      <c r="E367" s="72"/>
      <c r="F367" s="69"/>
      <c r="G367" s="69"/>
      <c r="H367" s="61"/>
      <c r="I367" s="61"/>
      <c r="J367" s="61"/>
      <c r="K367" s="60"/>
    </row>
    <row r="368" spans="1:11" ht="24">
      <c r="A368" s="63"/>
      <c r="B368" s="79" t="s">
        <v>221</v>
      </c>
      <c r="C368" s="79" t="s">
        <v>220</v>
      </c>
      <c r="D368" s="76" t="s">
        <v>189</v>
      </c>
      <c r="E368" s="79">
        <v>70</v>
      </c>
      <c r="F368" s="79" t="s">
        <v>211</v>
      </c>
      <c r="G368" s="69"/>
      <c r="H368" s="61"/>
      <c r="I368" s="61"/>
      <c r="J368" s="61"/>
      <c r="K368" s="60"/>
    </row>
    <row r="369" spans="1:15" ht="21">
      <c r="A369" s="63"/>
      <c r="B369" s="76"/>
      <c r="C369" s="76"/>
      <c r="D369" s="76"/>
      <c r="E369" s="72"/>
      <c r="F369" s="69"/>
      <c r="G369" s="69"/>
      <c r="H369" s="61"/>
      <c r="I369" s="61"/>
      <c r="J369" s="61"/>
      <c r="K369" s="60"/>
    </row>
    <row r="370" spans="1:15" ht="21">
      <c r="A370" s="63"/>
      <c r="B370" s="67" t="s">
        <v>219</v>
      </c>
      <c r="C370" s="67" t="s">
        <v>218</v>
      </c>
      <c r="D370" s="76" t="s">
        <v>189</v>
      </c>
      <c r="E370" s="67">
        <f>VLOOKUP(E352,N54:P59,2,FALSE)</f>
        <v>7.83</v>
      </c>
      <c r="F370" s="78"/>
      <c r="G370" s="69"/>
      <c r="H370" s="61"/>
      <c r="I370" s="61"/>
      <c r="J370" s="61"/>
      <c r="K370" s="60"/>
    </row>
    <row r="371" spans="1:15" ht="21">
      <c r="A371" s="63"/>
      <c r="B371" s="76"/>
      <c r="C371" s="76"/>
      <c r="D371" s="76"/>
      <c r="E371" s="76"/>
      <c r="F371" s="61"/>
      <c r="G371" s="69"/>
      <c r="H371" s="61"/>
      <c r="I371" s="61"/>
      <c r="J371" s="61"/>
      <c r="K371" s="60"/>
    </row>
    <row r="372" spans="1:15" ht="21">
      <c r="A372" s="63"/>
      <c r="B372" s="67" t="s">
        <v>217</v>
      </c>
      <c r="C372" s="67" t="s">
        <v>216</v>
      </c>
      <c r="D372" s="76" t="s">
        <v>189</v>
      </c>
      <c r="E372" s="67">
        <f>VLOOKUP(E352,N54:P59,3,FALSE)</f>
        <v>85</v>
      </c>
      <c r="F372" s="78"/>
      <c r="G372" s="69"/>
      <c r="H372" s="61"/>
      <c r="I372" s="61"/>
      <c r="J372" s="61"/>
      <c r="K372" s="60"/>
    </row>
    <row r="373" spans="1:15" ht="21">
      <c r="A373" s="63"/>
      <c r="B373" s="76"/>
      <c r="C373" s="76"/>
      <c r="D373" s="76"/>
      <c r="E373" s="76"/>
      <c r="F373" s="69"/>
      <c r="G373" s="69"/>
      <c r="H373" s="61"/>
      <c r="I373" s="61"/>
      <c r="J373" s="61"/>
      <c r="K373" s="60"/>
    </row>
    <row r="374" spans="1:15" ht="21">
      <c r="A374" s="63"/>
      <c r="B374" s="67" t="s">
        <v>215</v>
      </c>
      <c r="C374" s="67" t="s">
        <v>214</v>
      </c>
      <c r="D374" s="76" t="s">
        <v>189</v>
      </c>
      <c r="E374" s="67">
        <f>VLOOKUP(E354,Q280:R290,2,FALSE)</f>
        <v>20.751999999999999</v>
      </c>
      <c r="F374" s="71" t="s">
        <v>211</v>
      </c>
      <c r="G374" s="69"/>
      <c r="H374" s="61"/>
      <c r="I374" s="61"/>
      <c r="J374" s="61"/>
      <c r="K374" s="60"/>
    </row>
    <row r="375" spans="1:15" ht="21">
      <c r="A375" s="63"/>
      <c r="B375" s="76"/>
      <c r="C375" s="76"/>
      <c r="D375" s="76"/>
      <c r="E375" s="76"/>
      <c r="F375" s="69"/>
      <c r="G375" s="69"/>
      <c r="H375" s="61"/>
      <c r="I375" s="61"/>
      <c r="J375" s="61"/>
      <c r="K375" s="60"/>
    </row>
    <row r="376" spans="1:15" ht="21">
      <c r="A376" s="63"/>
      <c r="B376" s="67" t="s">
        <v>213</v>
      </c>
      <c r="C376" s="67" t="s">
        <v>212</v>
      </c>
      <c r="D376" s="76" t="s">
        <v>189</v>
      </c>
      <c r="E376" s="74">
        <f>O378</f>
        <v>15.394227766299617</v>
      </c>
      <c r="F376" s="71" t="s">
        <v>211</v>
      </c>
      <c r="G376" s="69"/>
      <c r="H376" s="61"/>
      <c r="I376" s="61"/>
      <c r="J376" s="61"/>
      <c r="K376" s="60"/>
      <c r="N376" s="222" t="s">
        <v>210</v>
      </c>
      <c r="O376" s="222"/>
    </row>
    <row r="377" spans="1:15" ht="21">
      <c r="A377" s="63"/>
      <c r="B377" s="73"/>
      <c r="C377" s="62"/>
      <c r="D377" s="62"/>
      <c r="E377" s="72"/>
      <c r="F377" s="69"/>
      <c r="G377" s="69"/>
      <c r="H377" s="61"/>
      <c r="I377" s="61"/>
      <c r="J377" s="61"/>
      <c r="K377" s="60"/>
      <c r="N377" s="55" t="s">
        <v>209</v>
      </c>
      <c r="O377" s="77">
        <f>DEGREES(ATAN((E360-E362)/(E358-E356)))</f>
        <v>12.994616791916506</v>
      </c>
    </row>
    <row r="378" spans="1:15" ht="21">
      <c r="A378" s="63"/>
      <c r="B378" s="67" t="s">
        <v>208</v>
      </c>
      <c r="C378" s="67" t="s">
        <v>205</v>
      </c>
      <c r="D378" s="76" t="s">
        <v>175</v>
      </c>
      <c r="E378" s="74">
        <f>O379</f>
        <v>184.73073319559538</v>
      </c>
      <c r="F378" s="71" t="s">
        <v>207</v>
      </c>
      <c r="G378" s="69"/>
      <c r="H378" s="61"/>
      <c r="I378" s="61"/>
      <c r="J378" s="61"/>
      <c r="K378" s="60"/>
      <c r="N378" s="55" t="s">
        <v>206</v>
      </c>
      <c r="O378" s="55">
        <f>E364/(COS(RADIANS(O377)))</f>
        <v>15.394227766299617</v>
      </c>
    </row>
    <row r="379" spans="1:15" ht="21">
      <c r="A379" s="63"/>
      <c r="B379" s="73"/>
      <c r="C379" s="62"/>
      <c r="D379" s="62"/>
      <c r="E379" s="72"/>
      <c r="F379" s="69"/>
      <c r="G379" s="69"/>
      <c r="H379" s="61"/>
      <c r="I379" s="61"/>
      <c r="J379" s="61"/>
      <c r="K379" s="60"/>
      <c r="N379" s="55" t="s">
        <v>205</v>
      </c>
      <c r="O379" s="55">
        <f>(E358-E356)/(COS(RADIANS(O377)))-O378</f>
        <v>184.73073319559538</v>
      </c>
    </row>
    <row r="380" spans="1:15" ht="24">
      <c r="A380" s="63"/>
      <c r="B380" s="67" t="s">
        <v>204</v>
      </c>
      <c r="C380" s="67" t="s">
        <v>203</v>
      </c>
      <c r="D380" s="76" t="s">
        <v>175</v>
      </c>
      <c r="E380" s="67">
        <f>E366*E368</f>
        <v>15750</v>
      </c>
      <c r="F380" s="71" t="s">
        <v>202</v>
      </c>
      <c r="G380" s="69"/>
      <c r="H380" s="213" t="s">
        <v>201</v>
      </c>
      <c r="I380" s="214"/>
      <c r="J380" s="214"/>
      <c r="K380" s="215"/>
      <c r="N380" s="55"/>
      <c r="O380" s="55"/>
    </row>
    <row r="381" spans="1:15" ht="21">
      <c r="A381" s="63"/>
      <c r="B381" s="73"/>
      <c r="C381" s="62"/>
      <c r="D381" s="62"/>
      <c r="E381" s="72"/>
      <c r="F381" s="69"/>
      <c r="G381" s="69"/>
      <c r="H381" s="216"/>
      <c r="I381" s="217"/>
      <c r="J381" s="217"/>
      <c r="K381" s="218"/>
      <c r="N381" s="55"/>
      <c r="O381" s="55"/>
    </row>
    <row r="382" spans="1:15" ht="24">
      <c r="A382" s="63"/>
      <c r="B382" s="67" t="s">
        <v>200</v>
      </c>
      <c r="C382" s="67" t="s">
        <v>199</v>
      </c>
      <c r="D382" s="76" t="s">
        <v>189</v>
      </c>
      <c r="E382" s="67">
        <f>ROUND((PI()/4)*(E374^2),1)</f>
        <v>338.2</v>
      </c>
      <c r="F382" s="71" t="s">
        <v>198</v>
      </c>
      <c r="G382" s="69"/>
      <c r="H382" s="216"/>
      <c r="I382" s="217"/>
      <c r="J382" s="217"/>
      <c r="K382" s="218"/>
      <c r="N382" s="55"/>
      <c r="O382" s="55"/>
    </row>
    <row r="383" spans="1:15" ht="21">
      <c r="A383" s="63"/>
      <c r="B383" s="73"/>
      <c r="C383" s="62"/>
      <c r="D383" s="62"/>
      <c r="E383" s="72"/>
      <c r="F383" s="69"/>
      <c r="G383" s="69"/>
      <c r="H383" s="216"/>
      <c r="I383" s="217"/>
      <c r="J383" s="217"/>
      <c r="K383" s="218"/>
    </row>
    <row r="384" spans="1:15" ht="21">
      <c r="A384" s="63"/>
      <c r="B384" s="67" t="s">
        <v>197</v>
      </c>
      <c r="C384" s="67" t="s">
        <v>196</v>
      </c>
      <c r="D384" s="76" t="s">
        <v>189</v>
      </c>
      <c r="E384" s="67">
        <f>ROUND((E376/E378)*(E44/2),1)</f>
        <v>1862.5</v>
      </c>
      <c r="F384" s="71" t="s">
        <v>195</v>
      </c>
      <c r="G384" s="69"/>
      <c r="H384" s="216"/>
      <c r="I384" s="217"/>
      <c r="J384" s="217"/>
      <c r="K384" s="218"/>
    </row>
    <row r="385" spans="1:11" ht="21">
      <c r="A385" s="63"/>
      <c r="B385" s="73"/>
      <c r="C385" s="62"/>
      <c r="D385" s="62"/>
      <c r="E385" s="72"/>
      <c r="F385" s="69"/>
      <c r="G385" s="69"/>
      <c r="H385" s="216"/>
      <c r="I385" s="217"/>
      <c r="J385" s="217"/>
      <c r="K385" s="218"/>
    </row>
    <row r="386" spans="1:11" ht="23.25">
      <c r="A386" s="63"/>
      <c r="B386" s="67" t="s">
        <v>194</v>
      </c>
      <c r="C386" s="67" t="s">
        <v>193</v>
      </c>
      <c r="D386" s="62" t="s">
        <v>189</v>
      </c>
      <c r="E386" s="75">
        <f>E384/E382</f>
        <v>5.5070963926670613</v>
      </c>
      <c r="F386" s="71" t="s">
        <v>192</v>
      </c>
      <c r="G386" s="69"/>
      <c r="H386" s="216"/>
      <c r="I386" s="217"/>
      <c r="J386" s="217"/>
      <c r="K386" s="218"/>
    </row>
    <row r="387" spans="1:11" ht="21">
      <c r="A387" s="63"/>
      <c r="B387" s="66"/>
      <c r="C387" s="66"/>
      <c r="D387" s="62"/>
      <c r="E387" s="72"/>
      <c r="F387" s="69"/>
      <c r="G387" s="69"/>
      <c r="H387" s="216"/>
      <c r="I387" s="217"/>
      <c r="J387" s="217"/>
      <c r="K387" s="218"/>
    </row>
    <row r="388" spans="1:11" ht="21">
      <c r="A388" s="63"/>
      <c r="B388" s="67" t="s">
        <v>191</v>
      </c>
      <c r="C388" s="67" t="s">
        <v>190</v>
      </c>
      <c r="D388" s="62" t="s">
        <v>189</v>
      </c>
      <c r="E388" s="74">
        <f>(E366*E368^2)/6</f>
        <v>183750</v>
      </c>
      <c r="F388" s="71" t="s">
        <v>188</v>
      </c>
      <c r="G388" s="69"/>
      <c r="H388" s="216"/>
      <c r="I388" s="217"/>
      <c r="J388" s="217"/>
      <c r="K388" s="218"/>
    </row>
    <row r="389" spans="1:11" ht="21">
      <c r="A389" s="63"/>
      <c r="B389" s="66"/>
      <c r="C389" s="66"/>
      <c r="D389" s="62"/>
      <c r="E389" s="72"/>
      <c r="F389" s="69"/>
      <c r="G389" s="69"/>
      <c r="H389" s="216"/>
      <c r="I389" s="217"/>
      <c r="J389" s="217"/>
      <c r="K389" s="218"/>
    </row>
    <row r="390" spans="1:11" ht="24">
      <c r="A390" s="63"/>
      <c r="B390" s="67" t="s">
        <v>187</v>
      </c>
      <c r="C390" s="67" t="s">
        <v>186</v>
      </c>
      <c r="D390" s="62" t="s">
        <v>175</v>
      </c>
      <c r="E390" s="67">
        <f>ROUND(((E44/2)*E364)/E388,3)</f>
        <v>1.8240000000000001</v>
      </c>
      <c r="F390" s="71" t="s">
        <v>181</v>
      </c>
      <c r="G390" s="69"/>
      <c r="H390" s="216"/>
      <c r="I390" s="217"/>
      <c r="J390" s="217"/>
      <c r="K390" s="218"/>
    </row>
    <row r="391" spans="1:11" ht="21">
      <c r="A391" s="63"/>
      <c r="B391" s="66"/>
      <c r="C391" s="66"/>
      <c r="D391" s="62"/>
      <c r="E391" s="72"/>
      <c r="F391" s="69"/>
      <c r="G391" s="69"/>
      <c r="H391" s="216"/>
      <c r="I391" s="217"/>
      <c r="J391" s="217"/>
      <c r="K391" s="218"/>
    </row>
    <row r="392" spans="1:11" ht="23.25">
      <c r="A392" s="63"/>
      <c r="B392" s="67" t="s">
        <v>185</v>
      </c>
      <c r="C392" s="67" t="s">
        <v>184</v>
      </c>
      <c r="D392" s="62" t="s">
        <v>175</v>
      </c>
      <c r="E392" s="67">
        <f>ROUND((E44/2)/E380,3)</f>
        <v>1.419</v>
      </c>
      <c r="F392" s="71" t="s">
        <v>181</v>
      </c>
      <c r="G392" s="69"/>
      <c r="H392" s="216"/>
      <c r="I392" s="217"/>
      <c r="J392" s="217"/>
      <c r="K392" s="218"/>
    </row>
    <row r="393" spans="1:11" ht="21">
      <c r="A393" s="63"/>
      <c r="B393" s="73"/>
      <c r="C393" s="62"/>
      <c r="D393" s="62"/>
      <c r="E393" s="72"/>
      <c r="F393" s="69"/>
      <c r="G393" s="69"/>
      <c r="H393" s="216"/>
      <c r="I393" s="217"/>
      <c r="J393" s="217"/>
      <c r="K393" s="218"/>
    </row>
    <row r="394" spans="1:11" ht="24">
      <c r="A394" s="63"/>
      <c r="B394" s="67" t="s">
        <v>183</v>
      </c>
      <c r="C394" s="67" t="s">
        <v>182</v>
      </c>
      <c r="D394" s="62" t="s">
        <v>175</v>
      </c>
      <c r="E394" s="67">
        <f>ROUND(SQRT((((2/3)*E390)^2)+(3*E392^2)),3)</f>
        <v>2.742</v>
      </c>
      <c r="F394" s="71" t="s">
        <v>181</v>
      </c>
      <c r="G394" s="69"/>
      <c r="H394" s="219"/>
      <c r="I394" s="220"/>
      <c r="J394" s="220"/>
      <c r="K394" s="221"/>
    </row>
    <row r="395" spans="1:11">
      <c r="A395" s="63"/>
      <c r="B395" s="70"/>
      <c r="C395" s="61"/>
      <c r="D395" s="61"/>
      <c r="E395" s="69"/>
      <c r="F395" s="69"/>
      <c r="G395" s="69"/>
      <c r="H395" s="61"/>
      <c r="I395" s="61"/>
      <c r="J395" s="61"/>
      <c r="K395" s="60"/>
    </row>
    <row r="396" spans="1:11" ht="21">
      <c r="A396" s="63"/>
      <c r="B396" s="188" t="s">
        <v>180</v>
      </c>
      <c r="C396" s="178"/>
      <c r="D396" s="178"/>
      <c r="E396" s="178"/>
      <c r="F396" s="178"/>
      <c r="G396" s="178"/>
      <c r="H396" s="178"/>
      <c r="I396" s="178"/>
      <c r="J396" s="178"/>
      <c r="K396" s="179"/>
    </row>
    <row r="397" spans="1:11">
      <c r="A397" s="63"/>
      <c r="B397" s="70"/>
      <c r="C397" s="61"/>
      <c r="D397" s="61"/>
      <c r="E397" s="69"/>
      <c r="F397" s="69"/>
      <c r="G397" s="69"/>
      <c r="H397" s="61"/>
      <c r="I397" s="61"/>
      <c r="J397" s="61"/>
      <c r="K397" s="60"/>
    </row>
    <row r="398" spans="1:11" ht="24">
      <c r="A398" s="63"/>
      <c r="B398" s="67" t="s">
        <v>178</v>
      </c>
      <c r="C398" s="67" t="s">
        <v>177</v>
      </c>
      <c r="D398" s="62" t="s">
        <v>175</v>
      </c>
      <c r="E398" s="67">
        <f>0.5*E372</f>
        <v>42.5</v>
      </c>
      <c r="F398" s="67" t="s">
        <v>179</v>
      </c>
      <c r="G398" s="64"/>
      <c r="H398" s="61"/>
      <c r="I398" s="61"/>
      <c r="J398" s="61"/>
      <c r="K398" s="60"/>
    </row>
    <row r="399" spans="1:11" ht="21">
      <c r="A399" s="63"/>
      <c r="B399" s="62"/>
      <c r="C399" s="68"/>
      <c r="D399" s="62"/>
      <c r="E399" s="62"/>
      <c r="F399" s="65"/>
      <c r="G399" s="64"/>
      <c r="H399" s="61"/>
      <c r="I399" s="61"/>
      <c r="J399" s="61"/>
      <c r="K399" s="60"/>
    </row>
    <row r="400" spans="1:11" ht="21">
      <c r="A400" s="63"/>
      <c r="B400" s="211" t="s">
        <v>176</v>
      </c>
      <c r="C400" s="211"/>
      <c r="D400" s="62"/>
      <c r="E400" s="212" t="str">
        <f>IF(E398&gt;E386,"Design Accepted","Design Not Accepted")</f>
        <v>Design Accepted</v>
      </c>
      <c r="F400" s="212"/>
      <c r="G400" s="64"/>
      <c r="H400" s="61"/>
      <c r="I400" s="61"/>
      <c r="J400" s="61"/>
      <c r="K400" s="60"/>
    </row>
    <row r="401" spans="1:11" ht="21">
      <c r="A401" s="63"/>
      <c r="B401" s="62"/>
      <c r="C401" s="68"/>
      <c r="D401" s="62"/>
      <c r="E401" s="62"/>
      <c r="F401" s="65"/>
      <c r="G401" s="64"/>
      <c r="H401" s="61"/>
      <c r="I401" s="61"/>
      <c r="J401" s="61"/>
      <c r="K401" s="60"/>
    </row>
    <row r="402" spans="1:11" ht="24">
      <c r="A402" s="63"/>
      <c r="B402" s="67" t="s">
        <v>178</v>
      </c>
      <c r="C402" s="67" t="s">
        <v>177</v>
      </c>
      <c r="D402" s="62" t="s">
        <v>175</v>
      </c>
      <c r="E402" s="67">
        <f>E58/2</f>
        <v>10.5</v>
      </c>
      <c r="F402" s="65"/>
      <c r="G402" s="64"/>
      <c r="H402" s="61"/>
      <c r="I402" s="61"/>
      <c r="J402" s="61"/>
      <c r="K402" s="60"/>
    </row>
    <row r="403" spans="1:11" ht="21">
      <c r="A403" s="63"/>
      <c r="B403" s="66"/>
      <c r="C403" s="66"/>
      <c r="D403" s="66"/>
      <c r="E403" s="66"/>
      <c r="F403" s="65"/>
      <c r="G403" s="64"/>
      <c r="H403" s="61"/>
      <c r="I403" s="61"/>
      <c r="J403" s="61"/>
      <c r="K403" s="60"/>
    </row>
    <row r="404" spans="1:11" ht="21">
      <c r="A404" s="63"/>
      <c r="B404" s="211" t="s">
        <v>176</v>
      </c>
      <c r="C404" s="211"/>
      <c r="D404" s="62" t="s">
        <v>175</v>
      </c>
      <c r="E404" s="212" t="str">
        <f>IF(E402&gt;E394,"Design Accepted","Design Not Accepted")</f>
        <v>Design Accepted</v>
      </c>
      <c r="F404" s="212"/>
      <c r="G404" s="61"/>
      <c r="H404" s="61"/>
      <c r="I404" s="61"/>
      <c r="J404" s="61"/>
      <c r="K404" s="60"/>
    </row>
    <row r="405" spans="1:11" ht="21">
      <c r="A405" s="63"/>
      <c r="B405" s="61"/>
      <c r="C405" s="61"/>
      <c r="D405" s="62"/>
      <c r="E405" s="61"/>
      <c r="F405" s="61"/>
      <c r="G405" s="61"/>
      <c r="H405" s="61"/>
      <c r="I405" s="61"/>
      <c r="J405" s="61"/>
      <c r="K405" s="60"/>
    </row>
    <row r="406" spans="1:11" ht="16.5" thickBot="1">
      <c r="A406" s="59"/>
      <c r="B406" s="58"/>
      <c r="C406" s="58"/>
      <c r="D406" s="58"/>
      <c r="E406" s="58"/>
      <c r="F406" s="58"/>
      <c r="G406" s="58"/>
      <c r="H406" s="58"/>
      <c r="I406" s="58"/>
      <c r="J406" s="58"/>
      <c r="K406" s="57"/>
    </row>
  </sheetData>
  <dataConsolidate/>
  <mergeCells count="58">
    <mergeCell ref="N280:O280"/>
    <mergeCell ref="B323:C323"/>
    <mergeCell ref="B327:C327"/>
    <mergeCell ref="E327:F327"/>
    <mergeCell ref="B331:K331"/>
    <mergeCell ref="E323:F323"/>
    <mergeCell ref="N376:O376"/>
    <mergeCell ref="I329:J329"/>
    <mergeCell ref="B396:K396"/>
    <mergeCell ref="B400:C400"/>
    <mergeCell ref="E400:F400"/>
    <mergeCell ref="I259:J259"/>
    <mergeCell ref="H302:K317"/>
    <mergeCell ref="B319:K319"/>
    <mergeCell ref="B404:C404"/>
    <mergeCell ref="E404:F404"/>
    <mergeCell ref="H380:K394"/>
    <mergeCell ref="B256:C256"/>
    <mergeCell ref="H255:K257"/>
    <mergeCell ref="X106:X107"/>
    <mergeCell ref="M105:X105"/>
    <mergeCell ref="B261:K261"/>
    <mergeCell ref="M106:M107"/>
    <mergeCell ref="N106:T106"/>
    <mergeCell ref="B255:C255"/>
    <mergeCell ref="H158:J165"/>
    <mergeCell ref="B177:K177"/>
    <mergeCell ref="H188:J199"/>
    <mergeCell ref="B171:K171"/>
    <mergeCell ref="W106:W107"/>
    <mergeCell ref="B253:K253"/>
    <mergeCell ref="U106:V106"/>
    <mergeCell ref="B147:K147"/>
    <mergeCell ref="I212:J212"/>
    <mergeCell ref="B201:K201"/>
    <mergeCell ref="H203:K203"/>
    <mergeCell ref="B204:C204"/>
    <mergeCell ref="B139:K139"/>
    <mergeCell ref="B144:C144"/>
    <mergeCell ref="H173:K173"/>
    <mergeCell ref="B174:C174"/>
    <mergeCell ref="C178:D178"/>
    <mergeCell ref="B214:K214"/>
    <mergeCell ref="H143:K143"/>
    <mergeCell ref="G130:J137"/>
    <mergeCell ref="H242:J247"/>
    <mergeCell ref="I1:J1"/>
    <mergeCell ref="I47:J47"/>
    <mergeCell ref="B50:K50"/>
    <mergeCell ref="B91:C91"/>
    <mergeCell ref="G54:J62"/>
    <mergeCell ref="B28:J28"/>
    <mergeCell ref="B97:K97"/>
    <mergeCell ref="B86:K86"/>
    <mergeCell ref="B64:K64"/>
    <mergeCell ref="I95:J95"/>
    <mergeCell ref="C98:D98"/>
    <mergeCell ref="G66:K84"/>
  </mergeCells>
  <phoneticPr fontId="1"/>
  <conditionalFormatting sqref="E91">
    <cfRule type="containsText" dxfId="15" priority="9" operator="containsText" text="Design not Accepted">
      <formula>NOT(ISERROR(SEARCH("Design not Accepted",E91)))</formula>
    </cfRule>
    <cfRule type="containsText" dxfId="14" priority="16" operator="containsText" text="Design Accepted">
      <formula>NOT(ISERROR(SEARCH("Design Accepted",E91)))</formula>
    </cfRule>
  </conditionalFormatting>
  <conditionalFormatting sqref="E144">
    <cfRule type="containsText" dxfId="13" priority="15" operator="containsText" text="Design Accepted">
      <formula>NOT(ISERROR(SEARCH("Design Accepted",E144)))</formula>
    </cfRule>
  </conditionalFormatting>
  <conditionalFormatting sqref="E174">
    <cfRule type="containsText" dxfId="12" priority="14" operator="containsText" text="Design Accepted">
      <formula>NOT(ISERROR(SEARCH("Design Accepted",E174)))</formula>
    </cfRule>
  </conditionalFormatting>
  <conditionalFormatting sqref="E204">
    <cfRule type="containsText" dxfId="11" priority="10" operator="containsText" text="Design Not Accepted">
      <formula>NOT(ISERROR(SEARCH("Design Not Accepted",E204)))</formula>
    </cfRule>
    <cfRule type="containsText" dxfId="10" priority="13" operator="containsText" text="Design Accepted">
      <formula>NOT(ISERROR(SEARCH("Design Accepted",E204)))</formula>
    </cfRule>
  </conditionalFormatting>
  <conditionalFormatting sqref="E256">
    <cfRule type="containsText" dxfId="9" priority="11" operator="containsText" text="Design Not Accepted">
      <formula>NOT(ISERROR(SEARCH("Design Not Accepted",E256)))</formula>
    </cfRule>
    <cfRule type="containsText" dxfId="8" priority="12" operator="containsText" text="Design Accepted">
      <formula>NOT(ISERROR(SEARCH("Design Accepted",E256)))</formula>
    </cfRule>
  </conditionalFormatting>
  <conditionalFormatting sqref="E323">
    <cfRule type="containsText" dxfId="7" priority="7" operator="containsText" text="Design Not Accepted">
      <formula>NOT(ISERROR(SEARCH("Design Not Accepted",E323)))</formula>
    </cfRule>
    <cfRule type="containsText" dxfId="6" priority="8" operator="containsText" text="Design Accepted">
      <formula>NOT(ISERROR(SEARCH("Design Accepted",E323)))</formula>
    </cfRule>
  </conditionalFormatting>
  <conditionalFormatting sqref="E327">
    <cfRule type="containsText" dxfId="5" priority="5" operator="containsText" text="Design Not Accepted">
      <formula>NOT(ISERROR(SEARCH("Design Not Accepted",E327)))</formula>
    </cfRule>
    <cfRule type="containsText" dxfId="4" priority="6" operator="containsText" text="Design Accepted">
      <formula>NOT(ISERROR(SEARCH("Design Accepted",E327)))</formula>
    </cfRule>
  </conditionalFormatting>
  <conditionalFormatting sqref="E404">
    <cfRule type="containsText" dxfId="3" priority="1" operator="containsText" text="Design Not Accepted">
      <formula>NOT(ISERROR(SEARCH("Design Not Accepted",E404)))</formula>
    </cfRule>
    <cfRule type="containsText" dxfId="2" priority="2" operator="containsText" text="Design Accepted">
      <formula>NOT(ISERROR(SEARCH("Design Accepted",E404)))</formula>
    </cfRule>
  </conditionalFormatting>
  <conditionalFormatting sqref="E400">
    <cfRule type="containsText" dxfId="1" priority="3" operator="containsText" text="Design Not Accepted">
      <formula>NOT(ISERROR(SEARCH("Design Not Accepted",E400)))</formula>
    </cfRule>
    <cfRule type="containsText" dxfId="0" priority="4" operator="containsText" text="Design Accepted">
      <formula>NOT(ISERROR(SEARCH("Design Accepted",E400)))</formula>
    </cfRule>
  </conditionalFormatting>
  <dataValidations disablePrompts="1" count="5">
    <dataValidation type="list" allowBlank="1" showInputMessage="1" showErrorMessage="1" sqref="E275 E352">
      <formula1>$N$54:$N$59</formula1>
    </dataValidation>
    <dataValidation type="list" allowBlank="1" showInputMessage="1" showErrorMessage="1" sqref="E276 E353">
      <formula1>$N$63:$N$65</formula1>
    </dataValidation>
    <dataValidation type="list" allowBlank="1" showInputMessage="1" showErrorMessage="1" sqref="E278 E355">
      <formula1>$M$302:$M$312</formula1>
    </dataValidation>
    <dataValidation type="list" allowBlank="1" showInputMessage="1" showErrorMessage="1" sqref="E100">
      <formula1>$N$100</formula1>
    </dataValidation>
    <dataValidation type="list" allowBlank="1" showInputMessage="1" showErrorMessage="1" sqref="E54 E179:E180 E149:E150 E101">
      <formula1>$N$54:$N$61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8" fitToWidth="6" fitToHeight="6" orientation="portrait" r:id="rId1"/>
  <rowBreaks count="5" manualBreakCount="5">
    <brk id="46" max="10" man="1"/>
    <brk id="94" max="10" man="1"/>
    <brk id="211" max="10" man="1"/>
    <brk id="258" max="10" man="1"/>
    <brk id="32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Calculation</vt:lpstr>
      <vt:lpstr>Calculation!Print_Area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2016-06-27T07:14:12Z</dcterms:modified>
</cp:coreProperties>
</file>