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ThisWorkbook"/>
  <mc:AlternateContent xmlns:mc="http://schemas.openxmlformats.org/markup-compatibility/2006">
    <mc:Choice Requires="x15">
      <x15ac:absPath xmlns:x15ac="http://schemas.microsoft.com/office/spreadsheetml/2010/11/ac" url="https://my.shell.com/personal/sankar_sasmal_shell_com/Documents/00-00 My Files/10-19 Project/NapthaReforming/Results/ChemValidation/"/>
    </mc:Choice>
  </mc:AlternateContent>
  <xr:revisionPtr revIDLastSave="3634" documentId="8_{BFB0BD14-425D-42A3-B79B-2772863D5FB9}" xr6:coauthVersionLast="47" xr6:coauthVersionMax="47" xr10:uidLastSave="{6AA21650-9833-4D6C-BE91-F9215DD7CB7F}"/>
  <bookViews>
    <workbookView xWindow="-120" yWindow="-120" windowWidth="29040" windowHeight="15720" firstSheet="8" activeTab="12" xr2:uid="{00000000-000D-0000-FFFF-FFFF00000000}"/>
  </bookViews>
  <sheets>
    <sheet name="Rx. Pr. Calc. with N2" sheetId="46" r:id="rId1"/>
    <sheet name="ETCA data with syn. feed" sheetId="45" r:id="rId2"/>
    <sheet name="Feed Specs. for ATHOS-3" sheetId="44" r:id="rId3"/>
    <sheet name="Catalyst Activation Step" sheetId="43" r:id="rId4"/>
    <sheet name="Catalyst Loading Details" sheetId="42" r:id="rId5"/>
    <sheet name="Exp. Plan for Validation Run" sheetId="41" r:id="rId6"/>
    <sheet name="Synthetic Feed_Calc" sheetId="40" r:id="rId7"/>
    <sheet name="N2 FLOW Callibration" sheetId="33" r:id="rId8"/>
    <sheet name="GC Calibration Data" sheetId="11" r:id="rId9"/>
    <sheet name="RF Factors (applied)" sheetId="10" r:id="rId10"/>
    <sheet name="Feed" sheetId="22" r:id="rId11"/>
    <sheet name="Raw Data" sheetId="1" r:id="rId12"/>
    <sheet name="Reactor1 (5)" sheetId="35" r:id="rId13"/>
    <sheet name="Reactor1" sheetId="34" r:id="rId14"/>
    <sheet name="Sheet1" sheetId="47" r:id="rId15"/>
    <sheet name="Reactor2" sheetId="29" r:id="rId16"/>
    <sheet name="Reactor6" sheetId="36" r:id="rId17"/>
    <sheet name="STCB vs ETCA" sheetId="32" r:id="rId18"/>
    <sheet name="Improvements" sheetId="26" r:id="rId19"/>
  </sheets>
  <definedNames>
    <definedName name="_xlnm._FilterDatabase" localSheetId="11" hidden="1">'Raw Data'!$C$1:$C$171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8" i="35" l="1" a="1"/>
  <c r="E58" i="35" s="1"/>
  <c r="BE89" i="29"/>
  <c r="BE90" i="29"/>
  <c r="BE91" i="29"/>
  <c r="BE92" i="29"/>
  <c r="BE93" i="29"/>
  <c r="BE94" i="29"/>
  <c r="BE95" i="29"/>
  <c r="BE96" i="29"/>
  <c r="BE97" i="29"/>
  <c r="BE98" i="29"/>
  <c r="BE99" i="29"/>
  <c r="BE100" i="29"/>
  <c r="BE101" i="29"/>
  <c r="BE102" i="29"/>
  <c r="BE103" i="29"/>
  <c r="BE104" i="29"/>
  <c r="BE105" i="29"/>
  <c r="BE106" i="29"/>
  <c r="BE88" i="29"/>
  <c r="AS53" i="29"/>
  <c r="L17" i="47"/>
  <c r="L18" i="47" s="1"/>
  <c r="K28" i="11" l="1"/>
  <c r="Q6" i="11"/>
  <c r="Q5" i="11"/>
  <c r="Q4" i="11"/>
  <c r="E14" i="34" l="1"/>
  <c r="E15" i="34"/>
  <c r="E16" i="34"/>
  <c r="E19" i="34"/>
  <c r="E20" i="34"/>
  <c r="D6" i="46"/>
  <c r="D17" i="46" s="1"/>
  <c r="D10" i="46"/>
  <c r="D12" i="46"/>
  <c r="D18" i="46" s="1"/>
  <c r="D16" i="46"/>
  <c r="H14" i="45"/>
  <c r="I14" i="45"/>
  <c r="F39" i="45" s="1"/>
  <c r="H15" i="45"/>
  <c r="I15" i="45"/>
  <c r="F40" i="45" s="1"/>
  <c r="H16" i="45"/>
  <c r="I16" i="45"/>
  <c r="F41" i="45" s="1"/>
  <c r="H17" i="45"/>
  <c r="I17" i="45"/>
  <c r="F42" i="45" s="1"/>
  <c r="H18" i="45"/>
  <c r="I18" i="45"/>
  <c r="F43" i="45" s="1"/>
  <c r="H19" i="45"/>
  <c r="I19" i="45"/>
  <c r="H20" i="45"/>
  <c r="I20" i="45"/>
  <c r="H21" i="45"/>
  <c r="I21" i="45"/>
  <c r="H22" i="45"/>
  <c r="I22" i="45"/>
  <c r="H23" i="45"/>
  <c r="I23" i="45"/>
  <c r="H24" i="45"/>
  <c r="I24" i="45"/>
  <c r="E25" i="45"/>
  <c r="F25" i="45"/>
  <c r="E26" i="45"/>
  <c r="I26" i="45" s="1"/>
  <c r="F26" i="45"/>
  <c r="H27" i="45"/>
  <c r="I27" i="45"/>
  <c r="H28" i="45"/>
  <c r="I28" i="45"/>
  <c r="H29" i="45"/>
  <c r="I29" i="45"/>
  <c r="H30" i="45"/>
  <c r="I30" i="45"/>
  <c r="H31" i="45"/>
  <c r="I31" i="45"/>
  <c r="F32" i="45"/>
  <c r="H32" i="45" s="1"/>
  <c r="I32" i="45"/>
  <c r="C39" i="45"/>
  <c r="D39" i="45" s="1"/>
  <c r="E39" i="45" s="1"/>
  <c r="C40" i="45"/>
  <c r="D40" i="45" s="1"/>
  <c r="E40" i="45" s="1"/>
  <c r="C41" i="45"/>
  <c r="D41" i="45" s="1"/>
  <c r="E41" i="45" s="1"/>
  <c r="C42" i="45"/>
  <c r="D42" i="45" s="1"/>
  <c r="E42" i="45" s="1"/>
  <c r="C43" i="45"/>
  <c r="D43" i="45" s="1"/>
  <c r="E43" i="45" s="1"/>
  <c r="D62" i="45"/>
  <c r="E62" i="45" s="1"/>
  <c r="G62" i="45"/>
  <c r="D63" i="45"/>
  <c r="E63" i="45" s="1"/>
  <c r="G63" i="45"/>
  <c r="D64" i="45"/>
  <c r="E64" i="45" s="1"/>
  <c r="G64" i="45"/>
  <c r="D65" i="45"/>
  <c r="E65" i="45" s="1"/>
  <c r="G65" i="45"/>
  <c r="D66" i="45"/>
  <c r="E66" i="45" s="1"/>
  <c r="G66" i="45"/>
  <c r="C2" i="43"/>
  <c r="M2" i="43" s="1"/>
  <c r="O2" i="43"/>
  <c r="P2" i="43"/>
  <c r="A3" i="43"/>
  <c r="A4" i="43" s="1"/>
  <c r="A5" i="43" s="1"/>
  <c r="A6" i="43" s="1"/>
  <c r="A7" i="43" s="1"/>
  <c r="A8" i="43" s="1"/>
  <c r="A9" i="43" s="1"/>
  <c r="A10" i="43" s="1"/>
  <c r="M3" i="43"/>
  <c r="N3" i="43" s="1"/>
  <c r="P3" i="43"/>
  <c r="B4" i="43"/>
  <c r="M6" i="43" s="1"/>
  <c r="M4" i="43"/>
  <c r="O4" i="43"/>
  <c r="P4" i="43"/>
  <c r="M5" i="43"/>
  <c r="O5" i="43"/>
  <c r="P5" i="43"/>
  <c r="O6" i="43"/>
  <c r="P6" i="43"/>
  <c r="M7" i="43"/>
  <c r="O7" i="43"/>
  <c r="P7" i="43"/>
  <c r="M8" i="43"/>
  <c r="O8" i="43"/>
  <c r="P8" i="43"/>
  <c r="M9" i="43"/>
  <c r="O9" i="43"/>
  <c r="P9" i="43"/>
  <c r="M10" i="43"/>
  <c r="O10" i="43"/>
  <c r="P10" i="43"/>
  <c r="M11" i="43"/>
  <c r="O11" i="43"/>
  <c r="P11" i="43"/>
  <c r="M12" i="43"/>
  <c r="P12" i="43"/>
  <c r="Q12" i="43"/>
  <c r="M13" i="43"/>
  <c r="O13" i="43"/>
  <c r="P13" i="43"/>
  <c r="M14" i="43"/>
  <c r="O14" i="43"/>
  <c r="P14" i="43"/>
  <c r="M15" i="43"/>
  <c r="O15" i="43"/>
  <c r="P15" i="43"/>
  <c r="M16" i="43"/>
  <c r="O16" i="43"/>
  <c r="P16" i="43"/>
  <c r="M17" i="43"/>
  <c r="O17" i="43"/>
  <c r="P17" i="43"/>
  <c r="M18" i="43"/>
  <c r="O18" i="43"/>
  <c r="P18" i="43"/>
  <c r="M19" i="43"/>
  <c r="O19" i="43"/>
  <c r="P19" i="43"/>
  <c r="U7" i="42"/>
  <c r="V7" i="42"/>
  <c r="W7" i="42"/>
  <c r="Q8" i="42"/>
  <c r="AE57" i="42"/>
  <c r="C10" i="41"/>
  <c r="D10" i="41"/>
  <c r="G10" i="41"/>
  <c r="H10" i="41"/>
  <c r="C22" i="41"/>
  <c r="C23" i="41" s="1"/>
  <c r="E5" i="40"/>
  <c r="F5" i="40" s="1"/>
  <c r="E6" i="40"/>
  <c r="F6" i="40" s="1"/>
  <c r="E7" i="40"/>
  <c r="F7" i="40" s="1"/>
  <c r="D8" i="40"/>
  <c r="S14" i="40"/>
  <c r="S15" i="40"/>
  <c r="S16" i="40"/>
  <c r="S17" i="40"/>
  <c r="S18" i="40"/>
  <c r="S19" i="40"/>
  <c r="S20" i="40"/>
  <c r="E25" i="40"/>
  <c r="F25" i="40"/>
  <c r="G25" i="40"/>
  <c r="L25" i="40"/>
  <c r="M25" i="40"/>
  <c r="N25" i="40"/>
  <c r="O25" i="40"/>
  <c r="AP53" i="36"/>
  <c r="AQ53" i="36"/>
  <c r="AR53" i="36"/>
  <c r="AS53" i="36"/>
  <c r="AT53" i="36"/>
  <c r="AU53" i="36"/>
  <c r="AP53" i="29"/>
  <c r="AQ53" i="29"/>
  <c r="AR53" i="29"/>
  <c r="AT53" i="29"/>
  <c r="AU53" i="29"/>
  <c r="N4" i="43" l="1"/>
  <c r="N5" i="43" s="1"/>
  <c r="N6" i="43" s="1"/>
  <c r="N7" i="43" s="1"/>
  <c r="N8" i="43" s="1"/>
  <c r="N9" i="43" s="1"/>
  <c r="N10" i="43" s="1"/>
  <c r="N11" i="43" s="1"/>
  <c r="N12" i="43" s="1"/>
  <c r="N13" i="43" s="1"/>
  <c r="N14" i="43" s="1"/>
  <c r="N15" i="43" s="1"/>
  <c r="N16" i="43" s="1"/>
  <c r="N17" i="43" s="1"/>
  <c r="N18" i="43" s="1"/>
  <c r="N19" i="43" s="1"/>
  <c r="H25" i="45"/>
  <c r="I25" i="45"/>
  <c r="O3" i="43"/>
  <c r="D19" i="46"/>
  <c r="E16" i="46" s="1"/>
  <c r="H26" i="45"/>
  <c r="E25" i="34"/>
  <c r="D11" i="46"/>
  <c r="E17" i="46" l="1"/>
  <c r="E18" i="46"/>
  <c r="E19" i="46"/>
  <c r="D22" i="46"/>
  <c r="D7" i="46"/>
  <c r="D13" i="46"/>
  <c r="E20" i="36"/>
  <c r="E19" i="36"/>
  <c r="E16" i="36"/>
  <c r="E15" i="36"/>
  <c r="E13" i="36"/>
  <c r="E20" i="29"/>
  <c r="E19" i="29"/>
  <c r="E16" i="29"/>
  <c r="E15" i="29"/>
  <c r="E13" i="29"/>
  <c r="AP53" i="34"/>
  <c r="AQ53" i="34"/>
  <c r="AR53" i="34"/>
  <c r="AS53" i="34"/>
  <c r="AT53" i="34"/>
  <c r="AU53" i="34"/>
  <c r="E25" i="36" l="1"/>
  <c r="E25" i="29"/>
  <c r="E12" i="46"/>
  <c r="E10" i="46"/>
  <c r="E11" i="46"/>
  <c r="D23" i="46" s="1"/>
  <c r="E13" i="46" l="1"/>
  <c r="D39" i="32" l="1"/>
  <c r="E39" i="32"/>
  <c r="F39" i="32"/>
  <c r="G39" i="32"/>
  <c r="H39" i="32"/>
  <c r="C39" i="32"/>
  <c r="D49" i="32"/>
  <c r="E49" i="32"/>
  <c r="F49" i="32"/>
  <c r="G49" i="32"/>
  <c r="H49" i="32"/>
  <c r="C49" i="32"/>
  <c r="D48" i="32"/>
  <c r="E48" i="32"/>
  <c r="F48" i="32"/>
  <c r="G48" i="32"/>
  <c r="H48" i="32"/>
  <c r="C48" i="32"/>
  <c r="E86" i="36" a="1"/>
  <c r="E86" i="36" s="1"/>
  <c r="AP86" i="36" s="1"/>
  <c r="AD33" i="32" s="1"/>
  <c r="E85" i="36" a="1"/>
  <c r="E85" i="36" s="1"/>
  <c r="AP85" i="36" s="1"/>
  <c r="AD32" i="32" s="1"/>
  <c r="E84" i="36" a="1"/>
  <c r="E84" i="36" s="1"/>
  <c r="AP84" i="36" s="1"/>
  <c r="E83" i="36" a="1"/>
  <c r="E83" i="36" s="1"/>
  <c r="AP83" i="36" s="1"/>
  <c r="AD17" i="32" s="1"/>
  <c r="AD37" i="32" s="1"/>
  <c r="E82" i="36" a="1"/>
  <c r="E82" i="36" s="1"/>
  <c r="AP82" i="36" s="1"/>
  <c r="AD31" i="32" s="1"/>
  <c r="E81" i="36" a="1"/>
  <c r="E81" i="36" s="1"/>
  <c r="AP81" i="36" s="1"/>
  <c r="AD30" i="32" s="1"/>
  <c r="E80" i="36" a="1"/>
  <c r="E80" i="36" s="1"/>
  <c r="AP80" i="36" s="1"/>
  <c r="E79" i="36" a="1"/>
  <c r="E79" i="36" s="1"/>
  <c r="AP79" i="36" s="1"/>
  <c r="E78" i="36" a="1"/>
  <c r="E78" i="36" s="1"/>
  <c r="AP78" i="36" s="1"/>
  <c r="AD28" i="32" s="1"/>
  <c r="E77" i="36" a="1"/>
  <c r="E77" i="36" s="1"/>
  <c r="AP77" i="36" s="1"/>
  <c r="AD27" i="32" s="1"/>
  <c r="E76" i="36" a="1"/>
  <c r="E76" i="36" s="1"/>
  <c r="AP76" i="36" s="1"/>
  <c r="AD26" i="32" s="1"/>
  <c r="E75" i="36" a="1"/>
  <c r="E75" i="36" s="1"/>
  <c r="AP75" i="36" s="1"/>
  <c r="AD25" i="32" s="1"/>
  <c r="E74" i="36" a="1"/>
  <c r="E74" i="36" s="1"/>
  <c r="AP74" i="36" s="1"/>
  <c r="AD24" i="32" s="1"/>
  <c r="E73" i="36" a="1"/>
  <c r="E73" i="36" s="1"/>
  <c r="AP73" i="36" s="1"/>
  <c r="AD23" i="32" s="1"/>
  <c r="E72" i="36" a="1"/>
  <c r="E72" i="36" s="1"/>
  <c r="AP72" i="36" s="1"/>
  <c r="AD22" i="32" s="1"/>
  <c r="E71" i="36" a="1"/>
  <c r="E71" i="36" s="1"/>
  <c r="AP71" i="36" s="1"/>
  <c r="AD21" i="32" s="1"/>
  <c r="E70" i="36" a="1"/>
  <c r="E70" i="36" s="1"/>
  <c r="AP70" i="36" s="1"/>
  <c r="AD20" i="32" s="1"/>
  <c r="E69" i="36" a="1"/>
  <c r="AU69" i="36" s="1"/>
  <c r="AI19" i="32" s="1"/>
  <c r="E68" i="36" a="1"/>
  <c r="E68" i="36" s="1"/>
  <c r="AP68" i="36" s="1"/>
  <c r="AD18" i="32" s="1"/>
  <c r="AD38" i="32" s="1"/>
  <c r="E86" i="29" a="1"/>
  <c r="AQ86" i="29" s="1"/>
  <c r="X33" i="32" s="1"/>
  <c r="E85" i="29" a="1"/>
  <c r="AQ85" i="29" s="1"/>
  <c r="X32" i="32" s="1"/>
  <c r="E84" i="29" a="1"/>
  <c r="AQ84" i="29" s="1"/>
  <c r="E83" i="29" a="1"/>
  <c r="E83" i="29" s="1"/>
  <c r="AP83" i="29" s="1"/>
  <c r="W17" i="32" s="1"/>
  <c r="W37" i="32" s="1"/>
  <c r="E82" i="29" a="1"/>
  <c r="E82" i="29" s="1"/>
  <c r="AP82" i="29" s="1"/>
  <c r="W31" i="32" s="1"/>
  <c r="E81" i="29" a="1"/>
  <c r="E81" i="29" s="1"/>
  <c r="AP81" i="29" s="1"/>
  <c r="W30" i="32" s="1"/>
  <c r="E80" i="29" a="1"/>
  <c r="E80" i="29" s="1"/>
  <c r="AP80" i="29" s="1"/>
  <c r="E79" i="29" a="1"/>
  <c r="E79" i="29" s="1"/>
  <c r="AP79" i="29" s="1"/>
  <c r="E78" i="29" a="1"/>
  <c r="E78" i="29" s="1"/>
  <c r="AP78" i="29" s="1"/>
  <c r="W28" i="32" s="1"/>
  <c r="E77" i="29" a="1"/>
  <c r="AQ77" i="29" s="1"/>
  <c r="X27" i="32" s="1"/>
  <c r="E76" i="29" a="1"/>
  <c r="AQ76" i="29" s="1"/>
  <c r="X26" i="32" s="1"/>
  <c r="E75" i="29" a="1"/>
  <c r="AQ75" i="29" s="1"/>
  <c r="X25" i="32" s="1"/>
  <c r="E74" i="29" a="1"/>
  <c r="AQ74" i="29" s="1"/>
  <c r="X24" i="32" s="1"/>
  <c r="E73" i="29" a="1"/>
  <c r="AQ73" i="29" s="1"/>
  <c r="X23" i="32" s="1"/>
  <c r="E72" i="29" a="1"/>
  <c r="E72" i="29" s="1"/>
  <c r="AP72" i="29" s="1"/>
  <c r="W22" i="32" s="1"/>
  <c r="E71" i="29" a="1"/>
  <c r="E71" i="29" s="1"/>
  <c r="AP71" i="29" s="1"/>
  <c r="W21" i="32" s="1"/>
  <c r="E70" i="29" a="1"/>
  <c r="E70" i="29" s="1"/>
  <c r="AP70" i="29" s="1"/>
  <c r="W20" i="32" s="1"/>
  <c r="E69" i="29" a="1"/>
  <c r="E69" i="29" s="1"/>
  <c r="AP69" i="29" s="1"/>
  <c r="W19" i="32" s="1"/>
  <c r="E68" i="29" a="1"/>
  <c r="AU68" i="29" s="1"/>
  <c r="AB18" i="32" s="1"/>
  <c r="AB38" i="32" s="1"/>
  <c r="E85" i="34" a="1"/>
  <c r="E85" i="34" s="1"/>
  <c r="AP85" i="34" s="1"/>
  <c r="O32" i="32" s="1"/>
  <c r="E84" i="34" a="1"/>
  <c r="E84" i="34" s="1"/>
  <c r="AP84" i="34" s="1"/>
  <c r="E83" i="34" a="1"/>
  <c r="E83" i="34" s="1"/>
  <c r="AP83" i="34" s="1"/>
  <c r="O17" i="32" s="1"/>
  <c r="O37" i="32" s="1"/>
  <c r="E82" i="34" a="1"/>
  <c r="E82" i="34" s="1"/>
  <c r="AP82" i="34" s="1"/>
  <c r="O31" i="32" s="1"/>
  <c r="E81" i="34" a="1"/>
  <c r="E81" i="34" s="1"/>
  <c r="AP81" i="34" s="1"/>
  <c r="O30" i="32" s="1"/>
  <c r="E80" i="34" a="1"/>
  <c r="E80" i="34" s="1"/>
  <c r="AP80" i="34" s="1"/>
  <c r="E79" i="34" a="1"/>
  <c r="E79" i="34" s="1"/>
  <c r="AP79" i="34" s="1"/>
  <c r="E78" i="34" a="1"/>
  <c r="E78" i="34" s="1"/>
  <c r="AP78" i="34" s="1"/>
  <c r="O28" i="32" s="1"/>
  <c r="E77" i="34" a="1"/>
  <c r="E77" i="34" s="1"/>
  <c r="AP77" i="34" s="1"/>
  <c r="O27" i="32" s="1"/>
  <c r="E76" i="34" a="1"/>
  <c r="E76" i="34" s="1"/>
  <c r="AP76" i="34" s="1"/>
  <c r="O26" i="32" s="1"/>
  <c r="E75" i="34" a="1"/>
  <c r="E75" i="34" s="1"/>
  <c r="AP75" i="34" s="1"/>
  <c r="O25" i="32" s="1"/>
  <c r="E74" i="34" a="1"/>
  <c r="E74" i="34" s="1"/>
  <c r="AP74" i="34" s="1"/>
  <c r="O24" i="32" s="1"/>
  <c r="E73" i="34" a="1"/>
  <c r="E73" i="34" s="1"/>
  <c r="AP73" i="34" s="1"/>
  <c r="O23" i="32" s="1"/>
  <c r="E72" i="34" a="1"/>
  <c r="E72" i="34" s="1"/>
  <c r="AP72" i="34" s="1"/>
  <c r="O22" i="32" s="1"/>
  <c r="E71" i="34" a="1"/>
  <c r="E71" i="34" s="1"/>
  <c r="AP71" i="34" s="1"/>
  <c r="O21" i="32" s="1"/>
  <c r="E70" i="34" a="1"/>
  <c r="AU70" i="34" s="1"/>
  <c r="T20" i="32" s="1"/>
  <c r="E69" i="34" a="1"/>
  <c r="E69" i="34" s="1"/>
  <c r="AP69" i="34" s="1"/>
  <c r="O19" i="32" s="1"/>
  <c r="E68" i="34" a="1"/>
  <c r="AU68" i="34" s="1"/>
  <c r="D44" i="32"/>
  <c r="E44" i="32"/>
  <c r="F44" i="32"/>
  <c r="G44" i="32"/>
  <c r="H44" i="32"/>
  <c r="C44" i="32"/>
  <c r="D53" i="32"/>
  <c r="E53" i="32"/>
  <c r="F53" i="32"/>
  <c r="G53" i="32"/>
  <c r="H53" i="32"/>
  <c r="C53" i="32"/>
  <c r="D52" i="32"/>
  <c r="E52" i="32"/>
  <c r="F52" i="32"/>
  <c r="G52" i="32"/>
  <c r="H52" i="32"/>
  <c r="C52" i="32"/>
  <c r="D51" i="32"/>
  <c r="E51" i="32"/>
  <c r="F51" i="32"/>
  <c r="G51" i="32"/>
  <c r="H51" i="32"/>
  <c r="C51" i="32"/>
  <c r="D43" i="32"/>
  <c r="E43" i="32"/>
  <c r="F43" i="32"/>
  <c r="G43" i="32"/>
  <c r="H43" i="32"/>
  <c r="D45" i="32"/>
  <c r="E45" i="32"/>
  <c r="F45" i="32"/>
  <c r="G45" i="32"/>
  <c r="H45" i="32"/>
  <c r="D46" i="32"/>
  <c r="E46" i="32"/>
  <c r="F46" i="32"/>
  <c r="G46" i="32"/>
  <c r="H46" i="32"/>
  <c r="C46" i="32"/>
  <c r="C45" i="32"/>
  <c r="C43" i="32"/>
  <c r="D38" i="32"/>
  <c r="E38" i="32"/>
  <c r="F38" i="32"/>
  <c r="G38" i="32"/>
  <c r="H38" i="32"/>
  <c r="C38" i="32"/>
  <c r="D37" i="32"/>
  <c r="E37" i="32"/>
  <c r="F37" i="32"/>
  <c r="G37" i="32"/>
  <c r="H37" i="32"/>
  <c r="C37" i="32"/>
  <c r="E66" i="36" a="1"/>
  <c r="E66" i="36" s="1"/>
  <c r="AP66" i="36" s="1"/>
  <c r="AD35" i="32" s="1"/>
  <c r="E58" i="36" a="1"/>
  <c r="E55" i="36" a="1"/>
  <c r="E54" i="36" a="1"/>
  <c r="E50" i="36" a="1"/>
  <c r="E49" i="36" a="1"/>
  <c r="E49" i="36" s="1"/>
  <c r="E46" i="36" a="1"/>
  <c r="E46" i="36" s="1"/>
  <c r="E45" i="36" a="1"/>
  <c r="E45" i="36" s="1"/>
  <c r="C132" i="36"/>
  <c r="E30" i="36"/>
  <c r="E28" i="36"/>
  <c r="E29" i="36" s="1"/>
  <c r="I24" i="36"/>
  <c r="I23" i="36"/>
  <c r="I22" i="36"/>
  <c r="I21" i="36"/>
  <c r="I20" i="36"/>
  <c r="I19" i="36"/>
  <c r="I18" i="36"/>
  <c r="I17" i="36"/>
  <c r="I16" i="36"/>
  <c r="I15" i="36"/>
  <c r="I14" i="36"/>
  <c r="I13" i="36"/>
  <c r="I12" i="36"/>
  <c r="I11" i="36"/>
  <c r="I10" i="36"/>
  <c r="I9" i="36"/>
  <c r="I8" i="36"/>
  <c r="I7" i="36"/>
  <c r="I6" i="36"/>
  <c r="E54" i="36" l="1"/>
  <c r="AP54" i="36" s="1"/>
  <c r="E31" i="36"/>
  <c r="AR54" i="36"/>
  <c r="AS54" i="36"/>
  <c r="AT54" i="36"/>
  <c r="AQ54" i="36"/>
  <c r="AU54" i="36"/>
  <c r="E58" i="36"/>
  <c r="AP58" i="36" s="1"/>
  <c r="E35" i="36"/>
  <c r="AT58" i="36"/>
  <c r="AU58" i="36"/>
  <c r="AQ58" i="36"/>
  <c r="AR58" i="36"/>
  <c r="AS58" i="36"/>
  <c r="E50" i="36"/>
  <c r="AP50" i="36" s="1"/>
  <c r="AU50" i="36"/>
  <c r="AR50" i="36"/>
  <c r="AT50" i="36"/>
  <c r="AS50" i="36"/>
  <c r="AQ50" i="36"/>
  <c r="E55" i="36"/>
  <c r="AP55" i="36" s="1"/>
  <c r="E32" i="36"/>
  <c r="AT55" i="36"/>
  <c r="AQ55" i="36"/>
  <c r="AR55" i="36"/>
  <c r="AU55" i="36"/>
  <c r="AS55" i="36"/>
  <c r="O29" i="32"/>
  <c r="T18" i="32"/>
  <c r="T38" i="32" s="1"/>
  <c r="AD29" i="32"/>
  <c r="AR69" i="34"/>
  <c r="Q19" i="32" s="1"/>
  <c r="AQ83" i="34"/>
  <c r="P17" i="32" s="1"/>
  <c r="P37" i="32" s="1"/>
  <c r="AS79" i="34"/>
  <c r="AU75" i="34"/>
  <c r="T25" i="32" s="1"/>
  <c r="AR70" i="29"/>
  <c r="Y20" i="32" s="1"/>
  <c r="AU85" i="29"/>
  <c r="AB32" i="32" s="1"/>
  <c r="AQ82" i="29"/>
  <c r="X31" i="32" s="1"/>
  <c r="AS78" i="29"/>
  <c r="Z28" i="32" s="1"/>
  <c r="AU74" i="29"/>
  <c r="AB24" i="32" s="1"/>
  <c r="AQ78" i="36"/>
  <c r="AE28" i="32" s="1"/>
  <c r="AR75" i="36"/>
  <c r="AF25" i="32" s="1"/>
  <c r="AS72" i="36"/>
  <c r="AG22" i="32" s="1"/>
  <c r="AT69" i="36"/>
  <c r="AH19" i="32" s="1"/>
  <c r="AS69" i="34"/>
  <c r="R19" i="32" s="1"/>
  <c r="AR79" i="34"/>
  <c r="AT75" i="34"/>
  <c r="S25" i="32" s="1"/>
  <c r="AS70" i="29"/>
  <c r="Z20" i="32" s="1"/>
  <c r="AT85" i="29"/>
  <c r="AA32" i="32" s="1"/>
  <c r="AR78" i="29"/>
  <c r="Y28" i="32" s="1"/>
  <c r="AT74" i="29"/>
  <c r="AA24" i="32" s="1"/>
  <c r="AQ77" i="36"/>
  <c r="AE27" i="32" s="1"/>
  <c r="AR74" i="36"/>
  <c r="AF24" i="32" s="1"/>
  <c r="AS71" i="36"/>
  <c r="AG21" i="32" s="1"/>
  <c r="AU68" i="36"/>
  <c r="AI18" i="32" s="1"/>
  <c r="AI38" i="32" s="1"/>
  <c r="AT69" i="34"/>
  <c r="S19" i="32" s="1"/>
  <c r="AU82" i="34"/>
  <c r="T31" i="32" s="1"/>
  <c r="AQ79" i="34"/>
  <c r="AS75" i="34"/>
  <c r="R25" i="32" s="1"/>
  <c r="AT70" i="29"/>
  <c r="AA20" i="32" s="1"/>
  <c r="AS85" i="29"/>
  <c r="Z32" i="32" s="1"/>
  <c r="AU81" i="29"/>
  <c r="AB30" i="32" s="1"/>
  <c r="AQ78" i="29"/>
  <c r="X28" i="32" s="1"/>
  <c r="AS74" i="29"/>
  <c r="Z24" i="32" s="1"/>
  <c r="AQ76" i="36"/>
  <c r="AE26" i="32" s="1"/>
  <c r="AR73" i="36"/>
  <c r="AF23" i="32" s="1"/>
  <c r="AS70" i="36"/>
  <c r="AG20" i="32" s="1"/>
  <c r="AU86" i="36"/>
  <c r="AI33" i="32" s="1"/>
  <c r="AU69" i="34"/>
  <c r="T19" i="32" s="1"/>
  <c r="T39" i="32" s="1"/>
  <c r="AT82" i="34"/>
  <c r="S31" i="32" s="1"/>
  <c r="AR75" i="34"/>
  <c r="Q25" i="32" s="1"/>
  <c r="AU70" i="29"/>
  <c r="AB20" i="32" s="1"/>
  <c r="AR85" i="29"/>
  <c r="Y32" i="32" s="1"/>
  <c r="AT81" i="29"/>
  <c r="AA30" i="32" s="1"/>
  <c r="AR74" i="29"/>
  <c r="Y24" i="32" s="1"/>
  <c r="AQ75" i="36"/>
  <c r="AE25" i="32" s="1"/>
  <c r="AR72" i="36"/>
  <c r="AF22" i="32" s="1"/>
  <c r="AS69" i="36"/>
  <c r="AG19" i="32" s="1"/>
  <c r="AU85" i="36"/>
  <c r="AI32" i="32" s="1"/>
  <c r="AS82" i="34"/>
  <c r="R31" i="32" s="1"/>
  <c r="AU78" i="34"/>
  <c r="T28" i="32" s="1"/>
  <c r="AQ75" i="34"/>
  <c r="P25" i="32" s="1"/>
  <c r="AS81" i="29"/>
  <c r="Z30" i="32" s="1"/>
  <c r="AU77" i="29"/>
  <c r="AB27" i="32" s="1"/>
  <c r="AQ74" i="36"/>
  <c r="AE24" i="32" s="1"/>
  <c r="AR71" i="36"/>
  <c r="AF21" i="32" s="1"/>
  <c r="AT68" i="36"/>
  <c r="AH18" i="32" s="1"/>
  <c r="AH38" i="32" s="1"/>
  <c r="AU84" i="36"/>
  <c r="AQ66" i="36"/>
  <c r="AE35" i="32" s="1"/>
  <c r="AQ70" i="34"/>
  <c r="P20" i="32" s="1"/>
  <c r="AR82" i="34"/>
  <c r="Q31" i="32" s="1"/>
  <c r="AT78" i="34"/>
  <c r="S28" i="32" s="1"/>
  <c r="AQ71" i="29"/>
  <c r="X21" i="32" s="1"/>
  <c r="AR81" i="29"/>
  <c r="Y30" i="32" s="1"/>
  <c r="AT77" i="29"/>
  <c r="AA27" i="32" s="1"/>
  <c r="AQ73" i="36"/>
  <c r="AE23" i="32" s="1"/>
  <c r="AR70" i="36"/>
  <c r="AF20" i="32" s="1"/>
  <c r="AT86" i="36"/>
  <c r="AH33" i="32" s="1"/>
  <c r="AU83" i="36"/>
  <c r="AI17" i="32" s="1"/>
  <c r="AI37" i="32" s="1"/>
  <c r="AR66" i="36"/>
  <c r="AF35" i="32" s="1"/>
  <c r="AR70" i="34"/>
  <c r="Q20" i="32" s="1"/>
  <c r="AU85" i="34"/>
  <c r="T32" i="32" s="1"/>
  <c r="AQ82" i="34"/>
  <c r="P31" i="32" s="1"/>
  <c r="AS78" i="34"/>
  <c r="R28" i="32" s="1"/>
  <c r="AU74" i="34"/>
  <c r="T24" i="32" s="1"/>
  <c r="AR71" i="29"/>
  <c r="Y21" i="32" s="1"/>
  <c r="AU84" i="29"/>
  <c r="AQ81" i="29"/>
  <c r="X30" i="32" s="1"/>
  <c r="AS77" i="29"/>
  <c r="Z27" i="32" s="1"/>
  <c r="AU73" i="29"/>
  <c r="AB23" i="32" s="1"/>
  <c r="AQ72" i="36"/>
  <c r="AE22" i="32" s="1"/>
  <c r="AR69" i="36"/>
  <c r="AF19" i="32" s="1"/>
  <c r="AT85" i="36"/>
  <c r="AH32" i="32" s="1"/>
  <c r="AU82" i="36"/>
  <c r="AI31" i="32" s="1"/>
  <c r="AS66" i="36"/>
  <c r="AG35" i="32" s="1"/>
  <c r="AS70" i="34"/>
  <c r="R20" i="32" s="1"/>
  <c r="AT85" i="34"/>
  <c r="S32" i="32" s="1"/>
  <c r="AR78" i="34"/>
  <c r="Q28" i="32" s="1"/>
  <c r="AT74" i="34"/>
  <c r="S24" i="32" s="1"/>
  <c r="AS71" i="29"/>
  <c r="Z21" i="32" s="1"/>
  <c r="AT84" i="29"/>
  <c r="AR77" i="29"/>
  <c r="Y27" i="32" s="1"/>
  <c r="AT73" i="29"/>
  <c r="AA23" i="32" s="1"/>
  <c r="AQ71" i="36"/>
  <c r="AE21" i="32" s="1"/>
  <c r="AS68" i="36"/>
  <c r="AG18" i="32" s="1"/>
  <c r="AG38" i="32" s="1"/>
  <c r="AT84" i="36"/>
  <c r="AU81" i="36"/>
  <c r="AI30" i="32" s="1"/>
  <c r="AT66" i="36"/>
  <c r="AH35" i="32" s="1"/>
  <c r="AT70" i="34"/>
  <c r="S20" i="32" s="1"/>
  <c r="AS85" i="34"/>
  <c r="R32" i="32" s="1"/>
  <c r="AU81" i="34"/>
  <c r="T30" i="32" s="1"/>
  <c r="AQ78" i="34"/>
  <c r="P28" i="32" s="1"/>
  <c r="AS74" i="34"/>
  <c r="R24" i="32" s="1"/>
  <c r="AT71" i="29"/>
  <c r="AA21" i="32" s="1"/>
  <c r="AS84" i="29"/>
  <c r="AU80" i="29"/>
  <c r="AS73" i="29"/>
  <c r="Z23" i="32" s="1"/>
  <c r="AQ70" i="36"/>
  <c r="AE20" i="32" s="1"/>
  <c r="AS86" i="36"/>
  <c r="AG33" i="32" s="1"/>
  <c r="AT83" i="36"/>
  <c r="AH17" i="32" s="1"/>
  <c r="AH37" i="32" s="1"/>
  <c r="AU80" i="36"/>
  <c r="AU66" i="36"/>
  <c r="AI35" i="32" s="1"/>
  <c r="AR85" i="34"/>
  <c r="Q32" i="32" s="1"/>
  <c r="AT81" i="34"/>
  <c r="S30" i="32" s="1"/>
  <c r="AR74" i="34"/>
  <c r="Q24" i="32" s="1"/>
  <c r="AQ68" i="29"/>
  <c r="X18" i="32" s="1"/>
  <c r="X38" i="32" s="1"/>
  <c r="AU71" i="29"/>
  <c r="AB21" i="32" s="1"/>
  <c r="AR84" i="29"/>
  <c r="AT80" i="29"/>
  <c r="AR73" i="29"/>
  <c r="Y23" i="32" s="1"/>
  <c r="AQ69" i="36"/>
  <c r="AE19" i="32" s="1"/>
  <c r="AS85" i="36"/>
  <c r="AG32" i="32" s="1"/>
  <c r="AT82" i="36"/>
  <c r="AH31" i="32" s="1"/>
  <c r="AU79" i="36"/>
  <c r="AQ85" i="34"/>
  <c r="P32" i="32" s="1"/>
  <c r="AS81" i="34"/>
  <c r="R30" i="32" s="1"/>
  <c r="AU77" i="34"/>
  <c r="T27" i="32" s="1"/>
  <c r="AQ74" i="34"/>
  <c r="P24" i="32" s="1"/>
  <c r="AR68" i="29"/>
  <c r="Y18" i="32" s="1"/>
  <c r="Y38" i="32" s="1"/>
  <c r="AS80" i="29"/>
  <c r="AU76" i="29"/>
  <c r="AB26" i="32" s="1"/>
  <c r="AR68" i="36"/>
  <c r="AF18" i="32" s="1"/>
  <c r="AF38" i="32" s="1"/>
  <c r="AS84" i="36"/>
  <c r="AT81" i="36"/>
  <c r="AH30" i="32" s="1"/>
  <c r="AU78" i="36"/>
  <c r="AI28" i="32" s="1"/>
  <c r="AQ71" i="34"/>
  <c r="P21" i="32" s="1"/>
  <c r="AR81" i="34"/>
  <c r="Q30" i="32" s="1"/>
  <c r="AT77" i="34"/>
  <c r="S27" i="32" s="1"/>
  <c r="AS68" i="29"/>
  <c r="Z18" i="32" s="1"/>
  <c r="Z38" i="32" s="1"/>
  <c r="AQ72" i="29"/>
  <c r="X22" i="32" s="1"/>
  <c r="AR80" i="29"/>
  <c r="AT76" i="29"/>
  <c r="AA26" i="32" s="1"/>
  <c r="AR86" i="36"/>
  <c r="AF33" i="32" s="1"/>
  <c r="AS83" i="36"/>
  <c r="AG17" i="32" s="1"/>
  <c r="AG37" i="32" s="1"/>
  <c r="AT80" i="36"/>
  <c r="AU77" i="36"/>
  <c r="AI27" i="32" s="1"/>
  <c r="AR71" i="34"/>
  <c r="Q21" i="32" s="1"/>
  <c r="AU84" i="34"/>
  <c r="AQ81" i="34"/>
  <c r="P30" i="32" s="1"/>
  <c r="AS77" i="34"/>
  <c r="R27" i="32" s="1"/>
  <c r="AU73" i="34"/>
  <c r="T23" i="32" s="1"/>
  <c r="AT68" i="29"/>
  <c r="AA18" i="32" s="1"/>
  <c r="AA38" i="32" s="1"/>
  <c r="AR72" i="29"/>
  <c r="Y22" i="32" s="1"/>
  <c r="AU83" i="29"/>
  <c r="AB17" i="32" s="1"/>
  <c r="AB37" i="32" s="1"/>
  <c r="AQ80" i="29"/>
  <c r="AS76" i="29"/>
  <c r="Z26" i="32" s="1"/>
  <c r="AR85" i="36"/>
  <c r="AF32" i="32" s="1"/>
  <c r="AS82" i="36"/>
  <c r="AG31" i="32" s="1"/>
  <c r="AT79" i="36"/>
  <c r="AU76" i="36"/>
  <c r="AI26" i="32" s="1"/>
  <c r="AS71" i="34"/>
  <c r="R21" i="32" s="1"/>
  <c r="AT84" i="34"/>
  <c r="AR77" i="34"/>
  <c r="Q27" i="32" s="1"/>
  <c r="AT73" i="34"/>
  <c r="S23" i="32" s="1"/>
  <c r="AS72" i="29"/>
  <c r="Z22" i="32" s="1"/>
  <c r="AT83" i="29"/>
  <c r="AA17" i="32" s="1"/>
  <c r="AA37" i="32" s="1"/>
  <c r="AR76" i="29"/>
  <c r="Y26" i="32" s="1"/>
  <c r="AQ68" i="36"/>
  <c r="AE18" i="32" s="1"/>
  <c r="AE38" i="32" s="1"/>
  <c r="AR84" i="36"/>
  <c r="AS81" i="36"/>
  <c r="AG30" i="32" s="1"/>
  <c r="AT78" i="36"/>
  <c r="AH28" i="32" s="1"/>
  <c r="AU75" i="36"/>
  <c r="AI25" i="32" s="1"/>
  <c r="AT71" i="34"/>
  <c r="S21" i="32" s="1"/>
  <c r="AS84" i="34"/>
  <c r="AU80" i="34"/>
  <c r="AQ77" i="34"/>
  <c r="P27" i="32" s="1"/>
  <c r="AS73" i="34"/>
  <c r="R23" i="32" s="1"/>
  <c r="AT72" i="29"/>
  <c r="AA22" i="32" s="1"/>
  <c r="AS83" i="29"/>
  <c r="Z17" i="32" s="1"/>
  <c r="Z37" i="32" s="1"/>
  <c r="AU79" i="29"/>
  <c r="AQ86" i="36"/>
  <c r="AE33" i="32" s="1"/>
  <c r="AR83" i="36"/>
  <c r="AF17" i="32" s="1"/>
  <c r="AF37" i="32" s="1"/>
  <c r="AS80" i="36"/>
  <c r="AT77" i="36"/>
  <c r="AH27" i="32" s="1"/>
  <c r="AU74" i="36"/>
  <c r="AI24" i="32" s="1"/>
  <c r="AQ68" i="34"/>
  <c r="AU71" i="34"/>
  <c r="T21" i="32" s="1"/>
  <c r="AR84" i="34"/>
  <c r="AT80" i="34"/>
  <c r="AR73" i="34"/>
  <c r="Q23" i="32" s="1"/>
  <c r="AQ69" i="29"/>
  <c r="X19" i="32" s="1"/>
  <c r="AU72" i="29"/>
  <c r="AB22" i="32" s="1"/>
  <c r="AR83" i="29"/>
  <c r="Y17" i="32" s="1"/>
  <c r="Y37" i="32" s="1"/>
  <c r="AT79" i="29"/>
  <c r="AQ85" i="36"/>
  <c r="AE32" i="32" s="1"/>
  <c r="AR82" i="36"/>
  <c r="AF31" i="32" s="1"/>
  <c r="AS79" i="36"/>
  <c r="AT76" i="36"/>
  <c r="AH26" i="32" s="1"/>
  <c r="AU73" i="36"/>
  <c r="AI23" i="32" s="1"/>
  <c r="AR68" i="34"/>
  <c r="AQ84" i="34"/>
  <c r="AS80" i="34"/>
  <c r="AU76" i="34"/>
  <c r="T26" i="32" s="1"/>
  <c r="AQ73" i="34"/>
  <c r="P23" i="32" s="1"/>
  <c r="AR69" i="29"/>
  <c r="Y19" i="32" s="1"/>
  <c r="AU86" i="29"/>
  <c r="AB33" i="32" s="1"/>
  <c r="AQ83" i="29"/>
  <c r="X17" i="32" s="1"/>
  <c r="X37" i="32" s="1"/>
  <c r="AS79" i="29"/>
  <c r="AU75" i="29"/>
  <c r="AB25" i="32" s="1"/>
  <c r="AQ84" i="36"/>
  <c r="AR81" i="36"/>
  <c r="AF30" i="32" s="1"/>
  <c r="AS78" i="36"/>
  <c r="AG28" i="32" s="1"/>
  <c r="AT75" i="36"/>
  <c r="AH25" i="32" s="1"/>
  <c r="AU72" i="36"/>
  <c r="AI22" i="32" s="1"/>
  <c r="AS68" i="34"/>
  <c r="AQ72" i="34"/>
  <c r="P22" i="32" s="1"/>
  <c r="AR80" i="34"/>
  <c r="AT76" i="34"/>
  <c r="S26" i="32" s="1"/>
  <c r="AS69" i="29"/>
  <c r="Z19" i="32" s="1"/>
  <c r="AT86" i="29"/>
  <c r="AA33" i="32" s="1"/>
  <c r="AR79" i="29"/>
  <c r="AT75" i="29"/>
  <c r="AA25" i="32" s="1"/>
  <c r="AQ83" i="36"/>
  <c r="AE17" i="32" s="1"/>
  <c r="AE37" i="32" s="1"/>
  <c r="AR80" i="36"/>
  <c r="AS77" i="36"/>
  <c r="AG27" i="32" s="1"/>
  <c r="AT74" i="36"/>
  <c r="AH24" i="32" s="1"/>
  <c r="AU71" i="36"/>
  <c r="AI21" i="32" s="1"/>
  <c r="AT68" i="34"/>
  <c r="AR72" i="34"/>
  <c r="Q22" i="32" s="1"/>
  <c r="AU83" i="34"/>
  <c r="T17" i="32" s="1"/>
  <c r="T37" i="32" s="1"/>
  <c r="AQ80" i="34"/>
  <c r="AS76" i="34"/>
  <c r="R26" i="32" s="1"/>
  <c r="AT69" i="29"/>
  <c r="AA19" i="32" s="1"/>
  <c r="AS86" i="29"/>
  <c r="Z33" i="32" s="1"/>
  <c r="AU82" i="29"/>
  <c r="AB31" i="32" s="1"/>
  <c r="AQ79" i="29"/>
  <c r="AS75" i="29"/>
  <c r="Z25" i="32" s="1"/>
  <c r="AQ82" i="36"/>
  <c r="AE31" i="32" s="1"/>
  <c r="AR79" i="36"/>
  <c r="AS76" i="36"/>
  <c r="AG26" i="32" s="1"/>
  <c r="AT73" i="36"/>
  <c r="AH23" i="32" s="1"/>
  <c r="AU70" i="36"/>
  <c r="AI20" i="32" s="1"/>
  <c r="AI39" i="32" s="1"/>
  <c r="AS72" i="34"/>
  <c r="R22" i="32" s="1"/>
  <c r="AT83" i="34"/>
  <c r="S17" i="32" s="1"/>
  <c r="S37" i="32" s="1"/>
  <c r="AR76" i="34"/>
  <c r="Q26" i="32" s="1"/>
  <c r="AU69" i="29"/>
  <c r="AB19" i="32" s="1"/>
  <c r="AR86" i="29"/>
  <c r="Y33" i="32" s="1"/>
  <c r="AT82" i="29"/>
  <c r="AA31" i="32" s="1"/>
  <c r="AR75" i="29"/>
  <c r="Y25" i="32" s="1"/>
  <c r="AQ81" i="36"/>
  <c r="AE30" i="32" s="1"/>
  <c r="AR78" i="36"/>
  <c r="AF28" i="32" s="1"/>
  <c r="AS75" i="36"/>
  <c r="AG25" i="32" s="1"/>
  <c r="AT72" i="36"/>
  <c r="AH22" i="32" s="1"/>
  <c r="AT72" i="34"/>
  <c r="S22" i="32" s="1"/>
  <c r="AS83" i="34"/>
  <c r="R17" i="32" s="1"/>
  <c r="R37" i="32" s="1"/>
  <c r="AU79" i="34"/>
  <c r="AQ76" i="34"/>
  <c r="P26" i="32" s="1"/>
  <c r="AS82" i="29"/>
  <c r="Z31" i="32" s="1"/>
  <c r="AU78" i="29"/>
  <c r="AB28" i="32" s="1"/>
  <c r="AQ80" i="36"/>
  <c r="AR77" i="36"/>
  <c r="AF27" i="32" s="1"/>
  <c r="AS74" i="36"/>
  <c r="AG24" i="32" s="1"/>
  <c r="AT71" i="36"/>
  <c r="AH21" i="32" s="1"/>
  <c r="AQ69" i="34"/>
  <c r="P19" i="32" s="1"/>
  <c r="AU72" i="34"/>
  <c r="T22" i="32" s="1"/>
  <c r="AR83" i="34"/>
  <c r="Q17" i="32" s="1"/>
  <c r="Q37" i="32" s="1"/>
  <c r="AT79" i="34"/>
  <c r="AQ70" i="29"/>
  <c r="X20" i="32" s="1"/>
  <c r="AR82" i="29"/>
  <c r="Y31" i="32" s="1"/>
  <c r="AT78" i="29"/>
  <c r="AA28" i="32" s="1"/>
  <c r="AQ79" i="36"/>
  <c r="AR76" i="36"/>
  <c r="AF26" i="32" s="1"/>
  <c r="AS73" i="36"/>
  <c r="AG23" i="32" s="1"/>
  <c r="AT70" i="36"/>
  <c r="AH20" i="32" s="1"/>
  <c r="W39" i="32"/>
  <c r="C47" i="32"/>
  <c r="AG87" i="36"/>
  <c r="AF87" i="36"/>
  <c r="AE87" i="36"/>
  <c r="AF59" i="36"/>
  <c r="AF60" i="36" s="1"/>
  <c r="W87" i="36"/>
  <c r="Y59" i="36"/>
  <c r="R59" i="36"/>
  <c r="R60" i="36" s="1"/>
  <c r="O59" i="36"/>
  <c r="M59" i="36"/>
  <c r="M60" i="36" s="1"/>
  <c r="L59" i="36"/>
  <c r="L60" i="36" s="1"/>
  <c r="K59" i="36"/>
  <c r="K60" i="36" s="1"/>
  <c r="E70" i="34"/>
  <c r="AP70" i="34" s="1"/>
  <c r="O20" i="32" s="1"/>
  <c r="O39" i="32" s="1"/>
  <c r="T87" i="36"/>
  <c r="H87" i="36"/>
  <c r="E69" i="36"/>
  <c r="T59" i="36"/>
  <c r="T60" i="36" s="1"/>
  <c r="X87" i="36"/>
  <c r="U59" i="36"/>
  <c r="Z87" i="36"/>
  <c r="V59" i="36"/>
  <c r="V60" i="36" s="1"/>
  <c r="AC87" i="36"/>
  <c r="W59" i="36"/>
  <c r="W60" i="36" s="1"/>
  <c r="AD87" i="36"/>
  <c r="AG59" i="36"/>
  <c r="AG60" i="36" s="1"/>
  <c r="I87" i="36"/>
  <c r="G59" i="36"/>
  <c r="G60" i="36" s="1"/>
  <c r="AK59" i="36"/>
  <c r="AK60" i="36" s="1"/>
  <c r="L87" i="36"/>
  <c r="AB59" i="36"/>
  <c r="AB60" i="36" s="1"/>
  <c r="K87" i="36"/>
  <c r="AC59" i="36"/>
  <c r="AC60" i="36" s="1"/>
  <c r="N87" i="36"/>
  <c r="AD59" i="36"/>
  <c r="AD60" i="36" s="1"/>
  <c r="Q87" i="36"/>
  <c r="AE59" i="36"/>
  <c r="AE60" i="36" s="1"/>
  <c r="R87" i="36"/>
  <c r="F59" i="36"/>
  <c r="F60" i="36" s="1"/>
  <c r="AH87" i="36"/>
  <c r="H59" i="36"/>
  <c r="H60" i="36" s="1"/>
  <c r="AJ87" i="36"/>
  <c r="I59" i="36"/>
  <c r="I60" i="36" s="1"/>
  <c r="AM87" i="36"/>
  <c r="AH59" i="36"/>
  <c r="AI59" i="36"/>
  <c r="AI60" i="36" s="1"/>
  <c r="J87" i="36"/>
  <c r="J59" i="36"/>
  <c r="S87" i="36"/>
  <c r="V87" i="36"/>
  <c r="G87" i="36"/>
  <c r="U87" i="36"/>
  <c r="E68" i="34"/>
  <c r="AL87" i="36"/>
  <c r="P87" i="36"/>
  <c r="AA59" i="36"/>
  <c r="AK87" i="36"/>
  <c r="O87" i="36"/>
  <c r="Z59" i="36"/>
  <c r="Z60" i="36" s="1"/>
  <c r="AI87" i="36"/>
  <c r="M87" i="36"/>
  <c r="X59" i="36"/>
  <c r="X60" i="36" s="1"/>
  <c r="S59" i="36"/>
  <c r="S60" i="36" s="1"/>
  <c r="AB87" i="36"/>
  <c r="F87" i="36"/>
  <c r="AM59" i="36"/>
  <c r="AM60" i="36" s="1"/>
  <c r="Q59" i="36"/>
  <c r="Q60" i="36" s="1"/>
  <c r="AA87" i="36"/>
  <c r="AL59" i="36"/>
  <c r="AL60" i="36" s="1"/>
  <c r="P59" i="36"/>
  <c r="P60" i="36" s="1"/>
  <c r="Y87" i="36"/>
  <c r="AJ59" i="36"/>
  <c r="AJ60" i="36" s="1"/>
  <c r="N59" i="36"/>
  <c r="N60" i="36" s="1"/>
  <c r="AM59" i="29"/>
  <c r="AM60" i="29" s="1"/>
  <c r="AK59" i="29"/>
  <c r="AK60" i="29" s="1"/>
  <c r="AJ59" i="29"/>
  <c r="AJ60" i="29" s="1"/>
  <c r="AL59" i="29"/>
  <c r="AL60" i="29" s="1"/>
  <c r="AN59" i="29"/>
  <c r="AN60" i="29" s="1"/>
  <c r="E86" i="29"/>
  <c r="AP86" i="29" s="1"/>
  <c r="W33" i="32" s="1"/>
  <c r="Y59" i="29"/>
  <c r="AF87" i="29"/>
  <c r="X59" i="29"/>
  <c r="X60" i="29" s="1"/>
  <c r="N87" i="29"/>
  <c r="AH87" i="29"/>
  <c r="AL87" i="29"/>
  <c r="W59" i="29"/>
  <c r="W60" i="29" s="1"/>
  <c r="Q87" i="29"/>
  <c r="S59" i="29"/>
  <c r="S60" i="29" s="1"/>
  <c r="P87" i="29"/>
  <c r="R59" i="29"/>
  <c r="R60" i="29" s="1"/>
  <c r="H87" i="29"/>
  <c r="E75" i="29"/>
  <c r="AP75" i="29" s="1"/>
  <c r="W25" i="32" s="1"/>
  <c r="E73" i="29"/>
  <c r="AP73" i="29" s="1"/>
  <c r="W23" i="32" s="1"/>
  <c r="W87" i="29"/>
  <c r="AJ87" i="29"/>
  <c r="AN87" i="29"/>
  <c r="AK87" i="29"/>
  <c r="AI87" i="29"/>
  <c r="AG87" i="29"/>
  <c r="AF59" i="29"/>
  <c r="AF60" i="29" s="1"/>
  <c r="L59" i="29"/>
  <c r="L60" i="29" s="1"/>
  <c r="AA87" i="29"/>
  <c r="P59" i="29"/>
  <c r="G87" i="29"/>
  <c r="Q59" i="29"/>
  <c r="Q60" i="29" s="1"/>
  <c r="I87" i="29"/>
  <c r="E76" i="29"/>
  <c r="AP76" i="29" s="1"/>
  <c r="W26" i="32" s="1"/>
  <c r="M87" i="29"/>
  <c r="O87" i="29"/>
  <c r="I59" i="29"/>
  <c r="I60" i="29" s="1"/>
  <c r="E74" i="29"/>
  <c r="AP74" i="29" s="1"/>
  <c r="W24" i="32" s="1"/>
  <c r="E77" i="29"/>
  <c r="AP77" i="29" s="1"/>
  <c r="W27" i="32" s="1"/>
  <c r="F87" i="29"/>
  <c r="O59" i="29"/>
  <c r="O60" i="29" s="1"/>
  <c r="AH59" i="29"/>
  <c r="AH60" i="29" s="1"/>
  <c r="N59" i="29"/>
  <c r="N60" i="29" s="1"/>
  <c r="AG59" i="29"/>
  <c r="AG60" i="29" s="1"/>
  <c r="AB87" i="29"/>
  <c r="K59" i="29"/>
  <c r="K60" i="29" s="1"/>
  <c r="E84" i="29"/>
  <c r="AP84" i="29" s="1"/>
  <c r="W29" i="32" s="1"/>
  <c r="F59" i="29"/>
  <c r="F60" i="29" s="1"/>
  <c r="E85" i="29"/>
  <c r="AP85" i="29" s="1"/>
  <c r="W32" i="32" s="1"/>
  <c r="X87" i="29"/>
  <c r="E68" i="29"/>
  <c r="AP68" i="29" s="1"/>
  <c r="W18" i="32" s="1"/>
  <c r="W38" i="32" s="1"/>
  <c r="H59" i="29"/>
  <c r="H60" i="29" s="1"/>
  <c r="T87" i="29"/>
  <c r="J59" i="29"/>
  <c r="V87" i="29"/>
  <c r="M59" i="29"/>
  <c r="M60" i="29" s="1"/>
  <c r="AM87" i="29"/>
  <c r="Y87" i="29"/>
  <c r="AC59" i="29"/>
  <c r="AC60" i="29" s="1"/>
  <c r="T59" i="29"/>
  <c r="T60" i="29" s="1"/>
  <c r="J87" i="29"/>
  <c r="AE87" i="29"/>
  <c r="AE59" i="29"/>
  <c r="AE60" i="29" s="1"/>
  <c r="L87" i="29"/>
  <c r="AD59" i="29"/>
  <c r="AD60" i="29" s="1"/>
  <c r="U59" i="29"/>
  <c r="K87" i="29"/>
  <c r="AD87" i="29"/>
  <c r="V59" i="29"/>
  <c r="V60" i="29" s="1"/>
  <c r="AC87" i="29"/>
  <c r="AI59" i="29"/>
  <c r="AI60" i="29" s="1"/>
  <c r="G59" i="29"/>
  <c r="G60" i="29" s="1"/>
  <c r="S87" i="29"/>
  <c r="AB59" i="29"/>
  <c r="U87" i="29"/>
  <c r="AA59" i="29"/>
  <c r="AA60" i="29" s="1"/>
  <c r="R87" i="29"/>
  <c r="AG47" i="36"/>
  <c r="D47" i="32"/>
  <c r="F47" i="32"/>
  <c r="E47" i="32"/>
  <c r="H47" i="32"/>
  <c r="G47" i="32"/>
  <c r="G40" i="32"/>
  <c r="G41" i="32" s="1"/>
  <c r="F40" i="32"/>
  <c r="F41" i="32" s="1"/>
  <c r="E40" i="32"/>
  <c r="E41" i="32" s="1"/>
  <c r="D40" i="32"/>
  <c r="D41" i="32" s="1"/>
  <c r="C40" i="32"/>
  <c r="C41" i="32" s="1"/>
  <c r="H40" i="32"/>
  <c r="H41" i="32" s="1"/>
  <c r="U61" i="36"/>
  <c r="J47" i="36"/>
  <c r="L47" i="36"/>
  <c r="P56" i="36"/>
  <c r="P65" i="36" s="1"/>
  <c r="AK47" i="36"/>
  <c r="P47" i="36"/>
  <c r="AL47" i="36"/>
  <c r="S56" i="36"/>
  <c r="S65" i="36" s="1"/>
  <c r="G61" i="36"/>
  <c r="AC61" i="36"/>
  <c r="M47" i="36"/>
  <c r="AL56" i="36"/>
  <c r="AL65" i="36" s="1"/>
  <c r="Z61" i="36"/>
  <c r="Q56" i="36"/>
  <c r="Q65" i="36" s="1"/>
  <c r="F61" i="36"/>
  <c r="AI56" i="36"/>
  <c r="AI65" i="36" s="1"/>
  <c r="AI47" i="36"/>
  <c r="AJ47" i="36"/>
  <c r="AM56" i="36"/>
  <c r="AM65" i="36" s="1"/>
  <c r="O47" i="36"/>
  <c r="R56" i="36"/>
  <c r="R65" i="36" s="1"/>
  <c r="AB61" i="36"/>
  <c r="S47" i="36"/>
  <c r="V56" i="36"/>
  <c r="V65" i="36" s="1"/>
  <c r="J61" i="36"/>
  <c r="AF61" i="36"/>
  <c r="O56" i="36"/>
  <c r="AK56" i="36"/>
  <c r="AK65" i="36" s="1"/>
  <c r="Y61" i="36"/>
  <c r="AA61" i="36"/>
  <c r="Q47" i="36"/>
  <c r="AM47" i="36"/>
  <c r="T56" i="36"/>
  <c r="T65" i="36" s="1"/>
  <c r="H61" i="36"/>
  <c r="AD61" i="36"/>
  <c r="R47" i="36"/>
  <c r="U56" i="36"/>
  <c r="AE61" i="36"/>
  <c r="T47" i="36"/>
  <c r="W56" i="36"/>
  <c r="W65" i="36" s="1"/>
  <c r="K61" i="36"/>
  <c r="AG61" i="36"/>
  <c r="AF47" i="36"/>
  <c r="M56" i="36"/>
  <c r="M65" i="36" s="1"/>
  <c r="AH47" i="36"/>
  <c r="N47" i="36"/>
  <c r="I61" i="36"/>
  <c r="U47" i="36"/>
  <c r="X56" i="36"/>
  <c r="X65" i="36" s="1"/>
  <c r="L61" i="36"/>
  <c r="AH61" i="36"/>
  <c r="Z47" i="36"/>
  <c r="G56" i="36"/>
  <c r="G65" i="36" s="1"/>
  <c r="AC56" i="36"/>
  <c r="AC65" i="36" s="1"/>
  <c r="Q61" i="36"/>
  <c r="AM61" i="36"/>
  <c r="H47" i="36"/>
  <c r="AD47" i="36"/>
  <c r="K56" i="36"/>
  <c r="K65" i="36" s="1"/>
  <c r="AG56" i="36"/>
  <c r="AG65" i="36" s="1"/>
  <c r="V47" i="36"/>
  <c r="Y56" i="36"/>
  <c r="M61" i="36"/>
  <c r="AI61" i="36"/>
  <c r="W47" i="36"/>
  <c r="Z56" i="36"/>
  <c r="Z65" i="36" s="1"/>
  <c r="N61" i="36"/>
  <c r="AJ61" i="36"/>
  <c r="F47" i="36"/>
  <c r="F48" i="36" s="1"/>
  <c r="Y47" i="36"/>
  <c r="F56" i="36"/>
  <c r="F65" i="36" s="1"/>
  <c r="AB56" i="36"/>
  <c r="AB65" i="36" s="1"/>
  <c r="P61" i="36"/>
  <c r="AL61" i="36"/>
  <c r="AA47" i="36"/>
  <c r="H56" i="36"/>
  <c r="H65" i="36" s="1"/>
  <c r="AD56" i="36"/>
  <c r="AD65" i="36" s="1"/>
  <c r="R61" i="36"/>
  <c r="AB47" i="36"/>
  <c r="I56" i="36"/>
  <c r="I65" i="36" s="1"/>
  <c r="AE56" i="36"/>
  <c r="AE65" i="36" s="1"/>
  <c r="S61" i="36"/>
  <c r="X47" i="36"/>
  <c r="AA56" i="36"/>
  <c r="O61" i="36"/>
  <c r="AK61" i="36"/>
  <c r="G47" i="36"/>
  <c r="AC47" i="36"/>
  <c r="J56" i="36"/>
  <c r="AF56" i="36"/>
  <c r="AF65" i="36" s="1"/>
  <c r="T61" i="36"/>
  <c r="I47" i="36"/>
  <c r="AE47" i="36"/>
  <c r="L56" i="36"/>
  <c r="L65" i="36" s="1"/>
  <c r="AH56" i="36"/>
  <c r="AH65" i="36" s="1"/>
  <c r="V61" i="36"/>
  <c r="W61" i="36"/>
  <c r="K47" i="36"/>
  <c r="N56" i="36"/>
  <c r="N65" i="36" s="1"/>
  <c r="AJ56" i="36"/>
  <c r="AJ65" i="36" s="1"/>
  <c r="X61" i="36"/>
  <c r="AP68" i="34" l="1"/>
  <c r="O18" i="32" s="1"/>
  <c r="AR61" i="36"/>
  <c r="AH60" i="36"/>
  <c r="E37" i="36" s="1"/>
  <c r="E36" i="36"/>
  <c r="J60" i="36"/>
  <c r="AQ60" i="36" s="1"/>
  <c r="AQ59" i="36"/>
  <c r="U60" i="36"/>
  <c r="AS60" i="36" s="1"/>
  <c r="AS59" i="36"/>
  <c r="J60" i="29"/>
  <c r="AQ60" i="29" s="1"/>
  <c r="AQ59" i="29"/>
  <c r="AA65" i="36"/>
  <c r="AU65" i="36" s="1"/>
  <c r="AI54" i="32" s="1"/>
  <c r="AU56" i="36"/>
  <c r="E41" i="36"/>
  <c r="O60" i="36"/>
  <c r="AR60" i="36" s="1"/>
  <c r="AR59" i="36"/>
  <c r="AT61" i="36"/>
  <c r="AB60" i="29"/>
  <c r="AU60" i="29" s="1"/>
  <c r="AU59" i="29"/>
  <c r="Y60" i="29"/>
  <c r="AA60" i="36"/>
  <c r="AU60" i="36" s="1"/>
  <c r="AU59" i="36"/>
  <c r="AQ61" i="36"/>
  <c r="Y65" i="36"/>
  <c r="AT65" i="36" s="1"/>
  <c r="AH54" i="32" s="1"/>
  <c r="AT56" i="36"/>
  <c r="U62" i="36"/>
  <c r="U97" i="36" s="1"/>
  <c r="AS56" i="36"/>
  <c r="E38" i="36"/>
  <c r="P60" i="29"/>
  <c r="AR60" i="29" s="1"/>
  <c r="AR59" i="29"/>
  <c r="J65" i="36"/>
  <c r="AQ65" i="36" s="1"/>
  <c r="AE54" i="32" s="1"/>
  <c r="AQ56" i="36"/>
  <c r="AS61" i="36"/>
  <c r="Y60" i="36"/>
  <c r="AT60" i="36" s="1"/>
  <c r="AT59" i="36"/>
  <c r="AU61" i="36"/>
  <c r="O65" i="36"/>
  <c r="AR65" i="36" s="1"/>
  <c r="AF54" i="32" s="1"/>
  <c r="AR56" i="36"/>
  <c r="U60" i="29"/>
  <c r="AS60" i="29" s="1"/>
  <c r="AS59" i="29"/>
  <c r="Z39" i="32"/>
  <c r="Z40" i="32" s="1"/>
  <c r="Z41" i="32" s="1"/>
  <c r="X29" i="32"/>
  <c r="X34" i="32" s="1"/>
  <c r="AF39" i="32"/>
  <c r="AF40" i="32" s="1"/>
  <c r="AF41" i="32" s="1"/>
  <c r="R39" i="32"/>
  <c r="W40" i="32"/>
  <c r="W41" i="32" s="1"/>
  <c r="AH39" i="32"/>
  <c r="AH40" i="32" s="1"/>
  <c r="AH41" i="32" s="1"/>
  <c r="T40" i="32"/>
  <c r="T41" i="32" s="1"/>
  <c r="AB39" i="32"/>
  <c r="AB40" i="32" s="1"/>
  <c r="AB41" i="32" s="1"/>
  <c r="Y29" i="32"/>
  <c r="Y34" i="32" s="1"/>
  <c r="T29" i="32"/>
  <c r="AE29" i="32"/>
  <c r="AE34" i="32" s="1"/>
  <c r="Q29" i="32"/>
  <c r="AB29" i="32"/>
  <c r="AB34" i="32" s="1"/>
  <c r="AG39" i="32"/>
  <c r="AG40" i="32" s="1"/>
  <c r="AG41" i="32" s="1"/>
  <c r="S39" i="32"/>
  <c r="AA29" i="32"/>
  <c r="AA34" i="32" s="1"/>
  <c r="Q39" i="32"/>
  <c r="P39" i="32"/>
  <c r="W34" i="32"/>
  <c r="Y39" i="32"/>
  <c r="Y40" i="32" s="1"/>
  <c r="Y41" i="32" s="1"/>
  <c r="R18" i="32"/>
  <c r="R38" i="32" s="1"/>
  <c r="Z29" i="32"/>
  <c r="Z34" i="32" s="1"/>
  <c r="AI40" i="32"/>
  <c r="AI41" i="32" s="1"/>
  <c r="X39" i="32"/>
  <c r="X40" i="32" s="1"/>
  <c r="X41" i="32" s="1"/>
  <c r="AF29" i="32"/>
  <c r="AF34" i="32" s="1"/>
  <c r="AI29" i="32"/>
  <c r="AI34" i="32" s="1"/>
  <c r="P18" i="32"/>
  <c r="S18" i="32"/>
  <c r="S38" i="32" s="1"/>
  <c r="AH29" i="32"/>
  <c r="AH34" i="32" s="1"/>
  <c r="AA39" i="32"/>
  <c r="AA40" i="32" s="1"/>
  <c r="AA41" i="32" s="1"/>
  <c r="P29" i="32"/>
  <c r="R29" i="32"/>
  <c r="S29" i="32"/>
  <c r="E59" i="36"/>
  <c r="AP69" i="36"/>
  <c r="AD19" i="32" s="1"/>
  <c r="Q18" i="32"/>
  <c r="Q38" i="32" s="1"/>
  <c r="AG29" i="32"/>
  <c r="AG34" i="32" s="1"/>
  <c r="AE39" i="32"/>
  <c r="AE40" i="32" s="1"/>
  <c r="AE41" i="32" s="1"/>
  <c r="Y57" i="36"/>
  <c r="E87" i="36"/>
  <c r="E33" i="36"/>
  <c r="E34" i="36" s="1"/>
  <c r="E87" i="29"/>
  <c r="I62" i="36"/>
  <c r="H62" i="36"/>
  <c r="AJ57" i="36"/>
  <c r="N57" i="36"/>
  <c r="AJ62" i="36"/>
  <c r="AI57" i="36"/>
  <c r="G57" i="36"/>
  <c r="AE62" i="36"/>
  <c r="Z62" i="36"/>
  <c r="AI62" i="36"/>
  <c r="X57" i="36"/>
  <c r="N62" i="36"/>
  <c r="S57" i="36"/>
  <c r="Z57" i="36"/>
  <c r="Q62" i="36"/>
  <c r="L62" i="36"/>
  <c r="AM57" i="36"/>
  <c r="M57" i="36"/>
  <c r="AL57" i="36"/>
  <c r="O62" i="36"/>
  <c r="Y62" i="36"/>
  <c r="J62" i="36"/>
  <c r="AB57" i="36"/>
  <c r="Q57" i="36"/>
  <c r="W57" i="36"/>
  <c r="AK57" i="36"/>
  <c r="O57" i="36"/>
  <c r="V62" i="36"/>
  <c r="F57" i="36"/>
  <c r="AD62" i="36"/>
  <c r="V57" i="36"/>
  <c r="S62" i="36"/>
  <c r="L57" i="36"/>
  <c r="AA57" i="36"/>
  <c r="K62" i="36"/>
  <c r="AM62" i="36"/>
  <c r="AH57" i="36"/>
  <c r="AA62" i="36"/>
  <c r="M62" i="36"/>
  <c r="AB62" i="36"/>
  <c r="I57" i="36"/>
  <c r="T62" i="36"/>
  <c r="R62" i="36"/>
  <c r="P57" i="36"/>
  <c r="AE57" i="36"/>
  <c r="AC62" i="36"/>
  <c r="G62" i="36"/>
  <c r="AF57" i="36"/>
  <c r="AD57" i="36"/>
  <c r="H57" i="36"/>
  <c r="W62" i="36"/>
  <c r="K57" i="36"/>
  <c r="AL62" i="36"/>
  <c r="AG62" i="36"/>
  <c r="AF62" i="36"/>
  <c r="T57" i="36"/>
  <c r="F62" i="36"/>
  <c r="E56" i="36"/>
  <c r="E61" i="36"/>
  <c r="AP61" i="36" s="1"/>
  <c r="R57" i="36"/>
  <c r="AH62" i="36"/>
  <c r="AC57" i="36"/>
  <c r="U57" i="36"/>
  <c r="U65" i="36"/>
  <c r="AS65" i="36" s="1"/>
  <c r="AG54" i="32" s="1"/>
  <c r="J57" i="36"/>
  <c r="G48" i="36"/>
  <c r="H48" i="36" s="1"/>
  <c r="I48" i="36" s="1"/>
  <c r="J48" i="36" s="1"/>
  <c r="K48" i="36" s="1"/>
  <c r="L48" i="36" s="1"/>
  <c r="M48" i="36" s="1"/>
  <c r="N48" i="36" s="1"/>
  <c r="O48" i="36" s="1"/>
  <c r="P48" i="36" s="1"/>
  <c r="Q48" i="36" s="1"/>
  <c r="R48" i="36" s="1"/>
  <c r="S48" i="36" s="1"/>
  <c r="T48" i="36" s="1"/>
  <c r="U48" i="36" s="1"/>
  <c r="V48" i="36" s="1"/>
  <c r="W48" i="36" s="1"/>
  <c r="X48" i="36" s="1"/>
  <c r="Y48" i="36" s="1"/>
  <c r="Z48" i="36" s="1"/>
  <c r="AA48" i="36" s="1"/>
  <c r="AB48" i="36" s="1"/>
  <c r="AC48" i="36" s="1"/>
  <c r="AD48" i="36" s="1"/>
  <c r="AE48" i="36" s="1"/>
  <c r="AF48" i="36" s="1"/>
  <c r="AG48" i="36" s="1"/>
  <c r="AH48" i="36" s="1"/>
  <c r="AI48" i="36" s="1"/>
  <c r="AJ48" i="36" s="1"/>
  <c r="AK48" i="36" s="1"/>
  <c r="AL48" i="36" s="1"/>
  <c r="AM48" i="36" s="1"/>
  <c r="AG57" i="36"/>
  <c r="X62" i="36"/>
  <c r="P62" i="36"/>
  <c r="AK62" i="36"/>
  <c r="U95" i="36" l="1"/>
  <c r="U91" i="36"/>
  <c r="U104" i="36"/>
  <c r="U92" i="36"/>
  <c r="U102" i="36"/>
  <c r="U100" i="36"/>
  <c r="U96" i="36"/>
  <c r="U106" i="36"/>
  <c r="AT62" i="36"/>
  <c r="U93" i="36"/>
  <c r="AQ62" i="36"/>
  <c r="U89" i="36"/>
  <c r="U98" i="36"/>
  <c r="U101" i="36"/>
  <c r="U90" i="36"/>
  <c r="U99" i="36"/>
  <c r="U88" i="36"/>
  <c r="U63" i="36"/>
  <c r="U64" i="36" s="1"/>
  <c r="AT57" i="36"/>
  <c r="U94" i="36"/>
  <c r="U105" i="36"/>
  <c r="U103" i="36"/>
  <c r="AR57" i="36"/>
  <c r="AS57" i="36"/>
  <c r="E39" i="36"/>
  <c r="E40" i="36" s="1"/>
  <c r="AC54" i="32" s="1"/>
  <c r="E65" i="36"/>
  <c r="AP56" i="36"/>
  <c r="AU62" i="36"/>
  <c r="AU57" i="36"/>
  <c r="AS62" i="36"/>
  <c r="AQ57" i="36"/>
  <c r="AR62" i="36"/>
  <c r="E60" i="36"/>
  <c r="AP60" i="36" s="1"/>
  <c r="AP59" i="36"/>
  <c r="Q40" i="32"/>
  <c r="Q41" i="32" s="1"/>
  <c r="R40" i="32"/>
  <c r="R41" i="32" s="1"/>
  <c r="S40" i="32"/>
  <c r="S41" i="32" s="1"/>
  <c r="AD39" i="32"/>
  <c r="AD40" i="32" s="1"/>
  <c r="AD41" i="32" s="1"/>
  <c r="AD34" i="32"/>
  <c r="O38" i="32"/>
  <c r="O40" i="32" s="1"/>
  <c r="O41" i="32" s="1"/>
  <c r="E62" i="36"/>
  <c r="P38" i="32"/>
  <c r="P40" i="32" s="1"/>
  <c r="P41" i="32" s="1"/>
  <c r="AA63" i="36"/>
  <c r="AA93" i="36"/>
  <c r="AA104" i="36"/>
  <c r="AA95" i="36"/>
  <c r="AA106" i="36"/>
  <c r="AA92" i="36"/>
  <c r="AA103" i="36"/>
  <c r="AA94" i="36"/>
  <c r="AA105" i="36"/>
  <c r="AA97" i="36"/>
  <c r="AA98" i="36"/>
  <c r="AA99" i="36"/>
  <c r="AA88" i="36"/>
  <c r="AA90" i="36"/>
  <c r="AA102" i="36"/>
  <c r="AA91" i="36"/>
  <c r="AA89" i="36"/>
  <c r="AA101" i="36"/>
  <c r="AA96" i="36"/>
  <c r="AA100" i="36"/>
  <c r="L63" i="36"/>
  <c r="L64" i="36" s="1"/>
  <c r="L89" i="36"/>
  <c r="L100" i="36"/>
  <c r="L91" i="36"/>
  <c r="L102" i="36"/>
  <c r="L88" i="36"/>
  <c r="L99" i="36"/>
  <c r="L105" i="36"/>
  <c r="L106" i="36"/>
  <c r="L94" i="36"/>
  <c r="L96" i="36"/>
  <c r="L97" i="36"/>
  <c r="L104" i="36"/>
  <c r="L95" i="36"/>
  <c r="L90" i="36"/>
  <c r="L101" i="36"/>
  <c r="L103" i="36"/>
  <c r="L93" i="36"/>
  <c r="L98" i="36"/>
  <c r="L92" i="36"/>
  <c r="Q63" i="36"/>
  <c r="Q64" i="36" s="1"/>
  <c r="Q52" i="36" s="1"/>
  <c r="Q92" i="36"/>
  <c r="Q103" i="36"/>
  <c r="Q94" i="36"/>
  <c r="Q105" i="36"/>
  <c r="Q91" i="36"/>
  <c r="Q102" i="36"/>
  <c r="Q93" i="36"/>
  <c r="Q104" i="36"/>
  <c r="Q101" i="36"/>
  <c r="Q95" i="36"/>
  <c r="Q100" i="36"/>
  <c r="Q89" i="36"/>
  <c r="Q99" i="36"/>
  <c r="Q97" i="36"/>
  <c r="Q106" i="36"/>
  <c r="Q88" i="36"/>
  <c r="Q96" i="36"/>
  <c r="Q90" i="36"/>
  <c r="Q98" i="36"/>
  <c r="K63" i="36"/>
  <c r="K64" i="36" s="1"/>
  <c r="K52" i="36" s="1"/>
  <c r="K98" i="36"/>
  <c r="K89" i="36"/>
  <c r="K100" i="36"/>
  <c r="K97" i="36"/>
  <c r="K88" i="36"/>
  <c r="K99" i="36"/>
  <c r="K105" i="36"/>
  <c r="K106" i="36"/>
  <c r="K90" i="36"/>
  <c r="K95" i="36"/>
  <c r="K101" i="36"/>
  <c r="K93" i="36"/>
  <c r="K91" i="36"/>
  <c r="K103" i="36"/>
  <c r="K96" i="36"/>
  <c r="K102" i="36"/>
  <c r="K104" i="36"/>
  <c r="K92" i="36"/>
  <c r="K94" i="36"/>
  <c r="AF63" i="36"/>
  <c r="AF64" i="36" s="1"/>
  <c r="AF52" i="36" s="1"/>
  <c r="AF91" i="36"/>
  <c r="AF102" i="36"/>
  <c r="AF93" i="36"/>
  <c r="AF104" i="36"/>
  <c r="AF90" i="36"/>
  <c r="AF101" i="36"/>
  <c r="AF94" i="36"/>
  <c r="AF95" i="36"/>
  <c r="AF97" i="36"/>
  <c r="AF88" i="36"/>
  <c r="AF105" i="36"/>
  <c r="AF92" i="36"/>
  <c r="AF99" i="36"/>
  <c r="AF103" i="36"/>
  <c r="AF98" i="36"/>
  <c r="AF100" i="36"/>
  <c r="AF106" i="36"/>
  <c r="AF96" i="36"/>
  <c r="AF89" i="36"/>
  <c r="N63" i="36"/>
  <c r="N64" i="36" s="1"/>
  <c r="N52" i="36" s="1"/>
  <c r="N98" i="36"/>
  <c r="N89" i="36"/>
  <c r="N100" i="36"/>
  <c r="N97" i="36"/>
  <c r="N103" i="36"/>
  <c r="N104" i="36"/>
  <c r="N88" i="36"/>
  <c r="N105" i="36"/>
  <c r="N106" i="36"/>
  <c r="N93" i="36"/>
  <c r="N91" i="36"/>
  <c r="N95" i="36"/>
  <c r="N99" i="36"/>
  <c r="N90" i="36"/>
  <c r="N101" i="36"/>
  <c r="N92" i="36"/>
  <c r="N94" i="36"/>
  <c r="N102" i="36"/>
  <c r="N96" i="36"/>
  <c r="AL63" i="36"/>
  <c r="AL64" i="36" s="1"/>
  <c r="AL52" i="36" s="1"/>
  <c r="AL96" i="36"/>
  <c r="AL98" i="36"/>
  <c r="AL95" i="36"/>
  <c r="AL106" i="36"/>
  <c r="AL90" i="36"/>
  <c r="AL91" i="36"/>
  <c r="AL102" i="36"/>
  <c r="AL93" i="36"/>
  <c r="AL89" i="36"/>
  <c r="AL97" i="36"/>
  <c r="AL104" i="36"/>
  <c r="AL88" i="36"/>
  <c r="AL94" i="36"/>
  <c r="AL100" i="36"/>
  <c r="AL101" i="36"/>
  <c r="AL92" i="36"/>
  <c r="AL105" i="36"/>
  <c r="AL99" i="36"/>
  <c r="AL103" i="36"/>
  <c r="AI96" i="36"/>
  <c r="AI98" i="36"/>
  <c r="AI95" i="36"/>
  <c r="AI106" i="36"/>
  <c r="AI97" i="36"/>
  <c r="AI92" i="36"/>
  <c r="AI93" i="36"/>
  <c r="AI100" i="36"/>
  <c r="AI89" i="36"/>
  <c r="AI101" i="36"/>
  <c r="AI91" i="36"/>
  <c r="AI99" i="36"/>
  <c r="AI104" i="36"/>
  <c r="AI102" i="36"/>
  <c r="AI103" i="36"/>
  <c r="AI88" i="36"/>
  <c r="AI94" i="36"/>
  <c r="AI105" i="36"/>
  <c r="AI90" i="36"/>
  <c r="AD63" i="36"/>
  <c r="AD64" i="36" s="1"/>
  <c r="AD52" i="36" s="1"/>
  <c r="AD93" i="36"/>
  <c r="AD104" i="36"/>
  <c r="AD95" i="36"/>
  <c r="AD106" i="36"/>
  <c r="AD92" i="36"/>
  <c r="AD103" i="36"/>
  <c r="AD96" i="36"/>
  <c r="AD97" i="36"/>
  <c r="AD102" i="36"/>
  <c r="AD101" i="36"/>
  <c r="AD88" i="36"/>
  <c r="AD105" i="36"/>
  <c r="AD90" i="36"/>
  <c r="AD100" i="36"/>
  <c r="AD91" i="36"/>
  <c r="AD98" i="36"/>
  <c r="AD89" i="36"/>
  <c r="AD99" i="36"/>
  <c r="AD94" i="36"/>
  <c r="V63" i="36"/>
  <c r="V64" i="36" s="1"/>
  <c r="V52" i="36" s="1"/>
  <c r="V90" i="36"/>
  <c r="V101" i="36"/>
  <c r="V92" i="36"/>
  <c r="V103" i="36"/>
  <c r="V89" i="36"/>
  <c r="V100" i="36"/>
  <c r="V99" i="36"/>
  <c r="V102" i="36"/>
  <c r="V88" i="36"/>
  <c r="V96" i="36"/>
  <c r="V104" i="36"/>
  <c r="V98" i="36"/>
  <c r="V106" i="36"/>
  <c r="V95" i="36"/>
  <c r="V91" i="36"/>
  <c r="V93" i="36"/>
  <c r="V105" i="36"/>
  <c r="V97" i="36"/>
  <c r="V94" i="36"/>
  <c r="P63" i="36"/>
  <c r="P64" i="36" s="1"/>
  <c r="P52" i="36" s="1"/>
  <c r="P96" i="36"/>
  <c r="P98" i="36"/>
  <c r="P95" i="36"/>
  <c r="P106" i="36"/>
  <c r="P102" i="36"/>
  <c r="P103" i="36"/>
  <c r="P104" i="36"/>
  <c r="P94" i="36"/>
  <c r="P100" i="36"/>
  <c r="P91" i="36"/>
  <c r="P93" i="36"/>
  <c r="P97" i="36"/>
  <c r="P89" i="36"/>
  <c r="P99" i="36"/>
  <c r="P88" i="36"/>
  <c r="P90" i="36"/>
  <c r="P105" i="36"/>
  <c r="P101" i="36"/>
  <c r="P92" i="36"/>
  <c r="F63" i="36"/>
  <c r="F64" i="36" s="1"/>
  <c r="F52" i="36" s="1"/>
  <c r="F95" i="36"/>
  <c r="F106" i="36"/>
  <c r="F97" i="36"/>
  <c r="F94" i="36"/>
  <c r="F105" i="36"/>
  <c r="F89" i="36"/>
  <c r="F90" i="36"/>
  <c r="F91" i="36"/>
  <c r="F92" i="36"/>
  <c r="F98" i="36"/>
  <c r="F100" i="36"/>
  <c r="F103" i="36"/>
  <c r="F88" i="36"/>
  <c r="F96" i="36"/>
  <c r="F101" i="36"/>
  <c r="F99" i="36"/>
  <c r="F93" i="36"/>
  <c r="F102" i="36"/>
  <c r="F104" i="36"/>
  <c r="AM63" i="36"/>
  <c r="AM64" i="36" s="1"/>
  <c r="AM52" i="36" s="1"/>
  <c r="AM92" i="36"/>
  <c r="AM103" i="36"/>
  <c r="AM94" i="36"/>
  <c r="AM105" i="36"/>
  <c r="AM91" i="36"/>
  <c r="AM102" i="36"/>
  <c r="AM93" i="36"/>
  <c r="AM104" i="36"/>
  <c r="AM89" i="36"/>
  <c r="AM90" i="36"/>
  <c r="AM98" i="36"/>
  <c r="AM100" i="36"/>
  <c r="AM106" i="36"/>
  <c r="AM95" i="36"/>
  <c r="AM88" i="36"/>
  <c r="AM96" i="36"/>
  <c r="AM99" i="36"/>
  <c r="AM101" i="36"/>
  <c r="AM97" i="36"/>
  <c r="AG63" i="36"/>
  <c r="AG64" i="36" s="1"/>
  <c r="AG98" i="36"/>
  <c r="AG89" i="36"/>
  <c r="AG100" i="36"/>
  <c r="AG97" i="36"/>
  <c r="AG88" i="36"/>
  <c r="AG99" i="36"/>
  <c r="AG93" i="36"/>
  <c r="AG94" i="36"/>
  <c r="AG95" i="36"/>
  <c r="AG104" i="36"/>
  <c r="AG101" i="36"/>
  <c r="AG103" i="36"/>
  <c r="AG102" i="36"/>
  <c r="AG106" i="36"/>
  <c r="AG105" i="36"/>
  <c r="AG96" i="36"/>
  <c r="AG92" i="36"/>
  <c r="AG91" i="36"/>
  <c r="AG90" i="36"/>
  <c r="Z97" i="36"/>
  <c r="Z88" i="36"/>
  <c r="Z99" i="36"/>
  <c r="Z96" i="36"/>
  <c r="Z98" i="36"/>
  <c r="Z104" i="36"/>
  <c r="Z105" i="36"/>
  <c r="Z89" i="36"/>
  <c r="Z92" i="36"/>
  <c r="Z100" i="36"/>
  <c r="Z94" i="36"/>
  <c r="Z91" i="36"/>
  <c r="Z106" i="36"/>
  <c r="Z93" i="36"/>
  <c r="Z103" i="36"/>
  <c r="Z101" i="36"/>
  <c r="Z102" i="36"/>
  <c r="Z95" i="36"/>
  <c r="Z90" i="36"/>
  <c r="W63" i="36"/>
  <c r="W64" i="36" s="1"/>
  <c r="W52" i="36" s="1"/>
  <c r="W97" i="36"/>
  <c r="W88" i="36"/>
  <c r="W99" i="36"/>
  <c r="W96" i="36"/>
  <c r="W98" i="36"/>
  <c r="W100" i="36"/>
  <c r="W101" i="36"/>
  <c r="W89" i="36"/>
  <c r="W106" i="36"/>
  <c r="W91" i="36"/>
  <c r="W94" i="36"/>
  <c r="W102" i="36"/>
  <c r="W93" i="36"/>
  <c r="W92" i="36"/>
  <c r="W105" i="36"/>
  <c r="W103" i="36"/>
  <c r="W95" i="36"/>
  <c r="W90" i="36"/>
  <c r="W104" i="36"/>
  <c r="AE63" i="36"/>
  <c r="AE64" i="36" s="1"/>
  <c r="AE89" i="36"/>
  <c r="AE100" i="36"/>
  <c r="AE91" i="36"/>
  <c r="AE102" i="36"/>
  <c r="AE88" i="36"/>
  <c r="AE99" i="36"/>
  <c r="AE90" i="36"/>
  <c r="AE101" i="36"/>
  <c r="AE94" i="36"/>
  <c r="AE95" i="36"/>
  <c r="AE96" i="36"/>
  <c r="AE103" i="36"/>
  <c r="AE105" i="36"/>
  <c r="AE93" i="36"/>
  <c r="AE104" i="36"/>
  <c r="AE106" i="36"/>
  <c r="AE98" i="36"/>
  <c r="AE92" i="36"/>
  <c r="AE97" i="36"/>
  <c r="AK63" i="36"/>
  <c r="AK64" i="36" s="1"/>
  <c r="AK52" i="36" s="1"/>
  <c r="AK94" i="36"/>
  <c r="AK105" i="36"/>
  <c r="AK96" i="36"/>
  <c r="AK93" i="36"/>
  <c r="AK104" i="36"/>
  <c r="AK95" i="36"/>
  <c r="AK106" i="36"/>
  <c r="AK90" i="36"/>
  <c r="AK91" i="36"/>
  <c r="AK92" i="36"/>
  <c r="AK99" i="36"/>
  <c r="AK101" i="36"/>
  <c r="AK89" i="36"/>
  <c r="AK97" i="36"/>
  <c r="AK98" i="36"/>
  <c r="AK100" i="36"/>
  <c r="AK102" i="36"/>
  <c r="AK88" i="36"/>
  <c r="AK103" i="36"/>
  <c r="G63" i="36"/>
  <c r="G64" i="36" s="1"/>
  <c r="G52" i="36" s="1"/>
  <c r="G91" i="36"/>
  <c r="G102" i="36"/>
  <c r="G93" i="36"/>
  <c r="G104" i="36"/>
  <c r="G90" i="36"/>
  <c r="G101" i="36"/>
  <c r="G92" i="36"/>
  <c r="G103" i="36"/>
  <c r="G89" i="36"/>
  <c r="G99" i="36"/>
  <c r="G94" i="36"/>
  <c r="G105" i="36"/>
  <c r="G88" i="36"/>
  <c r="G95" i="36"/>
  <c r="G97" i="36"/>
  <c r="G100" i="36"/>
  <c r="G96" i="36"/>
  <c r="G98" i="36"/>
  <c r="G106" i="36"/>
  <c r="AC63" i="36"/>
  <c r="AC64" i="36" s="1"/>
  <c r="AC52" i="36" s="1"/>
  <c r="AC91" i="36"/>
  <c r="AC102" i="36"/>
  <c r="AC93" i="36"/>
  <c r="AC104" i="36"/>
  <c r="AC90" i="36"/>
  <c r="AC101" i="36"/>
  <c r="AC92" i="36"/>
  <c r="AC103" i="36"/>
  <c r="AC95" i="36"/>
  <c r="AC96" i="36"/>
  <c r="AC97" i="36"/>
  <c r="AC106" i="36"/>
  <c r="AC88" i="36"/>
  <c r="AC105" i="36"/>
  <c r="AC89" i="36"/>
  <c r="AC99" i="36"/>
  <c r="AC94" i="36"/>
  <c r="AC98" i="36"/>
  <c r="AC100" i="36"/>
  <c r="J63" i="36"/>
  <c r="J91" i="36"/>
  <c r="J102" i="36"/>
  <c r="J93" i="36"/>
  <c r="J104" i="36"/>
  <c r="J90" i="36"/>
  <c r="J101" i="36"/>
  <c r="J106" i="36"/>
  <c r="J88" i="36"/>
  <c r="J89" i="36"/>
  <c r="J95" i="36"/>
  <c r="J99" i="36"/>
  <c r="J103" i="36"/>
  <c r="J97" i="36"/>
  <c r="J92" i="36"/>
  <c r="J96" i="36"/>
  <c r="J98" i="36"/>
  <c r="J94" i="36"/>
  <c r="J100" i="36"/>
  <c r="J105" i="36"/>
  <c r="R63" i="36"/>
  <c r="R64" i="36" s="1"/>
  <c r="R52" i="36" s="1"/>
  <c r="R94" i="36"/>
  <c r="R105" i="36"/>
  <c r="R96" i="36"/>
  <c r="R93" i="36"/>
  <c r="R104" i="36"/>
  <c r="R101" i="36"/>
  <c r="R102" i="36"/>
  <c r="R103" i="36"/>
  <c r="R90" i="36"/>
  <c r="R91" i="36"/>
  <c r="R100" i="36"/>
  <c r="R95" i="36"/>
  <c r="R106" i="36"/>
  <c r="R89" i="36"/>
  <c r="R97" i="36"/>
  <c r="R92" i="36"/>
  <c r="R99" i="36"/>
  <c r="R98" i="36"/>
  <c r="R88" i="36"/>
  <c r="Y63" i="36"/>
  <c r="Y95" i="36"/>
  <c r="Y106" i="36"/>
  <c r="Y97" i="36"/>
  <c r="Y94" i="36"/>
  <c r="Y105" i="36"/>
  <c r="Y96" i="36"/>
  <c r="Y98" i="36"/>
  <c r="Y99" i="36"/>
  <c r="Y100" i="36"/>
  <c r="Y90" i="36"/>
  <c r="Y92" i="36"/>
  <c r="Y104" i="36"/>
  <c r="Y89" i="36"/>
  <c r="Y91" i="36"/>
  <c r="Y102" i="36"/>
  <c r="Y103" i="36"/>
  <c r="Y93" i="36"/>
  <c r="Y88" i="36"/>
  <c r="Y101" i="36"/>
  <c r="I63" i="36"/>
  <c r="I64" i="36" s="1"/>
  <c r="I52" i="36" s="1"/>
  <c r="I89" i="36"/>
  <c r="I100" i="36"/>
  <c r="I91" i="36"/>
  <c r="I102" i="36"/>
  <c r="I88" i="36"/>
  <c r="I99" i="36"/>
  <c r="I90" i="36"/>
  <c r="I101" i="36"/>
  <c r="I96" i="36"/>
  <c r="I98" i="36"/>
  <c r="I103" i="36"/>
  <c r="I92" i="36"/>
  <c r="I93" i="36"/>
  <c r="I105" i="36"/>
  <c r="I95" i="36"/>
  <c r="I97" i="36"/>
  <c r="I94" i="36"/>
  <c r="I106" i="36"/>
  <c r="I104" i="36"/>
  <c r="T63" i="36"/>
  <c r="T64" i="36" s="1"/>
  <c r="T52" i="36" s="1"/>
  <c r="T92" i="36"/>
  <c r="T103" i="36"/>
  <c r="T94" i="36"/>
  <c r="T105" i="36"/>
  <c r="T91" i="36"/>
  <c r="T102" i="36"/>
  <c r="T99" i="36"/>
  <c r="T100" i="36"/>
  <c r="T101" i="36"/>
  <c r="T93" i="36"/>
  <c r="T96" i="36"/>
  <c r="T104" i="36"/>
  <c r="T98" i="36"/>
  <c r="T89" i="36"/>
  <c r="T106" i="36"/>
  <c r="T95" i="36"/>
  <c r="T97" i="36"/>
  <c r="T90" i="36"/>
  <c r="T88" i="36"/>
  <c r="O63" i="36"/>
  <c r="O94" i="36"/>
  <c r="O105" i="36"/>
  <c r="O96" i="36"/>
  <c r="O93" i="36"/>
  <c r="O104" i="36"/>
  <c r="O95" i="36"/>
  <c r="O106" i="36"/>
  <c r="O103" i="36"/>
  <c r="O92" i="36"/>
  <c r="O91" i="36"/>
  <c r="O102" i="36"/>
  <c r="O97" i="36"/>
  <c r="O99" i="36"/>
  <c r="O89" i="36"/>
  <c r="O88" i="36"/>
  <c r="O90" i="36"/>
  <c r="O98" i="36"/>
  <c r="O100" i="36"/>
  <c r="O101" i="36"/>
  <c r="AH89" i="36"/>
  <c r="AH100" i="36"/>
  <c r="AH91" i="36"/>
  <c r="AH102" i="36"/>
  <c r="AH88" i="36"/>
  <c r="AH99" i="36"/>
  <c r="AH92" i="36"/>
  <c r="AH93" i="36"/>
  <c r="AH94" i="36"/>
  <c r="AH101" i="36"/>
  <c r="AH103" i="36"/>
  <c r="AH106" i="36"/>
  <c r="AH97" i="36"/>
  <c r="AH98" i="36"/>
  <c r="AH104" i="36"/>
  <c r="AH105" i="36"/>
  <c r="AH95" i="36"/>
  <c r="AH96" i="36"/>
  <c r="AH90" i="36"/>
  <c r="AB63" i="36"/>
  <c r="AB64" i="36" s="1"/>
  <c r="AB52" i="36" s="1"/>
  <c r="AB95" i="36"/>
  <c r="AB106" i="36"/>
  <c r="AB97" i="36"/>
  <c r="AB94" i="36"/>
  <c r="AB105" i="36"/>
  <c r="AB96" i="36"/>
  <c r="AB98" i="36"/>
  <c r="AB88" i="36"/>
  <c r="AB101" i="36"/>
  <c r="AB92" i="36"/>
  <c r="AB103" i="36"/>
  <c r="AB90" i="36"/>
  <c r="AB102" i="36"/>
  <c r="AB104" i="36"/>
  <c r="AB93" i="36"/>
  <c r="AB89" i="36"/>
  <c r="AB99" i="36"/>
  <c r="AB100" i="36"/>
  <c r="AB91" i="36"/>
  <c r="S63" i="36"/>
  <c r="S64" i="36" s="1"/>
  <c r="S52" i="36" s="1"/>
  <c r="S90" i="36"/>
  <c r="S101" i="36"/>
  <c r="S92" i="36"/>
  <c r="S103" i="36"/>
  <c r="S89" i="36"/>
  <c r="S100" i="36"/>
  <c r="S91" i="36"/>
  <c r="S102" i="36"/>
  <c r="S104" i="36"/>
  <c r="S98" i="36"/>
  <c r="S106" i="36"/>
  <c r="S93" i="36"/>
  <c r="S97" i="36"/>
  <c r="S95" i="36"/>
  <c r="S99" i="36"/>
  <c r="S96" i="36"/>
  <c r="S105" i="36"/>
  <c r="S94" i="36"/>
  <c r="S88" i="36"/>
  <c r="AJ63" i="36"/>
  <c r="AJ64" i="36" s="1"/>
  <c r="AJ52" i="36" s="1"/>
  <c r="AJ98" i="36"/>
  <c r="AJ89" i="36"/>
  <c r="AJ100" i="36"/>
  <c r="AJ97" i="36"/>
  <c r="AJ91" i="36"/>
  <c r="AJ92" i="36"/>
  <c r="AJ93" i="36"/>
  <c r="AJ102" i="36"/>
  <c r="AJ106" i="36"/>
  <c r="AJ88" i="36"/>
  <c r="AJ95" i="36"/>
  <c r="AJ99" i="36"/>
  <c r="AJ90" i="36"/>
  <c r="AJ96" i="36"/>
  <c r="AJ104" i="36"/>
  <c r="AJ103" i="36"/>
  <c r="AJ105" i="36"/>
  <c r="AJ94" i="36"/>
  <c r="AJ101" i="36"/>
  <c r="X63" i="36"/>
  <c r="X64" i="36" s="1"/>
  <c r="X88" i="36"/>
  <c r="X99" i="36"/>
  <c r="X90" i="36"/>
  <c r="X101" i="36"/>
  <c r="X98" i="36"/>
  <c r="X97" i="36"/>
  <c r="X100" i="36"/>
  <c r="X92" i="36"/>
  <c r="X105" i="36"/>
  <c r="X96" i="36"/>
  <c r="X91" i="36"/>
  <c r="X94" i="36"/>
  <c r="X102" i="36"/>
  <c r="X106" i="36"/>
  <c r="X93" i="36"/>
  <c r="X89" i="36"/>
  <c r="X104" i="36"/>
  <c r="X103" i="36"/>
  <c r="X95" i="36"/>
  <c r="H63" i="36"/>
  <c r="H64" i="36" s="1"/>
  <c r="H52" i="36" s="1"/>
  <c r="H93" i="36"/>
  <c r="H104" i="36"/>
  <c r="H95" i="36"/>
  <c r="H106" i="36"/>
  <c r="H92" i="36"/>
  <c r="H103" i="36"/>
  <c r="H88" i="36"/>
  <c r="H89" i="36"/>
  <c r="H90" i="36"/>
  <c r="H97" i="36"/>
  <c r="H99" i="36"/>
  <c r="H94" i="36"/>
  <c r="H101" i="36"/>
  <c r="H105" i="36"/>
  <c r="H91" i="36"/>
  <c r="H98" i="36"/>
  <c r="H100" i="36"/>
  <c r="H102" i="36"/>
  <c r="H96" i="36"/>
  <c r="M63" i="36"/>
  <c r="M64" i="36" s="1"/>
  <c r="M52" i="36" s="1"/>
  <c r="M96" i="36"/>
  <c r="M98" i="36"/>
  <c r="M95" i="36"/>
  <c r="M106" i="36"/>
  <c r="M97" i="36"/>
  <c r="M104" i="36"/>
  <c r="M88" i="36"/>
  <c r="M105" i="36"/>
  <c r="M99" i="36"/>
  <c r="M93" i="36"/>
  <c r="M89" i="36"/>
  <c r="M91" i="36"/>
  <c r="M101" i="36"/>
  <c r="M92" i="36"/>
  <c r="M94" i="36"/>
  <c r="M102" i="36"/>
  <c r="M90" i="36"/>
  <c r="M100" i="36"/>
  <c r="M103" i="36"/>
  <c r="AI63" i="36"/>
  <c r="AI64" i="36" s="1"/>
  <c r="Z63" i="36"/>
  <c r="Z64" i="36" s="1"/>
  <c r="AH63" i="36"/>
  <c r="AH64" i="36" s="1"/>
  <c r="E57" i="36"/>
  <c r="AP57" i="36" s="1"/>
  <c r="E86" i="35" a="1"/>
  <c r="E86" i="35" s="1"/>
  <c r="E85" i="35" a="1"/>
  <c r="E85" i="35" s="1"/>
  <c r="E84" i="35" a="1"/>
  <c r="E84" i="35" s="1"/>
  <c r="E83" i="35" a="1"/>
  <c r="E83" i="35" s="1"/>
  <c r="E82" i="35" a="1"/>
  <c r="E82" i="35" s="1"/>
  <c r="E81" i="35" a="1"/>
  <c r="E81" i="35" s="1"/>
  <c r="E80" i="35" a="1"/>
  <c r="E80" i="35" s="1"/>
  <c r="E79" i="35" a="1"/>
  <c r="E79" i="35" s="1"/>
  <c r="E78" i="35" a="1"/>
  <c r="E78" i="35" s="1"/>
  <c r="E77" i="35" a="1"/>
  <c r="E77" i="35" s="1"/>
  <c r="E76" i="35" a="1"/>
  <c r="E76" i="35" s="1"/>
  <c r="E75" i="35" a="1"/>
  <c r="E75" i="35" s="1"/>
  <c r="E74" i="35" a="1"/>
  <c r="E74" i="35" s="1"/>
  <c r="E73" i="35" a="1"/>
  <c r="E73" i="35" s="1"/>
  <c r="E72" i="35" a="1"/>
  <c r="E72" i="35" s="1"/>
  <c r="E71" i="35" a="1"/>
  <c r="E71" i="35" s="1"/>
  <c r="E70" i="35" a="1"/>
  <c r="E70" i="35" s="1"/>
  <c r="E69" i="35" a="1"/>
  <c r="E69" i="35" s="1"/>
  <c r="E68" i="35" a="1"/>
  <c r="E68" i="35" s="1"/>
  <c r="E66" i="35" a="1"/>
  <c r="E66" i="35" s="1"/>
  <c r="E60" i="35" a="1"/>
  <c r="E60" i="35" s="1"/>
  <c r="E59" i="35" a="1"/>
  <c r="E59" i="35" s="1"/>
  <c r="E55" i="35" a="1"/>
  <c r="E55" i="35" s="1"/>
  <c r="E54" i="35" a="1"/>
  <c r="E54" i="35" s="1"/>
  <c r="E50" i="35" a="1"/>
  <c r="E50" i="35" s="1"/>
  <c r="E49" i="35" a="1"/>
  <c r="E49" i="35" s="1"/>
  <c r="E46" i="35" a="1"/>
  <c r="E46" i="35" s="1"/>
  <c r="E45" i="35" a="1"/>
  <c r="E45" i="35" s="1"/>
  <c r="C133" i="35"/>
  <c r="E30" i="35"/>
  <c r="E28" i="35"/>
  <c r="E29" i="35" s="1"/>
  <c r="I24" i="35"/>
  <c r="I23" i="35"/>
  <c r="I22" i="35"/>
  <c r="I21" i="35"/>
  <c r="I20" i="35"/>
  <c r="I19" i="35"/>
  <c r="I18" i="35"/>
  <c r="I17" i="35"/>
  <c r="I16" i="35"/>
  <c r="I15" i="35"/>
  <c r="I14" i="35"/>
  <c r="I13" i="35"/>
  <c r="I12" i="35"/>
  <c r="I11" i="35"/>
  <c r="I10" i="35"/>
  <c r="I9" i="35"/>
  <c r="I8" i="35"/>
  <c r="I7" i="35"/>
  <c r="I6" i="35"/>
  <c r="D34" i="32"/>
  <c r="E34" i="32"/>
  <c r="F34" i="32"/>
  <c r="G34" i="32"/>
  <c r="H34" i="32"/>
  <c r="C34" i="32"/>
  <c r="I24" i="29"/>
  <c r="I23" i="29"/>
  <c r="I22" i="29"/>
  <c r="I21" i="29"/>
  <c r="I20" i="29"/>
  <c r="I19" i="29"/>
  <c r="I18" i="29"/>
  <c r="I17" i="29"/>
  <c r="I16" i="29"/>
  <c r="I15" i="29"/>
  <c r="I14" i="29"/>
  <c r="I13" i="29"/>
  <c r="I12" i="29"/>
  <c r="I11" i="29"/>
  <c r="I10" i="29"/>
  <c r="I9" i="29"/>
  <c r="I8" i="29"/>
  <c r="I7" i="29"/>
  <c r="I6" i="29"/>
  <c r="I7" i="34"/>
  <c r="I8" i="34"/>
  <c r="I9" i="34"/>
  <c r="I10" i="34"/>
  <c r="I11" i="34"/>
  <c r="I12" i="34"/>
  <c r="I13" i="34"/>
  <c r="I14" i="34"/>
  <c r="I15" i="34"/>
  <c r="I16" i="34"/>
  <c r="I17" i="34"/>
  <c r="I18" i="34"/>
  <c r="I19" i="34"/>
  <c r="I20" i="34"/>
  <c r="I21" i="34"/>
  <c r="I22" i="34"/>
  <c r="I23" i="34"/>
  <c r="I24" i="34"/>
  <c r="I6" i="34"/>
  <c r="U126" i="36" l="1"/>
  <c r="U121" i="36"/>
  <c r="U113" i="36"/>
  <c r="U132" i="36"/>
  <c r="U109" i="36"/>
  <c r="U111" i="36"/>
  <c r="U129" i="36"/>
  <c r="U107" i="36"/>
  <c r="U131" i="36"/>
  <c r="U122" i="36"/>
  <c r="U117" i="36"/>
  <c r="U116" i="36"/>
  <c r="U51" i="36"/>
  <c r="U120" i="36"/>
  <c r="U118" i="36"/>
  <c r="U52" i="36"/>
  <c r="U123" i="36"/>
  <c r="U127" i="36"/>
  <c r="V109" i="36"/>
  <c r="J64" i="36"/>
  <c r="J131" i="36" s="1"/>
  <c r="AQ63" i="36"/>
  <c r="U110" i="36"/>
  <c r="E95" i="36"/>
  <c r="AP62" i="36"/>
  <c r="AS63" i="36"/>
  <c r="Y64" i="36"/>
  <c r="Y122" i="36" s="1"/>
  <c r="AT63" i="36"/>
  <c r="AX65" i="36"/>
  <c r="AP65" i="36"/>
  <c r="AD54" i="32" s="1"/>
  <c r="AA64" i="36"/>
  <c r="AA117" i="36" s="1"/>
  <c r="AU63" i="36"/>
  <c r="S109" i="36"/>
  <c r="O64" i="36"/>
  <c r="O132" i="36" s="1"/>
  <c r="AR63" i="36"/>
  <c r="AS64" i="36"/>
  <c r="AH131" i="36"/>
  <c r="F109" i="36"/>
  <c r="AK121" i="36"/>
  <c r="P109" i="36"/>
  <c r="R121" i="36"/>
  <c r="I110" i="36"/>
  <c r="T132" i="36"/>
  <c r="T109" i="36"/>
  <c r="V132" i="36"/>
  <c r="E96" i="36"/>
  <c r="W123" i="36"/>
  <c r="F129" i="36"/>
  <c r="P131" i="36"/>
  <c r="N129" i="36"/>
  <c r="AF129" i="36"/>
  <c r="R122" i="36"/>
  <c r="G111" i="36"/>
  <c r="AE110" i="36"/>
  <c r="W126" i="36"/>
  <c r="V122" i="36"/>
  <c r="AD131" i="36"/>
  <c r="N109" i="36"/>
  <c r="AF120" i="36"/>
  <c r="K132" i="36"/>
  <c r="R127" i="36"/>
  <c r="F120" i="36"/>
  <c r="P110" i="36"/>
  <c r="AD110" i="36"/>
  <c r="I131" i="36"/>
  <c r="F126" i="36"/>
  <c r="N132" i="36"/>
  <c r="E102" i="36"/>
  <c r="V111" i="36"/>
  <c r="E90" i="36"/>
  <c r="E92" i="36"/>
  <c r="E103" i="36"/>
  <c r="E106" i="36"/>
  <c r="E88" i="36"/>
  <c r="Z132" i="36"/>
  <c r="AD132" i="36"/>
  <c r="E98" i="36"/>
  <c r="E100" i="36"/>
  <c r="E104" i="36"/>
  <c r="E105" i="36"/>
  <c r="M126" i="36"/>
  <c r="H126" i="36"/>
  <c r="X131" i="36"/>
  <c r="AJ120" i="36"/>
  <c r="S127" i="36"/>
  <c r="E89" i="36"/>
  <c r="AB131" i="36"/>
  <c r="AH113" i="36"/>
  <c r="R111" i="36"/>
  <c r="AC110" i="36"/>
  <c r="G121" i="36"/>
  <c r="W127" i="36"/>
  <c r="Z123" i="36"/>
  <c r="V131" i="36"/>
  <c r="AD113" i="36"/>
  <c r="AI129" i="36"/>
  <c r="N131" i="36"/>
  <c r="Q109" i="36"/>
  <c r="E97" i="36"/>
  <c r="AE132" i="36"/>
  <c r="S111" i="36"/>
  <c r="E91" i="36"/>
  <c r="AB121" i="36"/>
  <c r="AH127" i="36"/>
  <c r="I121" i="36"/>
  <c r="G126" i="36"/>
  <c r="W132" i="36"/>
  <c r="Z126" i="36"/>
  <c r="AG132" i="36"/>
  <c r="V120" i="36"/>
  <c r="AD127" i="36"/>
  <c r="AL111" i="36"/>
  <c r="N110" i="36"/>
  <c r="K127" i="36"/>
  <c r="E99" i="36"/>
  <c r="E101" i="36"/>
  <c r="N127" i="36"/>
  <c r="E63" i="36"/>
  <c r="E93" i="36"/>
  <c r="R129" i="36"/>
  <c r="AD109" i="36"/>
  <c r="S121" i="36"/>
  <c r="E94" i="36"/>
  <c r="AH129" i="36"/>
  <c r="R120" i="36"/>
  <c r="F127" i="36"/>
  <c r="V126" i="36"/>
  <c r="AF123" i="36"/>
  <c r="AH132" i="36"/>
  <c r="R123" i="36"/>
  <c r="Z109" i="36"/>
  <c r="F132" i="36"/>
  <c r="V127" i="36"/>
  <c r="S122" i="36"/>
  <c r="AF109" i="36"/>
  <c r="AF121" i="36"/>
  <c r="S123" i="36"/>
  <c r="W131" i="36"/>
  <c r="AB127" i="36"/>
  <c r="W129" i="36"/>
  <c r="AF132" i="36"/>
  <c r="AB126" i="36"/>
  <c r="S131" i="36"/>
  <c r="AB111" i="36"/>
  <c r="W122" i="36"/>
  <c r="W109" i="36"/>
  <c r="AJ132" i="36"/>
  <c r="AJ121" i="36"/>
  <c r="P121" i="36"/>
  <c r="N123" i="36"/>
  <c r="R131" i="36"/>
  <c r="AH109" i="36"/>
  <c r="AD120" i="36"/>
  <c r="H129" i="36"/>
  <c r="I123" i="36"/>
  <c r="AC129" i="36"/>
  <c r="AM122" i="36"/>
  <c r="T120" i="36"/>
  <c r="AC120" i="36"/>
  <c r="AJ109" i="36"/>
  <c r="S126" i="36"/>
  <c r="AD129" i="36"/>
  <c r="N121" i="36"/>
  <c r="AE109" i="36"/>
  <c r="Z111" i="36"/>
  <c r="AD121" i="36"/>
  <c r="T123" i="36"/>
  <c r="AG131" i="36"/>
  <c r="L122" i="36"/>
  <c r="AJ131" i="36"/>
  <c r="AJ110" i="36"/>
  <c r="Z120" i="36"/>
  <c r="P129" i="36"/>
  <c r="AD122" i="36"/>
  <c r="K109" i="36"/>
  <c r="K123" i="36"/>
  <c r="M120" i="36"/>
  <c r="H121" i="36"/>
  <c r="X123" i="36"/>
  <c r="S113" i="36"/>
  <c r="AB123" i="36"/>
  <c r="I129" i="36"/>
  <c r="AC131" i="36"/>
  <c r="G131" i="36"/>
  <c r="AK126" i="36"/>
  <c r="AE121" i="36"/>
  <c r="AG127" i="36"/>
  <c r="AM109" i="36"/>
  <c r="F51" i="36"/>
  <c r="F117" i="36"/>
  <c r="F116" i="36"/>
  <c r="F118" i="36"/>
  <c r="AL129" i="36"/>
  <c r="K110" i="36"/>
  <c r="Q121" i="36"/>
  <c r="L107" i="36"/>
  <c r="L111" i="36"/>
  <c r="AH107" i="36"/>
  <c r="AH111" i="36"/>
  <c r="Q51" i="36"/>
  <c r="Q118" i="36"/>
  <c r="Q117" i="36"/>
  <c r="Q116" i="36"/>
  <c r="H109" i="36"/>
  <c r="AK129" i="36"/>
  <c r="AM51" i="36"/>
  <c r="AM118" i="36"/>
  <c r="AM117" i="36"/>
  <c r="AM116" i="36"/>
  <c r="M110" i="36"/>
  <c r="X127" i="36"/>
  <c r="AE126" i="36"/>
  <c r="Z107" i="36"/>
  <c r="Z110" i="36"/>
  <c r="AG51" i="36"/>
  <c r="AG117" i="36"/>
  <c r="AG118" i="36"/>
  <c r="AG116" i="36"/>
  <c r="V113" i="36"/>
  <c r="AI113" i="36"/>
  <c r="AL120" i="36"/>
  <c r="K107" i="36"/>
  <c r="K111" i="36"/>
  <c r="H110" i="36"/>
  <c r="R109" i="36"/>
  <c r="AK120" i="36"/>
  <c r="AG113" i="36"/>
  <c r="P111" i="36"/>
  <c r="N107" i="36"/>
  <c r="N111" i="36"/>
  <c r="M132" i="36"/>
  <c r="X126" i="36"/>
  <c r="AJ51" i="36"/>
  <c r="AJ118" i="36"/>
  <c r="AJ117" i="36"/>
  <c r="AJ116" i="36"/>
  <c r="AH123" i="36"/>
  <c r="I109" i="36"/>
  <c r="G129" i="36"/>
  <c r="AK123" i="36"/>
  <c r="AE107" i="36"/>
  <c r="AE111" i="36"/>
  <c r="AM123" i="36"/>
  <c r="F123" i="36"/>
  <c r="V123" i="36"/>
  <c r="AL122" i="36"/>
  <c r="K121" i="36"/>
  <c r="Q123" i="36"/>
  <c r="AG107" i="36"/>
  <c r="AG111" i="36"/>
  <c r="L51" i="36"/>
  <c r="L118" i="36"/>
  <c r="L116" i="36"/>
  <c r="L117" i="36"/>
  <c r="M131" i="36"/>
  <c r="T107" i="36"/>
  <c r="T110" i="36"/>
  <c r="AK113" i="36"/>
  <c r="AI126" i="36"/>
  <c r="AJ113" i="36"/>
  <c r="M129" i="36"/>
  <c r="H107" i="36"/>
  <c r="H111" i="36"/>
  <c r="I122" i="36"/>
  <c r="AC123" i="36"/>
  <c r="G109" i="36"/>
  <c r="X132" i="36"/>
  <c r="AJ127" i="36"/>
  <c r="AB122" i="36"/>
  <c r="T122" i="36"/>
  <c r="R113" i="36"/>
  <c r="AC122" i="36"/>
  <c r="AK122" i="36"/>
  <c r="W107" i="36"/>
  <c r="W110" i="36"/>
  <c r="AI107" i="36"/>
  <c r="AI111" i="36"/>
  <c r="AL113" i="36"/>
  <c r="K51" i="36"/>
  <c r="K116" i="36"/>
  <c r="K118" i="36"/>
  <c r="K117" i="36"/>
  <c r="L132" i="36"/>
  <c r="AJ107" i="36"/>
  <c r="AJ111" i="36"/>
  <c r="AB51" i="36"/>
  <c r="AB117" i="36"/>
  <c r="AB116" i="36"/>
  <c r="AB118" i="36"/>
  <c r="I120" i="36"/>
  <c r="J107" i="36"/>
  <c r="AC109" i="36"/>
  <c r="AE113" i="36"/>
  <c r="P126" i="36"/>
  <c r="AI127" i="36"/>
  <c r="AF113" i="36"/>
  <c r="Q107" i="36"/>
  <c r="Q132" i="36"/>
  <c r="L120" i="36"/>
  <c r="AG52" i="36"/>
  <c r="M122" i="36"/>
  <c r="S51" i="36"/>
  <c r="S116" i="36"/>
  <c r="S118" i="36"/>
  <c r="S117" i="36"/>
  <c r="T111" i="36"/>
  <c r="AE127" i="36"/>
  <c r="W51" i="36"/>
  <c r="W116" i="36"/>
  <c r="W117" i="36"/>
  <c r="W118" i="36"/>
  <c r="AM126" i="36"/>
  <c r="V129" i="36"/>
  <c r="AI120" i="36"/>
  <c r="AF51" i="36"/>
  <c r="AF116" i="36"/>
  <c r="AF118" i="36"/>
  <c r="AF117" i="36"/>
  <c r="L109" i="36"/>
  <c r="Z117" i="36"/>
  <c r="Z116" i="36"/>
  <c r="Z118" i="36"/>
  <c r="M123" i="36"/>
  <c r="H122" i="36"/>
  <c r="X107" i="36"/>
  <c r="X110" i="36"/>
  <c r="AB107" i="36"/>
  <c r="AB113" i="36"/>
  <c r="AH122" i="36"/>
  <c r="O107" i="36"/>
  <c r="T129" i="36"/>
  <c r="I132" i="36"/>
  <c r="G120" i="36"/>
  <c r="AK131" i="36"/>
  <c r="AE51" i="36"/>
  <c r="AE117" i="36"/>
  <c r="AE116" i="36"/>
  <c r="AE118" i="36"/>
  <c r="Z122" i="36"/>
  <c r="AG123" i="36"/>
  <c r="AM110" i="36"/>
  <c r="F110" i="36"/>
  <c r="P120" i="36"/>
  <c r="V107" i="36"/>
  <c r="V110" i="36"/>
  <c r="AD123" i="36"/>
  <c r="AL107" i="36"/>
  <c r="AL132" i="36"/>
  <c r="N51" i="36"/>
  <c r="N118" i="36"/>
  <c r="N117" i="36"/>
  <c r="N116" i="36"/>
  <c r="Q110" i="36"/>
  <c r="AA107" i="36"/>
  <c r="G107" i="36"/>
  <c r="G113" i="36"/>
  <c r="AI122" i="36"/>
  <c r="AL51" i="36"/>
  <c r="AL116" i="36"/>
  <c r="AL118" i="36"/>
  <c r="AL117" i="36"/>
  <c r="M109" i="36"/>
  <c r="AG129" i="36"/>
  <c r="X111" i="36"/>
  <c r="AJ123" i="36"/>
  <c r="T113" i="36"/>
  <c r="I113" i="36"/>
  <c r="G132" i="36"/>
  <c r="AE129" i="36"/>
  <c r="W120" i="36"/>
  <c r="Z121" i="36"/>
  <c r="AG122" i="36"/>
  <c r="AM129" i="36"/>
  <c r="F111" i="36"/>
  <c r="AD51" i="36"/>
  <c r="AD116" i="36"/>
  <c r="AD118" i="36"/>
  <c r="AD117" i="36"/>
  <c r="AL131" i="36"/>
  <c r="AF126" i="36"/>
  <c r="L131" i="36"/>
  <c r="H120" i="36"/>
  <c r="AK51" i="36"/>
  <c r="AK116" i="36"/>
  <c r="AK117" i="36"/>
  <c r="AK118" i="36"/>
  <c r="P127" i="36"/>
  <c r="L129" i="36"/>
  <c r="I126" i="36"/>
  <c r="L123" i="36"/>
  <c r="L52" i="36"/>
  <c r="AL109" i="36"/>
  <c r="K113" i="36"/>
  <c r="Q127" i="36"/>
  <c r="H123" i="36"/>
  <c r="X129" i="36"/>
  <c r="AJ129" i="36"/>
  <c r="AK110" i="36"/>
  <c r="Z113" i="36"/>
  <c r="AM111" i="36"/>
  <c r="AL126" i="36"/>
  <c r="K120" i="36"/>
  <c r="M121" i="36"/>
  <c r="H127" i="36"/>
  <c r="X120" i="36"/>
  <c r="S120" i="36"/>
  <c r="AB109" i="36"/>
  <c r="AH121" i="36"/>
  <c r="T131" i="36"/>
  <c r="I127" i="36"/>
  <c r="AC127" i="36"/>
  <c r="G123" i="36"/>
  <c r="AK127" i="36"/>
  <c r="AE120" i="36"/>
  <c r="Z127" i="36"/>
  <c r="AG121" i="36"/>
  <c r="AM120" i="36"/>
  <c r="F131" i="36"/>
  <c r="P122" i="36"/>
  <c r="K122" i="36"/>
  <c r="Q129" i="36"/>
  <c r="L126" i="36"/>
  <c r="H132" i="36"/>
  <c r="AJ126" i="36"/>
  <c r="AH120" i="36"/>
  <c r="T121" i="36"/>
  <c r="I107" i="36"/>
  <c r="I111" i="36"/>
  <c r="R107" i="36"/>
  <c r="R110" i="36"/>
  <c r="AC132" i="36"/>
  <c r="G127" i="36"/>
  <c r="AK132" i="36"/>
  <c r="AE131" i="36"/>
  <c r="W121" i="36"/>
  <c r="AG120" i="36"/>
  <c r="F121" i="36"/>
  <c r="P107" i="36"/>
  <c r="P132" i="36"/>
  <c r="V51" i="36"/>
  <c r="V116" i="36"/>
  <c r="V118" i="36"/>
  <c r="V117" i="36"/>
  <c r="AI131" i="36"/>
  <c r="N126" i="36"/>
  <c r="AF131" i="36"/>
  <c r="Q120" i="36"/>
  <c r="L110" i="36"/>
  <c r="X51" i="36"/>
  <c r="X118" i="36"/>
  <c r="X116" i="36"/>
  <c r="X117" i="36"/>
  <c r="S110" i="36"/>
  <c r="S107" i="36"/>
  <c r="AL123" i="36"/>
  <c r="AF107" i="36"/>
  <c r="AF111" i="36"/>
  <c r="K129" i="36"/>
  <c r="AI51" i="36"/>
  <c r="AI118" i="36"/>
  <c r="AI117" i="36"/>
  <c r="AI116" i="36"/>
  <c r="AC107" i="36"/>
  <c r="AC113" i="36"/>
  <c r="AG109" i="36"/>
  <c r="AM107" i="36"/>
  <c r="AM132" i="36"/>
  <c r="AI123" i="36"/>
  <c r="AF127" i="36"/>
  <c r="Q122" i="36"/>
  <c r="H113" i="36"/>
  <c r="AJ122" i="36"/>
  <c r="S132" i="36"/>
  <c r="I51" i="36"/>
  <c r="I117" i="36"/>
  <c r="I116" i="36"/>
  <c r="I118" i="36"/>
  <c r="R132" i="36"/>
  <c r="AC121" i="36"/>
  <c r="W113" i="36"/>
  <c r="AG126" i="36"/>
  <c r="AM113" i="36"/>
  <c r="P123" i="36"/>
  <c r="AI121" i="36"/>
  <c r="AL127" i="36"/>
  <c r="N122" i="36"/>
  <c r="AF110" i="36"/>
  <c r="M51" i="36"/>
  <c r="M118" i="36"/>
  <c r="M116" i="36"/>
  <c r="M117" i="36"/>
  <c r="P113" i="36"/>
  <c r="H51" i="36"/>
  <c r="H116" i="36"/>
  <c r="H117" i="36"/>
  <c r="H118" i="36"/>
  <c r="G51" i="36"/>
  <c r="G117" i="36"/>
  <c r="G116" i="36"/>
  <c r="G118" i="36"/>
  <c r="AM127" i="36"/>
  <c r="AI132" i="36"/>
  <c r="Q126" i="36"/>
  <c r="X122" i="36"/>
  <c r="AB120" i="36"/>
  <c r="T127" i="36"/>
  <c r="Q111" i="36"/>
  <c r="M127" i="36"/>
  <c r="X109" i="36"/>
  <c r="AB129" i="36"/>
  <c r="T126" i="36"/>
  <c r="AC51" i="36"/>
  <c r="AC117" i="36"/>
  <c r="AC116" i="36"/>
  <c r="AC118" i="36"/>
  <c r="AK109" i="36"/>
  <c r="F107" i="36"/>
  <c r="F113" i="36"/>
  <c r="L121" i="36"/>
  <c r="R51" i="36"/>
  <c r="R116" i="36"/>
  <c r="R118" i="36"/>
  <c r="R117" i="36"/>
  <c r="AH51" i="36"/>
  <c r="AH118" i="36"/>
  <c r="AH116" i="36"/>
  <c r="AH117" i="36"/>
  <c r="M113" i="36"/>
  <c r="H131" i="36"/>
  <c r="X121" i="36"/>
  <c r="S129" i="36"/>
  <c r="AB110" i="36"/>
  <c r="AH126" i="36"/>
  <c r="R126" i="36"/>
  <c r="AC126" i="36"/>
  <c r="G122" i="36"/>
  <c r="AK107" i="36"/>
  <c r="AK111" i="36"/>
  <c r="AE123" i="36"/>
  <c r="Z131" i="36"/>
  <c r="AG110" i="36"/>
  <c r="AM131" i="36"/>
  <c r="P51" i="36"/>
  <c r="P116" i="36"/>
  <c r="P118" i="36"/>
  <c r="P117" i="36"/>
  <c r="AD126" i="36"/>
  <c r="AI110" i="36"/>
  <c r="AL121" i="36"/>
  <c r="N113" i="36"/>
  <c r="K131" i="36"/>
  <c r="Q113" i="36"/>
  <c r="L113" i="36"/>
  <c r="AE52" i="36"/>
  <c r="X52" i="36"/>
  <c r="M107" i="36"/>
  <c r="M111" i="36"/>
  <c r="X113" i="36"/>
  <c r="AB132" i="36"/>
  <c r="AH110" i="36"/>
  <c r="T51" i="36"/>
  <c r="T117" i="36"/>
  <c r="T118" i="36"/>
  <c r="T116" i="36"/>
  <c r="Y107" i="36"/>
  <c r="AC111" i="36"/>
  <c r="G110" i="36"/>
  <c r="AE122" i="36"/>
  <c r="W111" i="36"/>
  <c r="Z129" i="36"/>
  <c r="AM121" i="36"/>
  <c r="F122" i="36"/>
  <c r="V121" i="36"/>
  <c r="AD107" i="36"/>
  <c r="AD111" i="36"/>
  <c r="AI109" i="36"/>
  <c r="AL110" i="36"/>
  <c r="N120" i="36"/>
  <c r="AF122" i="36"/>
  <c r="K126" i="36"/>
  <c r="Q131" i="36"/>
  <c r="L127" i="36"/>
  <c r="AI52" i="36"/>
  <c r="Z87" i="35"/>
  <c r="AA61" i="35"/>
  <c r="Z52" i="36"/>
  <c r="Z51" i="36"/>
  <c r="AH52" i="36"/>
  <c r="AJ56" i="35"/>
  <c r="AJ65" i="35" s="1"/>
  <c r="F61" i="35"/>
  <c r="W61" i="35"/>
  <c r="AN56" i="35"/>
  <c r="AN62" i="35" s="1"/>
  <c r="AN63" i="35" s="1"/>
  <c r="AN64" i="35" s="1"/>
  <c r="AN51" i="35" s="1"/>
  <c r="AM56" i="35"/>
  <c r="AM65" i="35" s="1"/>
  <c r="Y61" i="35"/>
  <c r="AB61" i="35"/>
  <c r="Z61" i="35"/>
  <c r="AN61" i="35"/>
  <c r="AM61" i="35"/>
  <c r="E31" i="35"/>
  <c r="E32" i="35"/>
  <c r="E35" i="35"/>
  <c r="E36" i="35"/>
  <c r="E37" i="35"/>
  <c r="AG56" i="35"/>
  <c r="AG65" i="35" s="1"/>
  <c r="AH56" i="35"/>
  <c r="AH65" i="35" s="1"/>
  <c r="AI56" i="35"/>
  <c r="AI65" i="35" s="1"/>
  <c r="X61" i="35"/>
  <c r="Y47" i="35"/>
  <c r="I56" i="35"/>
  <c r="I65" i="35" s="1"/>
  <c r="J56" i="35"/>
  <c r="J65" i="35" s="1"/>
  <c r="K56" i="35"/>
  <c r="K65" i="35" s="1"/>
  <c r="L56" i="35"/>
  <c r="L65" i="35" s="1"/>
  <c r="M56" i="35"/>
  <c r="M65" i="35" s="1"/>
  <c r="N56" i="35"/>
  <c r="N65" i="35" s="1"/>
  <c r="AE56" i="35"/>
  <c r="AE65" i="35" s="1"/>
  <c r="AN47" i="35"/>
  <c r="AF56" i="35"/>
  <c r="AF65" i="35" s="1"/>
  <c r="AM47" i="35"/>
  <c r="U47" i="35"/>
  <c r="T47" i="35"/>
  <c r="V47" i="35"/>
  <c r="W47" i="35"/>
  <c r="X47" i="35"/>
  <c r="AG47" i="35"/>
  <c r="K47" i="35"/>
  <c r="AE47" i="35"/>
  <c r="I47" i="35"/>
  <c r="AD47" i="35"/>
  <c r="H47" i="35"/>
  <c r="AC47" i="35"/>
  <c r="G47" i="35"/>
  <c r="Z47" i="35"/>
  <c r="S47" i="35"/>
  <c r="R47" i="35"/>
  <c r="AB47" i="35"/>
  <c r="F47" i="35"/>
  <c r="F48" i="35" s="1"/>
  <c r="AA47" i="35"/>
  <c r="Q47" i="35"/>
  <c r="AL47" i="35"/>
  <c r="P47" i="35"/>
  <c r="AJ47" i="35"/>
  <c r="N47" i="35"/>
  <c r="AH47" i="35"/>
  <c r="L47" i="35"/>
  <c r="AF47" i="35"/>
  <c r="J47" i="35"/>
  <c r="AK47" i="35"/>
  <c r="O47" i="35"/>
  <c r="AI47" i="35"/>
  <c r="M47" i="35"/>
  <c r="AC61" i="35"/>
  <c r="X56" i="35"/>
  <c r="X62" i="35" s="1"/>
  <c r="X63" i="35" s="1"/>
  <c r="X64" i="35" s="1"/>
  <c r="X51" i="35" s="1"/>
  <c r="P61" i="35"/>
  <c r="AL61" i="35"/>
  <c r="Y56" i="35"/>
  <c r="Y65" i="35" s="1"/>
  <c r="Q61" i="35"/>
  <c r="Z56" i="35"/>
  <c r="Z65" i="35" s="1"/>
  <c r="R61" i="35"/>
  <c r="S56" i="35"/>
  <c r="S62" i="35" s="1"/>
  <c r="S63" i="35" s="1"/>
  <c r="S64" i="35" s="1"/>
  <c r="S51" i="35" s="1"/>
  <c r="K61" i="35"/>
  <c r="AG61" i="35"/>
  <c r="U56" i="35"/>
  <c r="M61" i="35"/>
  <c r="AI61" i="35"/>
  <c r="Q56" i="35"/>
  <c r="Q65" i="35" s="1"/>
  <c r="I61" i="35"/>
  <c r="AE61" i="35"/>
  <c r="W56" i="35"/>
  <c r="O61" i="35"/>
  <c r="AK61" i="35"/>
  <c r="AA56" i="35"/>
  <c r="AA65" i="35" s="1"/>
  <c r="S61" i="35"/>
  <c r="F56" i="35"/>
  <c r="F65" i="35" s="1"/>
  <c r="AB56" i="35"/>
  <c r="AB65" i="35" s="1"/>
  <c r="T61" i="35"/>
  <c r="P56" i="35"/>
  <c r="AL56" i="35"/>
  <c r="H61" i="35"/>
  <c r="AD61" i="35"/>
  <c r="G56" i="35"/>
  <c r="G65" i="35" s="1"/>
  <c r="AC56" i="35"/>
  <c r="AC65" i="35" s="1"/>
  <c r="U61" i="35"/>
  <c r="H56" i="35"/>
  <c r="H65" i="35" s="1"/>
  <c r="AD56" i="35"/>
  <c r="AD65" i="35" s="1"/>
  <c r="V61" i="35"/>
  <c r="O56" i="35"/>
  <c r="AK56" i="35"/>
  <c r="AK57" i="35" s="1"/>
  <c r="G61" i="35"/>
  <c r="R56" i="35"/>
  <c r="R65" i="35" s="1"/>
  <c r="J61" i="35"/>
  <c r="AF61" i="35"/>
  <c r="T56" i="35"/>
  <c r="L61" i="35"/>
  <c r="AH61" i="35"/>
  <c r="V56" i="35"/>
  <c r="V62" i="35" s="1"/>
  <c r="V63" i="35" s="1"/>
  <c r="V64" i="35" s="1"/>
  <c r="V51" i="35" s="1"/>
  <c r="N61" i="35"/>
  <c r="AJ61" i="35"/>
  <c r="E86" i="34" a="1"/>
  <c r="E66" i="34" a="1"/>
  <c r="E58" i="34" a="1"/>
  <c r="E55" i="34" a="1"/>
  <c r="E54" i="34" a="1"/>
  <c r="E50" i="34" a="1"/>
  <c r="E49" i="34" a="1"/>
  <c r="E49" i="34" s="1"/>
  <c r="E46" i="34" a="1"/>
  <c r="E46" i="34" s="1"/>
  <c r="E45" i="34" a="1"/>
  <c r="E45" i="34" s="1"/>
  <c r="C132" i="34"/>
  <c r="E30" i="34"/>
  <c r="E28" i="34"/>
  <c r="E29" i="34" s="1"/>
  <c r="C132" i="29"/>
  <c r="Y123" i="36" l="1"/>
  <c r="AT123" i="36" s="1"/>
  <c r="AH46" i="32" s="1"/>
  <c r="J110" i="36"/>
  <c r="AQ110" i="36" s="1"/>
  <c r="J120" i="36"/>
  <c r="AQ120" i="36" s="1"/>
  <c r="AE43" i="32" s="1"/>
  <c r="J126" i="36"/>
  <c r="AQ126" i="36" s="1"/>
  <c r="J132" i="36"/>
  <c r="AQ132" i="36" s="1"/>
  <c r="J121" i="36"/>
  <c r="AQ121" i="36" s="1"/>
  <c r="AE44" i="32" s="1"/>
  <c r="J123" i="36"/>
  <c r="AQ123" i="36" s="1"/>
  <c r="AE46" i="32" s="1"/>
  <c r="U112" i="36"/>
  <c r="U115" i="36" s="1"/>
  <c r="U128" i="36"/>
  <c r="AS52" i="36"/>
  <c r="AG15" i="32" s="1"/>
  <c r="J118" i="36"/>
  <c r="AQ118" i="36" s="1"/>
  <c r="AE53" i="32" s="1"/>
  <c r="J117" i="36"/>
  <c r="AQ117" i="36" s="1"/>
  <c r="AE52" i="32" s="1"/>
  <c r="J122" i="36"/>
  <c r="AQ122" i="36" s="1"/>
  <c r="AE45" i="32" s="1"/>
  <c r="J51" i="36"/>
  <c r="AQ51" i="36" s="1"/>
  <c r="AE14" i="32" s="1"/>
  <c r="J116" i="36"/>
  <c r="AQ116" i="36" s="1"/>
  <c r="AE51" i="32" s="1"/>
  <c r="Y120" i="36"/>
  <c r="AT120" i="36" s="1"/>
  <c r="AH43" i="32" s="1"/>
  <c r="Y126" i="36"/>
  <c r="AT126" i="36" s="1"/>
  <c r="J113" i="36"/>
  <c r="AQ113" i="36" s="1"/>
  <c r="J127" i="36"/>
  <c r="AQ127" i="36" s="1"/>
  <c r="Y109" i="36"/>
  <c r="AT109" i="36" s="1"/>
  <c r="Y132" i="36"/>
  <c r="AT132" i="36" s="1"/>
  <c r="Y121" i="36"/>
  <c r="AT121" i="36" s="1"/>
  <c r="AH44" i="32" s="1"/>
  <c r="O111" i="36"/>
  <c r="AR111" i="36" s="1"/>
  <c r="AA113" i="36"/>
  <c r="AU113" i="36" s="1"/>
  <c r="O127" i="36"/>
  <c r="AR127" i="36" s="1"/>
  <c r="Y110" i="36"/>
  <c r="AT110" i="36" s="1"/>
  <c r="Y118" i="36"/>
  <c r="AT118" i="36" s="1"/>
  <c r="AH53" i="32" s="1"/>
  <c r="AS51" i="36"/>
  <c r="AG14" i="32" s="1"/>
  <c r="Y116" i="36"/>
  <c r="AT116" i="36" s="1"/>
  <c r="AH51" i="32" s="1"/>
  <c r="Y51" i="36"/>
  <c r="AT51" i="36" s="1"/>
  <c r="AH14" i="32" s="1"/>
  <c r="U124" i="36"/>
  <c r="Y117" i="36"/>
  <c r="AT117" i="36" s="1"/>
  <c r="AH52" i="32" s="1"/>
  <c r="J129" i="36"/>
  <c r="AQ129" i="36" s="1"/>
  <c r="J111" i="36"/>
  <c r="AQ111" i="36" s="1"/>
  <c r="Y129" i="36"/>
  <c r="AT129" i="36" s="1"/>
  <c r="Y127" i="36"/>
  <c r="AT127" i="36" s="1"/>
  <c r="Y131" i="36"/>
  <c r="AT131" i="36" s="1"/>
  <c r="AH49" i="32" s="1"/>
  <c r="J109" i="36"/>
  <c r="AQ109" i="36" s="1"/>
  <c r="O118" i="36"/>
  <c r="AR118" i="36" s="1"/>
  <c r="AF53" i="32" s="1"/>
  <c r="Y111" i="36"/>
  <c r="AT111" i="36" s="1"/>
  <c r="Y113" i="36"/>
  <c r="AT113" i="36" s="1"/>
  <c r="O113" i="36"/>
  <c r="AR113" i="36" s="1"/>
  <c r="AU65" i="35"/>
  <c r="AP54" i="32" s="1"/>
  <c r="AA116" i="36"/>
  <c r="AU116" i="36" s="1"/>
  <c r="AI51" i="32" s="1"/>
  <c r="AA118" i="36"/>
  <c r="AU118" i="36" s="1"/>
  <c r="AI53" i="32" s="1"/>
  <c r="AA51" i="36"/>
  <c r="AU51" i="36" s="1"/>
  <c r="AI14" i="32" s="1"/>
  <c r="O129" i="36"/>
  <c r="AR129" i="36" s="1"/>
  <c r="AA111" i="36"/>
  <c r="AU111" i="36" s="1"/>
  <c r="AA127" i="36"/>
  <c r="AU127" i="36" s="1"/>
  <c r="O122" i="36"/>
  <c r="AR122" i="36" s="1"/>
  <c r="AF45" i="32" s="1"/>
  <c r="AA120" i="36"/>
  <c r="AU120" i="36" s="1"/>
  <c r="AI43" i="32" s="1"/>
  <c r="O117" i="36"/>
  <c r="AR117" i="36" s="1"/>
  <c r="AF52" i="32" s="1"/>
  <c r="AA132" i="36"/>
  <c r="AU132" i="36" s="1"/>
  <c r="O116" i="36"/>
  <c r="AR116" i="36" s="1"/>
  <c r="AF51" i="32" s="1"/>
  <c r="AA52" i="36"/>
  <c r="AU52" i="36" s="1"/>
  <c r="AI15" i="32" s="1"/>
  <c r="AU64" i="36"/>
  <c r="O109" i="36"/>
  <c r="AR109" i="36" s="1"/>
  <c r="E54" i="34"/>
  <c r="AP54" i="34" s="1"/>
  <c r="AQ54" i="34"/>
  <c r="AR54" i="34"/>
  <c r="AS54" i="34"/>
  <c r="AT54" i="34"/>
  <c r="AU54" i="34"/>
  <c r="AA123" i="36"/>
  <c r="AU123" i="36" s="1"/>
  <c r="AI46" i="32" s="1"/>
  <c r="Y52" i="36"/>
  <c r="AT52" i="36" s="1"/>
  <c r="AH15" i="32" s="1"/>
  <c r="AT64" i="36"/>
  <c r="O51" i="36"/>
  <c r="AR51" i="36" s="1"/>
  <c r="AF14" i="32" s="1"/>
  <c r="E55" i="34"/>
  <c r="AP55" i="34" s="1"/>
  <c r="AR55" i="34"/>
  <c r="AS55" i="34"/>
  <c r="AU55" i="34"/>
  <c r="AT55" i="34"/>
  <c r="AQ55" i="34"/>
  <c r="AQ65" i="35"/>
  <c r="AL54" i="32" s="1"/>
  <c r="O126" i="36"/>
  <c r="AR126" i="36" s="1"/>
  <c r="O121" i="36"/>
  <c r="AR121" i="36" s="1"/>
  <c r="AF44" i="32" s="1"/>
  <c r="E58" i="34"/>
  <c r="AP58" i="34" s="1"/>
  <c r="AQ58" i="34"/>
  <c r="AR58" i="34"/>
  <c r="AS58" i="34"/>
  <c r="AT58" i="34"/>
  <c r="AU58" i="34"/>
  <c r="O123" i="36"/>
  <c r="AR123" i="36" s="1"/>
  <c r="AF46" i="32" s="1"/>
  <c r="O120" i="36"/>
  <c r="AA122" i="36"/>
  <c r="AU122" i="36" s="1"/>
  <c r="AI45" i="32" s="1"/>
  <c r="AA121" i="36"/>
  <c r="AU121" i="36" s="1"/>
  <c r="AI44" i="32" s="1"/>
  <c r="AA109" i="36"/>
  <c r="AU109" i="36" s="1"/>
  <c r="J52" i="36"/>
  <c r="AQ52" i="36" s="1"/>
  <c r="AE15" i="32" s="1"/>
  <c r="AQ64" i="36"/>
  <c r="O52" i="36"/>
  <c r="AR52" i="36" s="1"/>
  <c r="AF15" i="32" s="1"/>
  <c r="AR64" i="36"/>
  <c r="O131" i="36"/>
  <c r="AR131" i="36" s="1"/>
  <c r="AF49" i="32" s="1"/>
  <c r="E50" i="34"/>
  <c r="AP50" i="34" s="1"/>
  <c r="AU50" i="34"/>
  <c r="AT50" i="34"/>
  <c r="AQ50" i="34"/>
  <c r="AS50" i="34"/>
  <c r="AR50" i="34"/>
  <c r="O110" i="36"/>
  <c r="AA126" i="36"/>
  <c r="AA131" i="36"/>
  <c r="AU131" i="36" s="1"/>
  <c r="AI49" i="32" s="1"/>
  <c r="E64" i="36"/>
  <c r="E116" i="36" s="1"/>
  <c r="AP116" i="36" s="1"/>
  <c r="AD51" i="32" s="1"/>
  <c r="AP63" i="36"/>
  <c r="AA129" i="36"/>
  <c r="AU129" i="36" s="1"/>
  <c r="AA110" i="36"/>
  <c r="AS121" i="36"/>
  <c r="AG44" i="32" s="1"/>
  <c r="AS109" i="36"/>
  <c r="AS129" i="36"/>
  <c r="V112" i="36"/>
  <c r="V115" i="36" s="1"/>
  <c r="AH128" i="36"/>
  <c r="AS123" i="36"/>
  <c r="AG46" i="32" s="1"/>
  <c r="AS122" i="36"/>
  <c r="AG45" i="32" s="1"/>
  <c r="N128" i="36"/>
  <c r="AE128" i="36"/>
  <c r="AT122" i="36"/>
  <c r="AH45" i="32" s="1"/>
  <c r="AS127" i="36"/>
  <c r="S128" i="36"/>
  <c r="AS113" i="36"/>
  <c r="AS131" i="36"/>
  <c r="AG49" i="32" s="1"/>
  <c r="AD112" i="36"/>
  <c r="AD115" i="36" s="1"/>
  <c r="AS117" i="36"/>
  <c r="AG52" i="32" s="1"/>
  <c r="K128" i="36"/>
  <c r="AS118" i="36"/>
  <c r="AG53" i="32" s="1"/>
  <c r="AS116" i="36"/>
  <c r="AG51" i="32" s="1"/>
  <c r="H128" i="36"/>
  <c r="AF124" i="36"/>
  <c r="AJ128" i="36"/>
  <c r="N112" i="36"/>
  <c r="N114" i="36" s="1"/>
  <c r="F124" i="36"/>
  <c r="AM124" i="36"/>
  <c r="AM112" i="36"/>
  <c r="AM115" i="36" s="1"/>
  <c r="P112" i="36"/>
  <c r="P115" i="36" s="1"/>
  <c r="S112" i="36"/>
  <c r="S114" i="36" s="1"/>
  <c r="AR132" i="36"/>
  <c r="V128" i="36"/>
  <c r="AS120" i="36"/>
  <c r="AG43" i="32" s="1"/>
  <c r="F128" i="36"/>
  <c r="E107" i="36"/>
  <c r="R124" i="36"/>
  <c r="AS132" i="36"/>
  <c r="M112" i="36"/>
  <c r="M115" i="36" s="1"/>
  <c r="AB128" i="36"/>
  <c r="R128" i="36"/>
  <c r="AS110" i="36"/>
  <c r="AD128" i="36"/>
  <c r="AU117" i="36"/>
  <c r="AI52" i="32" s="1"/>
  <c r="AM128" i="36"/>
  <c r="AJ124" i="36"/>
  <c r="W128" i="36"/>
  <c r="V124" i="36"/>
  <c r="Z128" i="36"/>
  <c r="AS126" i="36"/>
  <c r="P128" i="36"/>
  <c r="E66" i="34"/>
  <c r="AP66" i="34" s="1"/>
  <c r="AU66" i="34"/>
  <c r="AT66" i="34"/>
  <c r="AS66" i="34"/>
  <c r="AR66" i="34"/>
  <c r="AQ66" i="34"/>
  <c r="G128" i="36"/>
  <c r="M128" i="36"/>
  <c r="AS111" i="36"/>
  <c r="AQ86" i="34"/>
  <c r="AR86" i="34"/>
  <c r="AS86" i="34"/>
  <c r="AT86" i="34"/>
  <c r="AU86" i="34"/>
  <c r="AQ131" i="36"/>
  <c r="AE49" i="32" s="1"/>
  <c r="AJ112" i="36"/>
  <c r="AJ114" i="36" s="1"/>
  <c r="AC112" i="36"/>
  <c r="AC115" i="36" s="1"/>
  <c r="Q112" i="36"/>
  <c r="Q114" i="36" s="1"/>
  <c r="I112" i="36"/>
  <c r="I114" i="36" s="1"/>
  <c r="AH112" i="36"/>
  <c r="AH114" i="36" s="1"/>
  <c r="S124" i="36"/>
  <c r="I124" i="36"/>
  <c r="L112" i="36"/>
  <c r="L115" i="36" s="1"/>
  <c r="T112" i="36"/>
  <c r="T114" i="36" s="1"/>
  <c r="AB112" i="36"/>
  <c r="AB114" i="36" s="1"/>
  <c r="W112" i="36"/>
  <c r="R112" i="36"/>
  <c r="R115" i="36" s="1"/>
  <c r="AF112" i="36"/>
  <c r="AF115" i="36" s="1"/>
  <c r="AK128" i="36"/>
  <c r="T128" i="36"/>
  <c r="AB124" i="36"/>
  <c r="G112" i="36"/>
  <c r="G114" i="36" s="1"/>
  <c r="X124" i="36"/>
  <c r="AD124" i="36"/>
  <c r="AE112" i="36"/>
  <c r="AE114" i="36" s="1"/>
  <c r="Q124" i="36"/>
  <c r="I128" i="36"/>
  <c r="AL112" i="36"/>
  <c r="AL115" i="36" s="1"/>
  <c r="AF128" i="36"/>
  <c r="AE57" i="35"/>
  <c r="F112" i="36"/>
  <c r="F115" i="36" s="1"/>
  <c r="G124" i="36"/>
  <c r="K112" i="36"/>
  <c r="K115" i="36" s="1"/>
  <c r="M62" i="35"/>
  <c r="M63" i="35" s="1"/>
  <c r="M64" i="35" s="1"/>
  <c r="M51" i="35" s="1"/>
  <c r="T124" i="36"/>
  <c r="AE62" i="35"/>
  <c r="AE63" i="35" s="1"/>
  <c r="AE64" i="35" s="1"/>
  <c r="AE51" i="35" s="1"/>
  <c r="N124" i="36"/>
  <c r="Z124" i="36"/>
  <c r="Z112" i="36"/>
  <c r="Z114" i="36" s="1"/>
  <c r="AK112" i="36"/>
  <c r="AG124" i="36"/>
  <c r="AE124" i="36"/>
  <c r="AG112" i="36"/>
  <c r="AL124" i="36"/>
  <c r="X112" i="36"/>
  <c r="P124" i="36"/>
  <c r="AF62" i="35"/>
  <c r="AF63" i="35" s="1"/>
  <c r="AF64" i="35" s="1"/>
  <c r="AF51" i="35" s="1"/>
  <c r="L62" i="35"/>
  <c r="L63" i="35" s="1"/>
  <c r="L64" i="35" s="1"/>
  <c r="L51" i="35" s="1"/>
  <c r="L124" i="36"/>
  <c r="H112" i="36"/>
  <c r="X128" i="36"/>
  <c r="AH124" i="36"/>
  <c r="AI112" i="36"/>
  <c r="AL128" i="36"/>
  <c r="AI124" i="36"/>
  <c r="AI128" i="36"/>
  <c r="K124" i="36"/>
  <c r="Q128" i="36"/>
  <c r="E86" i="34"/>
  <c r="E59" i="34" s="1"/>
  <c r="AL59" i="34"/>
  <c r="AL60" i="34" s="1"/>
  <c r="P59" i="34"/>
  <c r="P60" i="34" s="1"/>
  <c r="Y59" i="34"/>
  <c r="Y60" i="34" s="1"/>
  <c r="AE59" i="34"/>
  <c r="AE60" i="34" s="1"/>
  <c r="AJ59" i="34"/>
  <c r="AJ60" i="34" s="1"/>
  <c r="G59" i="34"/>
  <c r="G60" i="34" s="1"/>
  <c r="AC59" i="34"/>
  <c r="AC60" i="34" s="1"/>
  <c r="AI59" i="34"/>
  <c r="AI60" i="34" s="1"/>
  <c r="R59" i="34"/>
  <c r="R60" i="34" s="1"/>
  <c r="L59" i="34"/>
  <c r="L60" i="34" s="1"/>
  <c r="AG59" i="34"/>
  <c r="AG60" i="34" s="1"/>
  <c r="H59" i="34"/>
  <c r="H60" i="34" s="1"/>
  <c r="AH59" i="34"/>
  <c r="AH60" i="34" s="1"/>
  <c r="F59" i="34"/>
  <c r="F60" i="34" s="1"/>
  <c r="U59" i="34"/>
  <c r="AF59" i="34"/>
  <c r="AF60" i="34" s="1"/>
  <c r="AK59" i="34"/>
  <c r="AK60" i="34" s="1"/>
  <c r="AD59" i="34"/>
  <c r="AD60" i="34" s="1"/>
  <c r="Q59" i="34"/>
  <c r="Q60" i="34" s="1"/>
  <c r="AB59" i="34"/>
  <c r="AB60" i="34" s="1"/>
  <c r="W59" i="34"/>
  <c r="W60" i="34" s="1"/>
  <c r="T59" i="34"/>
  <c r="T60" i="34" s="1"/>
  <c r="S59" i="34"/>
  <c r="S60" i="34" s="1"/>
  <c r="J59" i="34"/>
  <c r="J60" i="34" s="1"/>
  <c r="AA59" i="34"/>
  <c r="M59" i="34"/>
  <c r="M60" i="34" s="1"/>
  <c r="K59" i="34"/>
  <c r="V59" i="34"/>
  <c r="V60" i="34" s="1"/>
  <c r="I59" i="34"/>
  <c r="I60" i="34" s="1"/>
  <c r="X59" i="34"/>
  <c r="N59" i="34"/>
  <c r="N60" i="34" s="1"/>
  <c r="O59" i="34"/>
  <c r="Z59" i="34"/>
  <c r="Z60" i="34" s="1"/>
  <c r="AG128" i="36"/>
  <c r="AK124" i="36"/>
  <c r="AC128" i="36"/>
  <c r="L128" i="36"/>
  <c r="H124" i="36"/>
  <c r="AC124" i="36"/>
  <c r="M124" i="36"/>
  <c r="W124" i="36"/>
  <c r="L57" i="35"/>
  <c r="AF57" i="35"/>
  <c r="W87" i="34"/>
  <c r="Q87" i="34"/>
  <c r="AL87" i="34"/>
  <c r="AK87" i="34"/>
  <c r="V87" i="34"/>
  <c r="U87" i="34"/>
  <c r="S87" i="34"/>
  <c r="T87" i="34"/>
  <c r="P87" i="34"/>
  <c r="O87" i="34"/>
  <c r="AJ87" i="34"/>
  <c r="R87" i="34"/>
  <c r="AG87" i="34"/>
  <c r="K87" i="34"/>
  <c r="Z87" i="34"/>
  <c r="H87" i="34"/>
  <c r="AI87" i="34"/>
  <c r="Y87" i="34"/>
  <c r="N87" i="34"/>
  <c r="L87" i="34"/>
  <c r="F87" i="34"/>
  <c r="X87" i="34"/>
  <c r="M87" i="34"/>
  <c r="J87" i="34"/>
  <c r="G87" i="34"/>
  <c r="AH87" i="34"/>
  <c r="AD87" i="34"/>
  <c r="AB87" i="34"/>
  <c r="AF87" i="34"/>
  <c r="I87" i="34"/>
  <c r="AE87" i="34"/>
  <c r="AC87" i="34"/>
  <c r="AA87" i="34"/>
  <c r="M57" i="35"/>
  <c r="I62" i="35"/>
  <c r="I63" i="35" s="1"/>
  <c r="I64" i="35" s="1"/>
  <c r="I51" i="35" s="1"/>
  <c r="J57" i="35"/>
  <c r="AJ62" i="35"/>
  <c r="AJ63" i="35" s="1"/>
  <c r="AJ64" i="35" s="1"/>
  <c r="AJ51" i="35" s="1"/>
  <c r="AG57" i="35"/>
  <c r="K57" i="35"/>
  <c r="I57" i="35"/>
  <c r="AG62" i="35"/>
  <c r="AG63" i="35" s="1"/>
  <c r="AG64" i="35" s="1"/>
  <c r="AG51" i="35" s="1"/>
  <c r="J62" i="35"/>
  <c r="J63" i="35" s="1"/>
  <c r="J64" i="35" s="1"/>
  <c r="J51" i="35" s="1"/>
  <c r="K62" i="35"/>
  <c r="K63" i="35" s="1"/>
  <c r="K64" i="35" s="1"/>
  <c r="K51" i="35" s="1"/>
  <c r="G57" i="35"/>
  <c r="AJ57" i="35"/>
  <c r="AH57" i="35"/>
  <c r="AI62" i="35"/>
  <c r="AI63" i="35" s="1"/>
  <c r="AI64" i="35" s="1"/>
  <c r="AI51" i="35" s="1"/>
  <c r="AI57" i="35"/>
  <c r="AH62" i="35"/>
  <c r="AH63" i="35" s="1"/>
  <c r="AH64" i="35" s="1"/>
  <c r="AH51" i="35" s="1"/>
  <c r="AM62" i="35"/>
  <c r="AM63" i="35" s="1"/>
  <c r="AM64" i="35" s="1"/>
  <c r="AM51" i="35" s="1"/>
  <c r="AC57" i="35"/>
  <c r="N62" i="35"/>
  <c r="N63" i="35" s="1"/>
  <c r="N64" i="35" s="1"/>
  <c r="N51" i="35" s="1"/>
  <c r="F57" i="35"/>
  <c r="AC62" i="35"/>
  <c r="AC63" i="35" s="1"/>
  <c r="AC64" i="35" s="1"/>
  <c r="AC51" i="35" s="1"/>
  <c r="AN57" i="35"/>
  <c r="AN65" i="35"/>
  <c r="G62" i="35"/>
  <c r="G63" i="35" s="1"/>
  <c r="G64" i="35" s="1"/>
  <c r="G51" i="35" s="1"/>
  <c r="N57" i="35"/>
  <c r="AM57" i="35"/>
  <c r="X47" i="34"/>
  <c r="F62" i="35"/>
  <c r="F63" i="35" s="1"/>
  <c r="F64" i="35" s="1"/>
  <c r="F51" i="35" s="1"/>
  <c r="AB57" i="35"/>
  <c r="AA57" i="35"/>
  <c r="AA62" i="35"/>
  <c r="AA63" i="35" s="1"/>
  <c r="AA64" i="35" s="1"/>
  <c r="AA51" i="35" s="1"/>
  <c r="AD62" i="35"/>
  <c r="AD63" i="35" s="1"/>
  <c r="AD64" i="35" s="1"/>
  <c r="AD51" i="35" s="1"/>
  <c r="Z57" i="35"/>
  <c r="H62" i="35"/>
  <c r="H63" i="35" s="1"/>
  <c r="H64" i="35" s="1"/>
  <c r="H51" i="35" s="1"/>
  <c r="Q62" i="35"/>
  <c r="Q63" i="35" s="1"/>
  <c r="Q64" i="35" s="1"/>
  <c r="Q51" i="35" s="1"/>
  <c r="AL65" i="35"/>
  <c r="AL62" i="35"/>
  <c r="AL63" i="35" s="1"/>
  <c r="AL64" i="35" s="1"/>
  <c r="AL51" i="35" s="1"/>
  <c r="W57" i="35"/>
  <c r="W65" i="35"/>
  <c r="P65" i="35"/>
  <c r="P62" i="35"/>
  <c r="P63" i="35" s="1"/>
  <c r="P64" i="35" s="1"/>
  <c r="P51" i="35" s="1"/>
  <c r="P57" i="35"/>
  <c r="U57" i="35"/>
  <c r="U65" i="35"/>
  <c r="U62" i="35"/>
  <c r="U63" i="35" s="1"/>
  <c r="U64" i="35" s="1"/>
  <c r="U51" i="35" s="1"/>
  <c r="X65" i="35"/>
  <c r="AT65" i="35" s="1"/>
  <c r="AO54" i="32" s="1"/>
  <c r="X57" i="35"/>
  <c r="E38" i="35"/>
  <c r="Q57" i="35"/>
  <c r="G48" i="35"/>
  <c r="H48" i="35" s="1"/>
  <c r="I48" i="35" s="1"/>
  <c r="J48" i="35" s="1"/>
  <c r="K48" i="35" s="1"/>
  <c r="L48" i="35" s="1"/>
  <c r="M48" i="35" s="1"/>
  <c r="N48" i="35" s="1"/>
  <c r="O48" i="35" s="1"/>
  <c r="P48" i="35" s="1"/>
  <c r="Q48" i="35" s="1"/>
  <c r="R48" i="35" s="1"/>
  <c r="S48" i="35" s="1"/>
  <c r="T48" i="35" s="1"/>
  <c r="U48" i="35" s="1"/>
  <c r="V48" i="35" s="1"/>
  <c r="W48" i="35" s="1"/>
  <c r="X48" i="35" s="1"/>
  <c r="Y48" i="35" s="1"/>
  <c r="Z48" i="35" s="1"/>
  <c r="AA48" i="35" s="1"/>
  <c r="AB48" i="35" s="1"/>
  <c r="AC48" i="35" s="1"/>
  <c r="AD48" i="35" s="1"/>
  <c r="AE48" i="35" s="1"/>
  <c r="AF48" i="35" s="1"/>
  <c r="AG48" i="35" s="1"/>
  <c r="AH48" i="35" s="1"/>
  <c r="AI48" i="35" s="1"/>
  <c r="AJ48" i="35" s="1"/>
  <c r="AK48" i="35" s="1"/>
  <c r="AL48" i="35" s="1"/>
  <c r="AM48" i="35" s="1"/>
  <c r="AN48" i="35" s="1"/>
  <c r="T57" i="35"/>
  <c r="T65" i="35"/>
  <c r="E56" i="35"/>
  <c r="E65" i="35" s="1"/>
  <c r="AP65" i="35" s="1"/>
  <c r="AK54" i="32" s="1"/>
  <c r="E61" i="35"/>
  <c r="AK65" i="35"/>
  <c r="AK62" i="35"/>
  <c r="O65" i="35"/>
  <c r="O62" i="35"/>
  <c r="O63" i="35" s="1"/>
  <c r="O64" i="35" s="1"/>
  <c r="O51" i="35" s="1"/>
  <c r="AL57" i="35"/>
  <c r="W62" i="35"/>
  <c r="W63" i="35" s="1"/>
  <c r="W64" i="35" s="1"/>
  <c r="W51" i="35" s="1"/>
  <c r="Z62" i="35"/>
  <c r="R57" i="35"/>
  <c r="V65" i="35"/>
  <c r="V57" i="35"/>
  <c r="O57" i="35"/>
  <c r="AD57" i="35"/>
  <c r="H57" i="35"/>
  <c r="E33" i="35"/>
  <c r="E34" i="35" s="1"/>
  <c r="Y62" i="35"/>
  <c r="Y63" i="35" s="1"/>
  <c r="Y64" i="35" s="1"/>
  <c r="Y51" i="35" s="1"/>
  <c r="S57" i="35"/>
  <c r="S65" i="35"/>
  <c r="Y57" i="35"/>
  <c r="T62" i="35"/>
  <c r="T63" i="35" s="1"/>
  <c r="T64" i="35" s="1"/>
  <c r="T51" i="35" s="1"/>
  <c r="R62" i="35"/>
  <c r="R63" i="35" s="1"/>
  <c r="R64" i="35" s="1"/>
  <c r="R51" i="35" s="1"/>
  <c r="AB62" i="35"/>
  <c r="AB63" i="35" s="1"/>
  <c r="AB64" i="35" s="1"/>
  <c r="AB51" i="35" s="1"/>
  <c r="Z47" i="34"/>
  <c r="E32" i="34"/>
  <c r="V47" i="34"/>
  <c r="Y47" i="34"/>
  <c r="J61" i="34"/>
  <c r="E31" i="34"/>
  <c r="E35" i="34"/>
  <c r="S47" i="34"/>
  <c r="AE61" i="34"/>
  <c r="T47" i="34"/>
  <c r="AF61" i="34"/>
  <c r="U47" i="34"/>
  <c r="AG61" i="34"/>
  <c r="AC56" i="34"/>
  <c r="AC65" i="34" s="1"/>
  <c r="O61" i="34"/>
  <c r="R47" i="34"/>
  <c r="Q61" i="34"/>
  <c r="AH61" i="34"/>
  <c r="U56" i="34"/>
  <c r="V56" i="34"/>
  <c r="V65" i="34" s="1"/>
  <c r="W56" i="34"/>
  <c r="W57" i="34" s="1"/>
  <c r="X56" i="34"/>
  <c r="F56" i="34"/>
  <c r="F65" i="34" s="1"/>
  <c r="G56" i="34"/>
  <c r="G65" i="34" s="1"/>
  <c r="I61" i="34"/>
  <c r="AA56" i="34"/>
  <c r="K61" i="34"/>
  <c r="AG47" i="34"/>
  <c r="K47" i="34"/>
  <c r="G47" i="34"/>
  <c r="AF47" i="34"/>
  <c r="J47" i="34"/>
  <c r="AE47" i="34"/>
  <c r="I47" i="34"/>
  <c r="AA47" i="34"/>
  <c r="W47" i="34"/>
  <c r="Q47" i="34"/>
  <c r="AL47" i="34"/>
  <c r="P47" i="34"/>
  <c r="AK47" i="34"/>
  <c r="O47" i="34"/>
  <c r="AB47" i="34"/>
  <c r="F47" i="34"/>
  <c r="F48" i="34" s="1"/>
  <c r="AJ47" i="34"/>
  <c r="N47" i="34"/>
  <c r="AI47" i="34"/>
  <c r="M47" i="34"/>
  <c r="AH47" i="34"/>
  <c r="L47" i="34"/>
  <c r="AD47" i="34"/>
  <c r="H47" i="34"/>
  <c r="AC47" i="34"/>
  <c r="AB56" i="34"/>
  <c r="AB65" i="34" s="1"/>
  <c r="L61" i="34"/>
  <c r="AL61" i="34"/>
  <c r="AK61" i="34"/>
  <c r="P61" i="34"/>
  <c r="J56" i="34"/>
  <c r="J65" i="34" s="1"/>
  <c r="K56" i="34"/>
  <c r="AG56" i="34"/>
  <c r="AG65" i="34" s="1"/>
  <c r="AK56" i="34"/>
  <c r="AK65" i="34" s="1"/>
  <c r="O56" i="34"/>
  <c r="P56" i="34"/>
  <c r="P65" i="34" s="1"/>
  <c r="AL56" i="34"/>
  <c r="AL65" i="34" s="1"/>
  <c r="Z61" i="34"/>
  <c r="Q56" i="34"/>
  <c r="Q57" i="34" s="1"/>
  <c r="AA61" i="34"/>
  <c r="I56" i="34"/>
  <c r="I65" i="34" s="1"/>
  <c r="AE56" i="34"/>
  <c r="AE65" i="34" s="1"/>
  <c r="S61" i="34"/>
  <c r="R56" i="34"/>
  <c r="F61" i="34"/>
  <c r="AB61" i="34"/>
  <c r="S56" i="34"/>
  <c r="S57" i="34" s="1"/>
  <c r="G61" i="34"/>
  <c r="AC61" i="34"/>
  <c r="T56" i="34"/>
  <c r="T57" i="34" s="1"/>
  <c r="H61" i="34"/>
  <c r="AD61" i="34"/>
  <c r="Y56" i="34"/>
  <c r="Y57" i="34" s="1"/>
  <c r="M61" i="34"/>
  <c r="AI61" i="34"/>
  <c r="Z56" i="34"/>
  <c r="Z65" i="34" s="1"/>
  <c r="N61" i="34"/>
  <c r="AJ61" i="34"/>
  <c r="H56" i="34"/>
  <c r="H65" i="34" s="1"/>
  <c r="AD56" i="34"/>
  <c r="AD65" i="34" s="1"/>
  <c r="R61" i="34"/>
  <c r="L56" i="34"/>
  <c r="L65" i="34" s="1"/>
  <c r="AH56" i="34"/>
  <c r="AH65" i="34" s="1"/>
  <c r="V61" i="34"/>
  <c r="U61" i="34"/>
  <c r="M56" i="34"/>
  <c r="M65" i="34" s="1"/>
  <c r="AI56" i="34"/>
  <c r="AI65" i="34" s="1"/>
  <c r="W61" i="34"/>
  <c r="N56" i="34"/>
  <c r="N65" i="34" s="1"/>
  <c r="AJ56" i="34"/>
  <c r="AJ62" i="34" s="1"/>
  <c r="X61" i="34"/>
  <c r="AF56" i="34"/>
  <c r="AF65" i="34" s="1"/>
  <c r="T61" i="34"/>
  <c r="Y61" i="34"/>
  <c r="J128" i="36" l="1"/>
  <c r="AQ128" i="36" s="1"/>
  <c r="AE48" i="32" s="1"/>
  <c r="O112" i="36"/>
  <c r="O114" i="36" s="1"/>
  <c r="U114" i="36"/>
  <c r="J124" i="36"/>
  <c r="AQ124" i="36" s="1"/>
  <c r="Y124" i="36"/>
  <c r="AT124" i="36" s="1"/>
  <c r="E118" i="36"/>
  <c r="AP118" i="36" s="1"/>
  <c r="AD53" i="32" s="1"/>
  <c r="AS65" i="35"/>
  <c r="AN54" i="32" s="1"/>
  <c r="J112" i="36"/>
  <c r="AQ112" i="36" s="1"/>
  <c r="O128" i="36"/>
  <c r="AR128" i="36" s="1"/>
  <c r="AF48" i="32" s="1"/>
  <c r="Y128" i="36"/>
  <c r="AT128" i="36" s="1"/>
  <c r="AH48" i="32" s="1"/>
  <c r="Y112" i="36"/>
  <c r="AT112" i="36" s="1"/>
  <c r="AA128" i="36"/>
  <c r="AU128" i="36" s="1"/>
  <c r="AI48" i="32" s="1"/>
  <c r="AU126" i="36"/>
  <c r="E126" i="36"/>
  <c r="AP126" i="36" s="1"/>
  <c r="O124" i="36"/>
  <c r="AR124" i="36" s="1"/>
  <c r="E121" i="36"/>
  <c r="AP121" i="36" s="1"/>
  <c r="AD44" i="32" s="1"/>
  <c r="AR110" i="36"/>
  <c r="AR120" i="36"/>
  <c r="AF43" i="32" s="1"/>
  <c r="AF47" i="32" s="1"/>
  <c r="AA112" i="36"/>
  <c r="AA115" i="36" s="1"/>
  <c r="AH47" i="32"/>
  <c r="AE47" i="32"/>
  <c r="X57" i="34"/>
  <c r="AT56" i="34"/>
  <c r="K65" i="34"/>
  <c r="AQ65" i="34" s="1"/>
  <c r="P54" i="32" s="1"/>
  <c r="AQ56" i="34"/>
  <c r="AA124" i="36"/>
  <c r="AU124" i="36" s="1"/>
  <c r="E52" i="36"/>
  <c r="AP52" i="36" s="1"/>
  <c r="AD15" i="32" s="1"/>
  <c r="AP64" i="36"/>
  <c r="V114" i="36"/>
  <c r="E122" i="36"/>
  <c r="AP122" i="36" s="1"/>
  <c r="AD45" i="32" s="1"/>
  <c r="E132" i="36"/>
  <c r="AP132" i="36" s="1"/>
  <c r="E113" i="36"/>
  <c r="AP113" i="36" s="1"/>
  <c r="E117" i="36"/>
  <c r="AP117" i="36" s="1"/>
  <c r="AD52" i="32" s="1"/>
  <c r="E131" i="36"/>
  <c r="AP131" i="36" s="1"/>
  <c r="AD49" i="32" s="1"/>
  <c r="O65" i="34"/>
  <c r="AR56" i="34"/>
  <c r="E109" i="36"/>
  <c r="AP109" i="36" s="1"/>
  <c r="E110" i="36"/>
  <c r="AP110" i="36" s="1"/>
  <c r="X60" i="34"/>
  <c r="AT60" i="34" s="1"/>
  <c r="AT59" i="34"/>
  <c r="E51" i="36"/>
  <c r="AP51" i="36" s="1"/>
  <c r="AD14" i="32" s="1"/>
  <c r="AU110" i="36"/>
  <c r="E127" i="36"/>
  <c r="AP127" i="36" s="1"/>
  <c r="E111" i="36"/>
  <c r="AP111" i="36" s="1"/>
  <c r="E120" i="36"/>
  <c r="AP120" i="36" s="1"/>
  <c r="AD43" i="32" s="1"/>
  <c r="U65" i="34"/>
  <c r="AS56" i="34"/>
  <c r="AI47" i="32"/>
  <c r="O60" i="34"/>
  <c r="AR60" i="34" s="1"/>
  <c r="AR59" i="34"/>
  <c r="U60" i="34"/>
  <c r="AS60" i="34" s="1"/>
  <c r="AS59" i="34"/>
  <c r="AA65" i="34"/>
  <c r="AU65" i="34" s="1"/>
  <c r="T54" i="32" s="1"/>
  <c r="AU56" i="34"/>
  <c r="AR65" i="35"/>
  <c r="AM54" i="32" s="1"/>
  <c r="K60" i="34"/>
  <c r="AQ60" i="34" s="1"/>
  <c r="AQ59" i="34"/>
  <c r="E129" i="36"/>
  <c r="AP129" i="36" s="1"/>
  <c r="E123" i="36"/>
  <c r="AP123" i="36" s="1"/>
  <c r="AD46" i="32" s="1"/>
  <c r="AG47" i="32"/>
  <c r="AA60" i="34"/>
  <c r="AU60" i="34" s="1"/>
  <c r="AU59" i="34"/>
  <c r="AR61" i="34"/>
  <c r="AU61" i="34"/>
  <c r="AT61" i="34"/>
  <c r="AQ61" i="34"/>
  <c r="AS61" i="34"/>
  <c r="AH115" i="36"/>
  <c r="K114" i="36"/>
  <c r="N115" i="36"/>
  <c r="R114" i="36"/>
  <c r="P114" i="36"/>
  <c r="AS128" i="36"/>
  <c r="AG48" i="32" s="1"/>
  <c r="M114" i="36"/>
  <c r="Q115" i="36"/>
  <c r="AC114" i="36"/>
  <c r="AD114" i="36"/>
  <c r="AM114" i="36"/>
  <c r="S115" i="36"/>
  <c r="AS124" i="36"/>
  <c r="E33" i="34"/>
  <c r="E34" i="34" s="1"/>
  <c r="AL114" i="36"/>
  <c r="S33" i="32"/>
  <c r="S34" i="32" s="1"/>
  <c r="AT87" i="34"/>
  <c r="R33" i="32"/>
  <c r="R34" i="32" s="1"/>
  <c r="AS87" i="34"/>
  <c r="Q33" i="32"/>
  <c r="Q34" i="32" s="1"/>
  <c r="AR87" i="34"/>
  <c r="T33" i="32"/>
  <c r="T34" i="32" s="1"/>
  <c r="AU87" i="34"/>
  <c r="P33" i="32"/>
  <c r="P34" i="32" s="1"/>
  <c r="AQ87" i="34"/>
  <c r="P35" i="32"/>
  <c r="W114" i="36"/>
  <c r="AS112" i="36"/>
  <c r="AF114" i="36"/>
  <c r="Q35" i="32"/>
  <c r="R35" i="32"/>
  <c r="S35" i="32"/>
  <c r="T35" i="32"/>
  <c r="AP86" i="34"/>
  <c r="I115" i="36"/>
  <c r="O35" i="32"/>
  <c r="AJ115" i="36"/>
  <c r="F114" i="36"/>
  <c r="W115" i="36"/>
  <c r="AB115" i="36"/>
  <c r="G115" i="36"/>
  <c r="T115" i="36"/>
  <c r="L114" i="36"/>
  <c r="E37" i="34"/>
  <c r="E3" i="34" s="1"/>
  <c r="E87" i="34"/>
  <c r="AE115" i="36"/>
  <c r="Z115" i="36"/>
  <c r="E36" i="34"/>
  <c r="E2" i="34" s="1"/>
  <c r="AK114" i="36"/>
  <c r="AK115" i="36"/>
  <c r="AI114" i="36"/>
  <c r="AI115" i="36"/>
  <c r="X114" i="36"/>
  <c r="X115" i="36"/>
  <c r="H115" i="36"/>
  <c r="H114" i="36"/>
  <c r="AG114" i="36"/>
  <c r="AG115" i="36"/>
  <c r="AJ95" i="34"/>
  <c r="AJ100" i="34"/>
  <c r="AJ97" i="34"/>
  <c r="AJ89" i="34"/>
  <c r="AJ91" i="34"/>
  <c r="AJ102" i="34"/>
  <c r="AJ93" i="34"/>
  <c r="AJ104" i="34"/>
  <c r="AJ106" i="34"/>
  <c r="AJ99" i="34"/>
  <c r="AJ88" i="34"/>
  <c r="AJ92" i="34"/>
  <c r="AJ96" i="34"/>
  <c r="AJ101" i="34"/>
  <c r="AJ94" i="34"/>
  <c r="AJ98" i="34"/>
  <c r="AJ103" i="34"/>
  <c r="AJ90" i="34"/>
  <c r="AJ105" i="34"/>
  <c r="G48" i="34"/>
  <c r="H48" i="34" s="1"/>
  <c r="I48" i="34" s="1"/>
  <c r="J48" i="34" s="1"/>
  <c r="K48" i="34" s="1"/>
  <c r="L48" i="34" s="1"/>
  <c r="M48" i="34" s="1"/>
  <c r="N48" i="34" s="1"/>
  <c r="O48" i="34" s="1"/>
  <c r="P48" i="34" s="1"/>
  <c r="Q48" i="34" s="1"/>
  <c r="R48" i="34" s="1"/>
  <c r="S48" i="34" s="1"/>
  <c r="T48" i="34" s="1"/>
  <c r="U48" i="34" s="1"/>
  <c r="V48" i="34" s="1"/>
  <c r="W48" i="34" s="1"/>
  <c r="X48" i="34" s="1"/>
  <c r="Y48" i="34" s="1"/>
  <c r="Z48" i="34" s="1"/>
  <c r="AA48" i="34" s="1"/>
  <c r="AB48" i="34" s="1"/>
  <c r="AC48" i="34" s="1"/>
  <c r="AD48" i="34" s="1"/>
  <c r="AE48" i="34" s="1"/>
  <c r="AF48" i="34" s="1"/>
  <c r="AG48" i="34" s="1"/>
  <c r="AH48" i="34" s="1"/>
  <c r="AI48" i="34" s="1"/>
  <c r="AJ48" i="34" s="1"/>
  <c r="AK48" i="34" s="1"/>
  <c r="AL48" i="34" s="1"/>
  <c r="E41" i="35"/>
  <c r="AK62" i="34"/>
  <c r="AM52" i="35"/>
  <c r="AN52" i="35"/>
  <c r="E62" i="35"/>
  <c r="E63" i="35" s="1"/>
  <c r="E64" i="35" s="1"/>
  <c r="E51" i="35" s="1"/>
  <c r="E59" i="29"/>
  <c r="Z59" i="29"/>
  <c r="E38" i="34"/>
  <c r="E57" i="35"/>
  <c r="Z103" i="35"/>
  <c r="Z106" i="35"/>
  <c r="Z105" i="35"/>
  <c r="Z104" i="35"/>
  <c r="Z101" i="35"/>
  <c r="Z92" i="35"/>
  <c r="Z91" i="35"/>
  <c r="Z100" i="35"/>
  <c r="Z99" i="35"/>
  <c r="Z90" i="35"/>
  <c r="Z102" i="35"/>
  <c r="Z89" i="35"/>
  <c r="Z88" i="35"/>
  <c r="Z93" i="35"/>
  <c r="Z98" i="35"/>
  <c r="Z97" i="35"/>
  <c r="Z95" i="35"/>
  <c r="Z94" i="35"/>
  <c r="Z63" i="35"/>
  <c r="Z64" i="35" s="1"/>
  <c r="Z52" i="35" s="1"/>
  <c r="Z96" i="35"/>
  <c r="AK63" i="35"/>
  <c r="AK64" i="35" s="1"/>
  <c r="AK51" i="35" s="1"/>
  <c r="E39" i="35"/>
  <c r="E40" i="35" s="1"/>
  <c r="Q52" i="35"/>
  <c r="AL52" i="35"/>
  <c r="P52" i="35"/>
  <c r="AJ52" i="35"/>
  <c r="N52" i="35"/>
  <c r="AH52" i="35"/>
  <c r="L52" i="35"/>
  <c r="AE52" i="35"/>
  <c r="I52" i="35"/>
  <c r="X52" i="35"/>
  <c r="W52" i="35"/>
  <c r="AF52" i="35"/>
  <c r="J52" i="35"/>
  <c r="V52" i="35"/>
  <c r="U52" i="35"/>
  <c r="S52" i="35"/>
  <c r="AG52" i="35"/>
  <c r="K52" i="35"/>
  <c r="O52" i="35"/>
  <c r="AI52" i="35"/>
  <c r="M52" i="35"/>
  <c r="T52" i="35"/>
  <c r="R52" i="35"/>
  <c r="Y52" i="35"/>
  <c r="AA52" i="35"/>
  <c r="H52" i="35"/>
  <c r="G52" i="35"/>
  <c r="F52" i="35"/>
  <c r="AD52" i="35"/>
  <c r="AC52" i="35"/>
  <c r="AB52" i="35"/>
  <c r="Z57" i="34"/>
  <c r="AA57" i="34"/>
  <c r="F57" i="34"/>
  <c r="O62" i="34"/>
  <c r="AK57" i="34"/>
  <c r="AD57" i="34"/>
  <c r="K62" i="34"/>
  <c r="AH62" i="34"/>
  <c r="L62" i="34"/>
  <c r="J62" i="34"/>
  <c r="H57" i="34"/>
  <c r="AI57" i="34"/>
  <c r="H62" i="34"/>
  <c r="M57" i="34"/>
  <c r="F62" i="34"/>
  <c r="AE62" i="34"/>
  <c r="Z62" i="34"/>
  <c r="N62" i="34"/>
  <c r="I62" i="34"/>
  <c r="N57" i="34"/>
  <c r="S65" i="34"/>
  <c r="S62" i="34"/>
  <c r="AJ63" i="34"/>
  <c r="AF62" i="34"/>
  <c r="V62" i="34"/>
  <c r="AJ65" i="34"/>
  <c r="E41" i="34" s="1"/>
  <c r="K57" i="34"/>
  <c r="R65" i="34"/>
  <c r="R62" i="34"/>
  <c r="E61" i="34"/>
  <c r="AP61" i="34" s="1"/>
  <c r="E56" i="34"/>
  <c r="AA62" i="34"/>
  <c r="L57" i="34"/>
  <c r="U62" i="34"/>
  <c r="G57" i="34"/>
  <c r="P57" i="34"/>
  <c r="AF57" i="34"/>
  <c r="J57" i="34"/>
  <c r="Y62" i="34"/>
  <c r="Y65" i="34"/>
  <c r="AI62" i="34"/>
  <c r="U57" i="34"/>
  <c r="G62" i="34"/>
  <c r="AE57" i="34"/>
  <c r="V57" i="34"/>
  <c r="R57" i="34"/>
  <c r="X65" i="34"/>
  <c r="X62" i="34"/>
  <c r="T62" i="34"/>
  <c r="T65" i="34"/>
  <c r="AB62" i="34"/>
  <c r="AB57" i="34"/>
  <c r="AG57" i="34"/>
  <c r="AJ57" i="34"/>
  <c r="AH57" i="34"/>
  <c r="AG62" i="34"/>
  <c r="O57" i="34"/>
  <c r="AL57" i="34"/>
  <c r="AC62" i="34"/>
  <c r="AL62" i="34"/>
  <c r="M62" i="34"/>
  <c r="P62" i="34"/>
  <c r="AC57" i="34"/>
  <c r="I57" i="34"/>
  <c r="AD62" i="34"/>
  <c r="Q65" i="34"/>
  <c r="Q62" i="34"/>
  <c r="W65" i="34"/>
  <c r="W62" i="34"/>
  <c r="Z87" i="29"/>
  <c r="E28" i="29"/>
  <c r="E29" i="29" s="1"/>
  <c r="AR112" i="36" l="1"/>
  <c r="O115" i="36"/>
  <c r="AR115" i="36" s="1"/>
  <c r="J114" i="36"/>
  <c r="J115" i="36"/>
  <c r="AQ115" i="36" s="1"/>
  <c r="Y114" i="36"/>
  <c r="Y115" i="36"/>
  <c r="AT115" i="36" s="1"/>
  <c r="AT65" i="34"/>
  <c r="S54" i="32" s="1"/>
  <c r="E128" i="36"/>
  <c r="AP128" i="36" s="1"/>
  <c r="AD48" i="32" s="1"/>
  <c r="AQ57" i="34"/>
  <c r="AJ64" i="34"/>
  <c r="AJ51" i="34" s="1"/>
  <c r="AA114" i="36"/>
  <c r="AU112" i="36"/>
  <c r="AT62" i="34"/>
  <c r="AS57" i="34"/>
  <c r="AR65" i="34"/>
  <c r="Q54" i="32" s="1"/>
  <c r="AU57" i="34"/>
  <c r="E124" i="36"/>
  <c r="AP124" i="36" s="1"/>
  <c r="E60" i="29"/>
  <c r="AP60" i="29" s="1"/>
  <c r="AP59" i="29"/>
  <c r="AD47" i="32"/>
  <c r="AR57" i="34"/>
  <c r="E60" i="34"/>
  <c r="AP60" i="34" s="1"/>
  <c r="AP59" i="34"/>
  <c r="Z60" i="29"/>
  <c r="AT60" i="29" s="1"/>
  <c r="AT59" i="29"/>
  <c r="AS65" i="34"/>
  <c r="R54" i="32" s="1"/>
  <c r="E65" i="34"/>
  <c r="AP56" i="34"/>
  <c r="AT57" i="34"/>
  <c r="E112" i="36"/>
  <c r="AP112" i="36" s="1"/>
  <c r="AR62" i="34"/>
  <c r="AS62" i="34"/>
  <c r="AU62" i="34"/>
  <c r="AQ62" i="34"/>
  <c r="AS115" i="36"/>
  <c r="Z123" i="35"/>
  <c r="AU115" i="36"/>
  <c r="O33" i="32"/>
  <c r="O34" i="32" s="1"/>
  <c r="AP87" i="34"/>
  <c r="E52" i="35"/>
  <c r="AD63" i="34"/>
  <c r="AD64" i="34" s="1"/>
  <c r="AD88" i="34"/>
  <c r="AD103" i="34"/>
  <c r="AD95" i="34"/>
  <c r="AD106" i="34"/>
  <c r="AD97" i="34"/>
  <c r="AD90" i="34"/>
  <c r="AD101" i="34"/>
  <c r="AD99" i="34"/>
  <c r="AD92" i="34"/>
  <c r="AD91" i="34"/>
  <c r="AD102" i="34"/>
  <c r="AD96" i="34"/>
  <c r="AD89" i="34"/>
  <c r="AD100" i="34"/>
  <c r="AD94" i="34"/>
  <c r="AD93" i="34"/>
  <c r="AD104" i="34"/>
  <c r="AD105" i="34"/>
  <c r="AD98" i="34"/>
  <c r="N63" i="34"/>
  <c r="N64" i="34" s="1"/>
  <c r="N104" i="34"/>
  <c r="N96" i="34"/>
  <c r="N92" i="34"/>
  <c r="N103" i="34"/>
  <c r="N93" i="34"/>
  <c r="N95" i="34"/>
  <c r="N106" i="34"/>
  <c r="N94" i="34"/>
  <c r="N105" i="34"/>
  <c r="N90" i="34"/>
  <c r="N88" i="34"/>
  <c r="N102" i="34"/>
  <c r="N97" i="34"/>
  <c r="N100" i="34"/>
  <c r="N89" i="34"/>
  <c r="N91" i="34"/>
  <c r="N98" i="34"/>
  <c r="N101" i="34"/>
  <c r="N99" i="34"/>
  <c r="AF63" i="34"/>
  <c r="AF64" i="34" s="1"/>
  <c r="AF93" i="34"/>
  <c r="AF104" i="34"/>
  <c r="AF99" i="34"/>
  <c r="AF88" i="34"/>
  <c r="AF95" i="34"/>
  <c r="AF106" i="34"/>
  <c r="AF90" i="34"/>
  <c r="AF97" i="34"/>
  <c r="AF101" i="34"/>
  <c r="AF96" i="34"/>
  <c r="AF91" i="34"/>
  <c r="AF102" i="34"/>
  <c r="AF92" i="34"/>
  <c r="AF103" i="34"/>
  <c r="AF100" i="34"/>
  <c r="AF94" i="34"/>
  <c r="AF98" i="34"/>
  <c r="AF89" i="34"/>
  <c r="AF105" i="34"/>
  <c r="I63" i="34"/>
  <c r="I64" i="34" s="1"/>
  <c r="I94" i="34"/>
  <c r="I105" i="34"/>
  <c r="I92" i="34"/>
  <c r="I91" i="34"/>
  <c r="I93" i="34"/>
  <c r="I104" i="34"/>
  <c r="I103" i="34"/>
  <c r="I102" i="34"/>
  <c r="I90" i="34"/>
  <c r="I101" i="34"/>
  <c r="I88" i="34"/>
  <c r="I99" i="34"/>
  <c r="I97" i="34"/>
  <c r="I100" i="34"/>
  <c r="I95" i="34"/>
  <c r="I98" i="34"/>
  <c r="I106" i="34"/>
  <c r="I89" i="34"/>
  <c r="I96" i="34"/>
  <c r="Z94" i="34"/>
  <c r="Z90" i="34"/>
  <c r="Z93" i="34"/>
  <c r="Z92" i="34"/>
  <c r="Z91" i="34"/>
  <c r="Z89" i="34"/>
  <c r="Z88" i="34"/>
  <c r="Z104" i="34"/>
  <c r="Z101" i="34"/>
  <c r="Z99" i="34"/>
  <c r="Z105" i="34"/>
  <c r="Z103" i="34"/>
  <c r="Z100" i="34"/>
  <c r="Z106" i="34"/>
  <c r="Z102" i="34"/>
  <c r="Z98" i="34"/>
  <c r="Z97" i="34"/>
  <c r="Z96" i="34"/>
  <c r="Z95" i="34"/>
  <c r="P63" i="34"/>
  <c r="P64" i="34" s="1"/>
  <c r="P94" i="34"/>
  <c r="P97" i="34"/>
  <c r="P105" i="34"/>
  <c r="P96" i="34"/>
  <c r="P93" i="34"/>
  <c r="P95" i="34"/>
  <c r="P106" i="34"/>
  <c r="P104" i="34"/>
  <c r="P91" i="34"/>
  <c r="P92" i="34"/>
  <c r="P99" i="34"/>
  <c r="P90" i="34"/>
  <c r="P102" i="34"/>
  <c r="P103" i="34"/>
  <c r="P89" i="34"/>
  <c r="P98" i="34"/>
  <c r="P100" i="34"/>
  <c r="P88" i="34"/>
  <c r="P101" i="34"/>
  <c r="AL63" i="34"/>
  <c r="AL64" i="34" s="1"/>
  <c r="AL51" i="34" s="1"/>
  <c r="AL89" i="34"/>
  <c r="AL104" i="34"/>
  <c r="AL98" i="34"/>
  <c r="AL95" i="34"/>
  <c r="AL106" i="34"/>
  <c r="AL100" i="34"/>
  <c r="AL91" i="34"/>
  <c r="AL102" i="34"/>
  <c r="AL93" i="34"/>
  <c r="AL94" i="34"/>
  <c r="AL105" i="34"/>
  <c r="AL92" i="34"/>
  <c r="AL99" i="34"/>
  <c r="AL88" i="34"/>
  <c r="AL103" i="34"/>
  <c r="AL97" i="34"/>
  <c r="AL90" i="34"/>
  <c r="AL101" i="34"/>
  <c r="AL96" i="34"/>
  <c r="Q63" i="34"/>
  <c r="Q64" i="34" s="1"/>
  <c r="Q98" i="34"/>
  <c r="Q96" i="34"/>
  <c r="Q95" i="34"/>
  <c r="Q97" i="34"/>
  <c r="Q94" i="34"/>
  <c r="Q105" i="34"/>
  <c r="Q106" i="34"/>
  <c r="Q92" i="34"/>
  <c r="Q103" i="34"/>
  <c r="Q102" i="34"/>
  <c r="Q90" i="34"/>
  <c r="Q100" i="34"/>
  <c r="Q99" i="34"/>
  <c r="Q104" i="34"/>
  <c r="Q101" i="34"/>
  <c r="Q93" i="34"/>
  <c r="Q89" i="34"/>
  <c r="Q88" i="34"/>
  <c r="Q91" i="34"/>
  <c r="S63" i="34"/>
  <c r="S64" i="34" s="1"/>
  <c r="S88" i="34"/>
  <c r="S99" i="34"/>
  <c r="S96" i="34"/>
  <c r="S97" i="34"/>
  <c r="S98" i="34"/>
  <c r="S95" i="34"/>
  <c r="S106" i="34"/>
  <c r="S93" i="34"/>
  <c r="S104" i="34"/>
  <c r="S89" i="34"/>
  <c r="S94" i="34"/>
  <c r="S91" i="34"/>
  <c r="S92" i="34"/>
  <c r="S105" i="34"/>
  <c r="S90" i="34"/>
  <c r="S102" i="34"/>
  <c r="S100" i="34"/>
  <c r="S103" i="34"/>
  <c r="S101" i="34"/>
  <c r="Y63" i="34"/>
  <c r="Y64" i="34" s="1"/>
  <c r="Y91" i="34"/>
  <c r="Y102" i="34"/>
  <c r="Y100" i="34"/>
  <c r="Y99" i="34"/>
  <c r="Y98" i="34"/>
  <c r="Y89" i="34"/>
  <c r="Y90" i="34"/>
  <c r="Y101" i="34"/>
  <c r="Y88" i="34"/>
  <c r="Y96" i="34"/>
  <c r="Y106" i="34"/>
  <c r="Y95" i="34"/>
  <c r="Y104" i="34"/>
  <c r="Y103" i="34"/>
  <c r="Y105" i="34"/>
  <c r="Y94" i="34"/>
  <c r="Y97" i="34"/>
  <c r="Y92" i="34"/>
  <c r="Y93" i="34"/>
  <c r="AE63" i="34"/>
  <c r="AE64" i="34" s="1"/>
  <c r="AE93" i="34"/>
  <c r="AE104" i="34"/>
  <c r="AE101" i="34"/>
  <c r="AE97" i="34"/>
  <c r="AE95" i="34"/>
  <c r="AE106" i="34"/>
  <c r="AE88" i="34"/>
  <c r="AE90" i="34"/>
  <c r="AE99" i="34"/>
  <c r="AE94" i="34"/>
  <c r="AE105" i="34"/>
  <c r="AE100" i="34"/>
  <c r="AE91" i="34"/>
  <c r="AE102" i="34"/>
  <c r="AE103" i="34"/>
  <c r="AE96" i="34"/>
  <c r="AE92" i="34"/>
  <c r="AE89" i="34"/>
  <c r="AE98" i="34"/>
  <c r="AG63" i="34"/>
  <c r="AG64" i="34" s="1"/>
  <c r="AG91" i="34"/>
  <c r="AG102" i="34"/>
  <c r="AG106" i="34"/>
  <c r="AG93" i="34"/>
  <c r="AG104" i="34"/>
  <c r="AG95" i="34"/>
  <c r="AG97" i="34"/>
  <c r="AG99" i="34"/>
  <c r="AG92" i="34"/>
  <c r="AG103" i="34"/>
  <c r="AG96" i="34"/>
  <c r="AG90" i="34"/>
  <c r="AG88" i="34"/>
  <c r="AG101" i="34"/>
  <c r="AG94" i="34"/>
  <c r="AG105" i="34"/>
  <c r="AG100" i="34"/>
  <c r="AG89" i="34"/>
  <c r="AG98" i="34"/>
  <c r="AJ107" i="34"/>
  <c r="G63" i="34"/>
  <c r="G64" i="34" s="1"/>
  <c r="G93" i="34"/>
  <c r="G104" i="34"/>
  <c r="G102" i="34"/>
  <c r="G92" i="34"/>
  <c r="G103" i="34"/>
  <c r="G91" i="34"/>
  <c r="G89" i="34"/>
  <c r="G100" i="34"/>
  <c r="G90" i="34"/>
  <c r="G101" i="34"/>
  <c r="G98" i="34"/>
  <c r="G88" i="34"/>
  <c r="G95" i="34"/>
  <c r="G97" i="34"/>
  <c r="G94" i="34"/>
  <c r="G99" i="34"/>
  <c r="G96" i="34"/>
  <c r="G105" i="34"/>
  <c r="G106" i="34"/>
  <c r="M63" i="34"/>
  <c r="M64" i="34" s="1"/>
  <c r="M96" i="34"/>
  <c r="M105" i="34"/>
  <c r="M94" i="34"/>
  <c r="M104" i="34"/>
  <c r="M95" i="34"/>
  <c r="M106" i="34"/>
  <c r="M93" i="34"/>
  <c r="M103" i="34"/>
  <c r="M92" i="34"/>
  <c r="M90" i="34"/>
  <c r="M101" i="34"/>
  <c r="M102" i="34"/>
  <c r="M100" i="34"/>
  <c r="M97" i="34"/>
  <c r="M89" i="34"/>
  <c r="M88" i="34"/>
  <c r="M99" i="34"/>
  <c r="M91" i="34"/>
  <c r="M98" i="34"/>
  <c r="U63" i="34"/>
  <c r="U64" i="34" s="1"/>
  <c r="U89" i="34"/>
  <c r="U100" i="34"/>
  <c r="U88" i="34"/>
  <c r="U99" i="34"/>
  <c r="U98" i="34"/>
  <c r="U96" i="34"/>
  <c r="U97" i="34"/>
  <c r="U94" i="34"/>
  <c r="U105" i="34"/>
  <c r="U92" i="34"/>
  <c r="U101" i="34"/>
  <c r="U95" i="34"/>
  <c r="U106" i="34"/>
  <c r="U104" i="34"/>
  <c r="U90" i="34"/>
  <c r="U103" i="34"/>
  <c r="U102" i="34"/>
  <c r="U91" i="34"/>
  <c r="U93" i="34"/>
  <c r="H63" i="34"/>
  <c r="H64" i="34" s="1"/>
  <c r="H90" i="34"/>
  <c r="H93" i="34"/>
  <c r="H104" i="34"/>
  <c r="H101" i="34"/>
  <c r="H92" i="34"/>
  <c r="H103" i="34"/>
  <c r="H89" i="34"/>
  <c r="H91" i="34"/>
  <c r="H102" i="34"/>
  <c r="H100" i="34"/>
  <c r="H98" i="34"/>
  <c r="H106" i="34"/>
  <c r="H94" i="34"/>
  <c r="H95" i="34"/>
  <c r="H99" i="34"/>
  <c r="H88" i="34"/>
  <c r="H96" i="34"/>
  <c r="H105" i="34"/>
  <c r="H97" i="34"/>
  <c r="R63" i="34"/>
  <c r="R64" i="34" s="1"/>
  <c r="R98" i="34"/>
  <c r="R95" i="34"/>
  <c r="R94" i="34"/>
  <c r="R97" i="34"/>
  <c r="R105" i="34"/>
  <c r="R96" i="34"/>
  <c r="R106" i="34"/>
  <c r="R92" i="34"/>
  <c r="R102" i="34"/>
  <c r="R100" i="34"/>
  <c r="R91" i="34"/>
  <c r="R101" i="34"/>
  <c r="R99" i="34"/>
  <c r="R104" i="34"/>
  <c r="R103" i="34"/>
  <c r="R93" i="34"/>
  <c r="R90" i="34"/>
  <c r="R88" i="34"/>
  <c r="R89" i="34"/>
  <c r="AK63" i="34"/>
  <c r="AK64" i="34" s="1"/>
  <c r="AK52" i="34" s="1"/>
  <c r="AK98" i="34"/>
  <c r="AK91" i="34"/>
  <c r="AK93" i="34"/>
  <c r="AK104" i="34"/>
  <c r="AK95" i="34"/>
  <c r="AK100" i="34"/>
  <c r="AK102" i="34"/>
  <c r="AK106" i="34"/>
  <c r="AK89" i="34"/>
  <c r="AK99" i="34"/>
  <c r="AK101" i="34"/>
  <c r="AK88" i="34"/>
  <c r="AK103" i="34"/>
  <c r="AK90" i="34"/>
  <c r="AK92" i="34"/>
  <c r="AK96" i="34"/>
  <c r="AK97" i="34"/>
  <c r="AK94" i="34"/>
  <c r="AK105" i="34"/>
  <c r="AI63" i="34"/>
  <c r="AI64" i="34" s="1"/>
  <c r="AI100" i="34"/>
  <c r="AI93" i="34"/>
  <c r="AI104" i="34"/>
  <c r="AI89" i="34"/>
  <c r="AI91" i="34"/>
  <c r="AI102" i="34"/>
  <c r="AI95" i="34"/>
  <c r="AI106" i="34"/>
  <c r="AI97" i="34"/>
  <c r="AI88" i="34"/>
  <c r="AI90" i="34"/>
  <c r="AI101" i="34"/>
  <c r="AI99" i="34"/>
  <c r="AI98" i="34"/>
  <c r="AI96" i="34"/>
  <c r="AI103" i="34"/>
  <c r="AI92" i="34"/>
  <c r="AI94" i="34"/>
  <c r="AI105" i="34"/>
  <c r="AC63" i="34"/>
  <c r="AC64" i="34" s="1"/>
  <c r="AC95" i="34"/>
  <c r="AC106" i="34"/>
  <c r="AC99" i="34"/>
  <c r="AC101" i="34"/>
  <c r="AC92" i="34"/>
  <c r="AC97" i="34"/>
  <c r="AC88" i="34"/>
  <c r="AC90" i="34"/>
  <c r="AC103" i="34"/>
  <c r="AC96" i="34"/>
  <c r="AC98" i="34"/>
  <c r="AC105" i="34"/>
  <c r="AC89" i="34"/>
  <c r="AC94" i="34"/>
  <c r="AC100" i="34"/>
  <c r="AC93" i="34"/>
  <c r="AC104" i="34"/>
  <c r="AC91" i="34"/>
  <c r="AC102" i="34"/>
  <c r="F63" i="34"/>
  <c r="F64" i="34" s="1"/>
  <c r="F92" i="34"/>
  <c r="F103" i="34"/>
  <c r="F88" i="34"/>
  <c r="F89" i="34"/>
  <c r="F100" i="34"/>
  <c r="F91" i="34"/>
  <c r="F102" i="34"/>
  <c r="F99" i="34"/>
  <c r="F90" i="34"/>
  <c r="F101" i="34"/>
  <c r="F97" i="34"/>
  <c r="F94" i="34"/>
  <c r="F104" i="34"/>
  <c r="F95" i="34"/>
  <c r="F93" i="34"/>
  <c r="F98" i="34"/>
  <c r="F105" i="34"/>
  <c r="F96" i="34"/>
  <c r="F106" i="34"/>
  <c r="AA63" i="34"/>
  <c r="AA64" i="34" s="1"/>
  <c r="AA97" i="34"/>
  <c r="AA92" i="34"/>
  <c r="AA101" i="34"/>
  <c r="AA105" i="34"/>
  <c r="AA90" i="34"/>
  <c r="AA99" i="34"/>
  <c r="AA103" i="34"/>
  <c r="AA89" i="34"/>
  <c r="AA88" i="34"/>
  <c r="AA94" i="34"/>
  <c r="AA98" i="34"/>
  <c r="AA100" i="34"/>
  <c r="AA95" i="34"/>
  <c r="AA106" i="34"/>
  <c r="AA96" i="34"/>
  <c r="AA91" i="34"/>
  <c r="AA104" i="34"/>
  <c r="AA93" i="34"/>
  <c r="AA102" i="34"/>
  <c r="J63" i="34"/>
  <c r="J64" i="34" s="1"/>
  <c r="J101" i="34"/>
  <c r="J94" i="34"/>
  <c r="J105" i="34"/>
  <c r="J93" i="34"/>
  <c r="J104" i="34"/>
  <c r="J92" i="34"/>
  <c r="J103" i="34"/>
  <c r="J91" i="34"/>
  <c r="J102" i="34"/>
  <c r="J90" i="34"/>
  <c r="J99" i="34"/>
  <c r="J88" i="34"/>
  <c r="J98" i="34"/>
  <c r="J97" i="34"/>
  <c r="J106" i="34"/>
  <c r="J100" i="34"/>
  <c r="J89" i="34"/>
  <c r="J95" i="34"/>
  <c r="J96" i="34"/>
  <c r="AB63" i="34"/>
  <c r="AB64" i="34" s="1"/>
  <c r="AB94" i="34"/>
  <c r="AB97" i="34"/>
  <c r="AB105" i="34"/>
  <c r="AB92" i="34"/>
  <c r="AB103" i="34"/>
  <c r="AB99" i="34"/>
  <c r="AB88" i="34"/>
  <c r="AB90" i="34"/>
  <c r="AB101" i="34"/>
  <c r="AB102" i="34"/>
  <c r="AB96" i="34"/>
  <c r="AB104" i="34"/>
  <c r="AB95" i="34"/>
  <c r="AB106" i="34"/>
  <c r="AB100" i="34"/>
  <c r="AB89" i="34"/>
  <c r="AB98" i="34"/>
  <c r="AB91" i="34"/>
  <c r="AB93" i="34"/>
  <c r="L63" i="34"/>
  <c r="L64" i="34" s="1"/>
  <c r="L91" i="34"/>
  <c r="L95" i="34"/>
  <c r="L106" i="34"/>
  <c r="L102" i="34"/>
  <c r="L94" i="34"/>
  <c r="L105" i="34"/>
  <c r="L92" i="34"/>
  <c r="L103" i="34"/>
  <c r="L93" i="34"/>
  <c r="L104" i="34"/>
  <c r="L100" i="34"/>
  <c r="L89" i="34"/>
  <c r="L101" i="34"/>
  <c r="L97" i="34"/>
  <c r="L90" i="34"/>
  <c r="L98" i="34"/>
  <c r="L88" i="34"/>
  <c r="L96" i="34"/>
  <c r="L99" i="34"/>
  <c r="AH89" i="34"/>
  <c r="AH97" i="34"/>
  <c r="AH91" i="34"/>
  <c r="AH102" i="34"/>
  <c r="AH93" i="34"/>
  <c r="AH104" i="34"/>
  <c r="AH99" i="34"/>
  <c r="AH95" i="34"/>
  <c r="AH106" i="34"/>
  <c r="AH98" i="34"/>
  <c r="AH88" i="34"/>
  <c r="AH101" i="34"/>
  <c r="AH94" i="34"/>
  <c r="AH92" i="34"/>
  <c r="AH90" i="34"/>
  <c r="AH103" i="34"/>
  <c r="AH96" i="34"/>
  <c r="AH105" i="34"/>
  <c r="AH100" i="34"/>
  <c r="T63" i="34"/>
  <c r="T64" i="34" s="1"/>
  <c r="T106" i="34"/>
  <c r="T88" i="34"/>
  <c r="T99" i="34"/>
  <c r="T98" i="34"/>
  <c r="T97" i="34"/>
  <c r="T96" i="34"/>
  <c r="T95" i="34"/>
  <c r="T93" i="34"/>
  <c r="T101" i="34"/>
  <c r="T89" i="34"/>
  <c r="T104" i="34"/>
  <c r="T103" i="34"/>
  <c r="T92" i="34"/>
  <c r="T102" i="34"/>
  <c r="T90" i="34"/>
  <c r="T100" i="34"/>
  <c r="T105" i="34"/>
  <c r="T91" i="34"/>
  <c r="T94" i="34"/>
  <c r="K63" i="34"/>
  <c r="K64" i="34" s="1"/>
  <c r="K95" i="34"/>
  <c r="K106" i="34"/>
  <c r="K103" i="34"/>
  <c r="K91" i="34"/>
  <c r="K102" i="34"/>
  <c r="K94" i="34"/>
  <c r="K105" i="34"/>
  <c r="K93" i="34"/>
  <c r="K104" i="34"/>
  <c r="K92" i="34"/>
  <c r="K89" i="34"/>
  <c r="K100" i="34"/>
  <c r="K101" i="34"/>
  <c r="K90" i="34"/>
  <c r="K97" i="34"/>
  <c r="K98" i="34"/>
  <c r="K88" i="34"/>
  <c r="K96" i="34"/>
  <c r="K99" i="34"/>
  <c r="X63" i="34"/>
  <c r="X64" i="34" s="1"/>
  <c r="X98" i="34"/>
  <c r="X90" i="34"/>
  <c r="X101" i="34"/>
  <c r="X97" i="34"/>
  <c r="X89" i="34"/>
  <c r="X100" i="34"/>
  <c r="X88" i="34"/>
  <c r="X99" i="34"/>
  <c r="X95" i="34"/>
  <c r="X103" i="34"/>
  <c r="X94" i="34"/>
  <c r="X106" i="34"/>
  <c r="X104" i="34"/>
  <c r="X105" i="34"/>
  <c r="X93" i="34"/>
  <c r="X96" i="34"/>
  <c r="X92" i="34"/>
  <c r="X102" i="34"/>
  <c r="X91" i="34"/>
  <c r="W63" i="34"/>
  <c r="W64" i="34" s="1"/>
  <c r="W90" i="34"/>
  <c r="W101" i="34"/>
  <c r="W88" i="34"/>
  <c r="W97" i="34"/>
  <c r="W89" i="34"/>
  <c r="W100" i="34"/>
  <c r="W98" i="34"/>
  <c r="W99" i="34"/>
  <c r="W95" i="34"/>
  <c r="W106" i="34"/>
  <c r="W94" i="34"/>
  <c r="W104" i="34"/>
  <c r="W92" i="34"/>
  <c r="W96" i="34"/>
  <c r="W91" i="34"/>
  <c r="W105" i="34"/>
  <c r="W102" i="34"/>
  <c r="W93" i="34"/>
  <c r="W103" i="34"/>
  <c r="V63" i="34"/>
  <c r="V64" i="34" s="1"/>
  <c r="V96" i="34"/>
  <c r="V89" i="34"/>
  <c r="V100" i="34"/>
  <c r="V88" i="34"/>
  <c r="V99" i="34"/>
  <c r="V97" i="34"/>
  <c r="V98" i="34"/>
  <c r="V94" i="34"/>
  <c r="V90" i="34"/>
  <c r="V106" i="34"/>
  <c r="V92" i="34"/>
  <c r="V104" i="34"/>
  <c r="V102" i="34"/>
  <c r="V105" i="34"/>
  <c r="V101" i="34"/>
  <c r="V95" i="34"/>
  <c r="V91" i="34"/>
  <c r="V93" i="34"/>
  <c r="V103" i="34"/>
  <c r="O63" i="34"/>
  <c r="O64" i="34" s="1"/>
  <c r="O97" i="34"/>
  <c r="O104" i="34"/>
  <c r="O106" i="34"/>
  <c r="O93" i="34"/>
  <c r="O96" i="34"/>
  <c r="O95" i="34"/>
  <c r="O105" i="34"/>
  <c r="O94" i="34"/>
  <c r="O91" i="34"/>
  <c r="O102" i="34"/>
  <c r="O92" i="34"/>
  <c r="O99" i="34"/>
  <c r="O88" i="34"/>
  <c r="O101" i="34"/>
  <c r="O90" i="34"/>
  <c r="O89" i="34"/>
  <c r="O100" i="34"/>
  <c r="O98" i="34"/>
  <c r="O103" i="34"/>
  <c r="AK52" i="35"/>
  <c r="Z132" i="35"/>
  <c r="Z121" i="35"/>
  <c r="Z126" i="35"/>
  <c r="Z127" i="35"/>
  <c r="Z129" i="35"/>
  <c r="Z122" i="35"/>
  <c r="Z107" i="35"/>
  <c r="Z110" i="35"/>
  <c r="Z131" i="35"/>
  <c r="Z120" i="35"/>
  <c r="Z51" i="35"/>
  <c r="Z113" i="35"/>
  <c r="Z111" i="35"/>
  <c r="Z118" i="35"/>
  <c r="Z117" i="35"/>
  <c r="Z116" i="35"/>
  <c r="Z109" i="35"/>
  <c r="AH63" i="34"/>
  <c r="AH64" i="34" s="1"/>
  <c r="E39" i="34"/>
  <c r="E40" i="34" s="1"/>
  <c r="N54" i="32" s="1"/>
  <c r="E57" i="34"/>
  <c r="AP57" i="34" s="1"/>
  <c r="Z63" i="34"/>
  <c r="Z64" i="34" s="1"/>
  <c r="E62" i="34"/>
  <c r="E30" i="29"/>
  <c r="Y37" i="33"/>
  <c r="AF3" i="33"/>
  <c r="W3" i="33"/>
  <c r="AJ45" i="33"/>
  <c r="Q46" i="33"/>
  <c r="R46" i="33" s="1"/>
  <c r="Q45" i="33"/>
  <c r="R45" i="33" s="1"/>
  <c r="Q44" i="33"/>
  <c r="R44" i="33" s="1"/>
  <c r="Q43" i="33"/>
  <c r="R43" i="33" s="1"/>
  <c r="Q41" i="33"/>
  <c r="R41" i="33" s="1"/>
  <c r="Q40" i="33"/>
  <c r="R40" i="33" s="1"/>
  <c r="Q39" i="33"/>
  <c r="R39" i="33" s="1"/>
  <c r="Q38" i="33"/>
  <c r="R38" i="33" s="1"/>
  <c r="Q36" i="33"/>
  <c r="R36" i="33" s="1"/>
  <c r="Q35" i="33"/>
  <c r="R35" i="33" s="1"/>
  <c r="Q34" i="33"/>
  <c r="R34" i="33" s="1"/>
  <c r="Q33" i="33"/>
  <c r="R33" i="33" s="1"/>
  <c r="Q31" i="33"/>
  <c r="R31" i="33" s="1"/>
  <c r="Q30" i="33"/>
  <c r="R30" i="33" s="1"/>
  <c r="Q29" i="33"/>
  <c r="R29" i="33" s="1"/>
  <c r="Q28" i="33"/>
  <c r="R28" i="33" s="1"/>
  <c r="Q24" i="33"/>
  <c r="R24" i="33" s="1"/>
  <c r="Q23" i="33"/>
  <c r="R23" i="33" s="1"/>
  <c r="Q22" i="33"/>
  <c r="R22" i="33" s="1"/>
  <c r="Q21" i="33"/>
  <c r="R21" i="33" s="1"/>
  <c r="Q19" i="33"/>
  <c r="R19" i="33" s="1"/>
  <c r="Q18" i="33"/>
  <c r="R18" i="33" s="1"/>
  <c r="Q17" i="33"/>
  <c r="R17" i="33" s="1"/>
  <c r="Q16" i="33"/>
  <c r="R16" i="33" s="1"/>
  <c r="Q14" i="33"/>
  <c r="R14" i="33" s="1"/>
  <c r="Q13" i="33"/>
  <c r="R13" i="33" s="1"/>
  <c r="Q12" i="33"/>
  <c r="R12" i="33" s="1"/>
  <c r="Q11" i="33"/>
  <c r="R11" i="33" s="1"/>
  <c r="Q7" i="33"/>
  <c r="R7" i="33" s="1"/>
  <c r="Q8" i="33"/>
  <c r="R8" i="33" s="1"/>
  <c r="Q9" i="33"/>
  <c r="R9" i="33" s="1"/>
  <c r="Q6" i="33"/>
  <c r="R6" i="33" s="1"/>
  <c r="AJ52" i="34" l="1"/>
  <c r="P132" i="34"/>
  <c r="R126" i="34"/>
  <c r="AP62" i="34"/>
  <c r="E88" i="34"/>
  <c r="H127" i="34"/>
  <c r="L131" i="34"/>
  <c r="H132" i="34"/>
  <c r="Z127" i="34"/>
  <c r="AX65" i="34"/>
  <c r="AP65" i="34"/>
  <c r="O54" i="32" s="1"/>
  <c r="AC132" i="34"/>
  <c r="W132" i="34"/>
  <c r="E115" i="36"/>
  <c r="AP115" i="36" s="1"/>
  <c r="E114" i="36"/>
  <c r="W127" i="34"/>
  <c r="AB131" i="34"/>
  <c r="M131" i="34"/>
  <c r="J131" i="34"/>
  <c r="AC127" i="34"/>
  <c r="W126" i="34"/>
  <c r="P126" i="34"/>
  <c r="T132" i="34"/>
  <c r="AB126" i="34"/>
  <c r="Y127" i="34"/>
  <c r="S110" i="34"/>
  <c r="P127" i="34"/>
  <c r="I126" i="34"/>
  <c r="T116" i="34"/>
  <c r="AD132" i="34"/>
  <c r="Q126" i="34"/>
  <c r="Q131" i="34"/>
  <c r="AC126" i="34"/>
  <c r="F118" i="34"/>
  <c r="F117" i="34"/>
  <c r="AE118" i="34"/>
  <c r="AE117" i="34"/>
  <c r="Z126" i="34"/>
  <c r="O132" i="34"/>
  <c r="F131" i="34"/>
  <c r="S127" i="34"/>
  <c r="AD52" i="34"/>
  <c r="AD117" i="34"/>
  <c r="AD118" i="34"/>
  <c r="N118" i="34"/>
  <c r="N117" i="34"/>
  <c r="V131" i="34"/>
  <c r="Q127" i="34"/>
  <c r="Y131" i="34"/>
  <c r="I131" i="34"/>
  <c r="AF118" i="34"/>
  <c r="AF117" i="34"/>
  <c r="AD131" i="34"/>
  <c r="O51" i="34"/>
  <c r="AR63" i="34"/>
  <c r="Y118" i="34"/>
  <c r="Y117" i="34"/>
  <c r="J117" i="34"/>
  <c r="J118" i="34"/>
  <c r="G118" i="34"/>
  <c r="G117" i="34"/>
  <c r="AE132" i="34"/>
  <c r="R131" i="34"/>
  <c r="AG132" i="34"/>
  <c r="T126" i="34"/>
  <c r="J127" i="34"/>
  <c r="U121" i="34"/>
  <c r="AS63" i="34"/>
  <c r="G131" i="34"/>
  <c r="N126" i="34"/>
  <c r="AF131" i="34"/>
  <c r="N132" i="34"/>
  <c r="L126" i="34"/>
  <c r="R132" i="34"/>
  <c r="M126" i="34"/>
  <c r="P131" i="34"/>
  <c r="AD127" i="34"/>
  <c r="S117" i="34"/>
  <c r="S118" i="34"/>
  <c r="V132" i="34"/>
  <c r="R118" i="34"/>
  <c r="R117" i="34"/>
  <c r="AF132" i="34"/>
  <c r="M118" i="34"/>
  <c r="M117" i="34"/>
  <c r="O126" i="34"/>
  <c r="AE131" i="34"/>
  <c r="N127" i="34"/>
  <c r="F132" i="34"/>
  <c r="AC131" i="34"/>
  <c r="G126" i="34"/>
  <c r="AA132" i="34"/>
  <c r="K52" i="34"/>
  <c r="AQ63" i="34"/>
  <c r="J126" i="34"/>
  <c r="O131" i="34"/>
  <c r="V126" i="34"/>
  <c r="H131" i="34"/>
  <c r="P118" i="34"/>
  <c r="P117" i="34"/>
  <c r="AF127" i="34"/>
  <c r="V117" i="34"/>
  <c r="V118" i="34"/>
  <c r="AF126" i="34"/>
  <c r="L117" i="34"/>
  <c r="L118" i="34"/>
  <c r="AG127" i="34"/>
  <c r="AA127" i="34"/>
  <c r="T117" i="34"/>
  <c r="T118" i="34"/>
  <c r="J132" i="34"/>
  <c r="F126" i="34"/>
  <c r="AE127" i="34"/>
  <c r="X129" i="34"/>
  <c r="AT63" i="34"/>
  <c r="F127" i="34"/>
  <c r="M127" i="34"/>
  <c r="G132" i="34"/>
  <c r="AE126" i="34"/>
  <c r="S132" i="34"/>
  <c r="I132" i="34"/>
  <c r="H117" i="34"/>
  <c r="H118" i="34"/>
  <c r="W131" i="34"/>
  <c r="R127" i="34"/>
  <c r="AB117" i="34"/>
  <c r="AB118" i="34"/>
  <c r="AG131" i="34"/>
  <c r="AB127" i="34"/>
  <c r="L132" i="34"/>
  <c r="F110" i="34"/>
  <c r="H126" i="34"/>
  <c r="Y132" i="34"/>
  <c r="Q132" i="34"/>
  <c r="I127" i="34"/>
  <c r="AD126" i="34"/>
  <c r="AU63" i="34"/>
  <c r="Z131" i="34"/>
  <c r="Z118" i="34"/>
  <c r="Z117" i="34"/>
  <c r="O127" i="34"/>
  <c r="AG117" i="34"/>
  <c r="AG118" i="34"/>
  <c r="U127" i="34"/>
  <c r="S131" i="34"/>
  <c r="AB132" i="34"/>
  <c r="M132" i="34"/>
  <c r="I118" i="34"/>
  <c r="I117" i="34"/>
  <c r="V127" i="34"/>
  <c r="T131" i="34"/>
  <c r="AA126" i="34"/>
  <c r="O120" i="34"/>
  <c r="W117" i="34"/>
  <c r="W118" i="34"/>
  <c r="T127" i="34"/>
  <c r="L127" i="34"/>
  <c r="AA131" i="34"/>
  <c r="F109" i="34"/>
  <c r="AC118" i="34"/>
  <c r="AC117" i="34"/>
  <c r="G127" i="34"/>
  <c r="AG126" i="34"/>
  <c r="Y126" i="34"/>
  <c r="S126" i="34"/>
  <c r="Q117" i="34"/>
  <c r="Q118" i="34"/>
  <c r="Z132" i="34"/>
  <c r="N131" i="34"/>
  <c r="AU64" i="34"/>
  <c r="T55" i="32" s="1"/>
  <c r="AR64" i="34"/>
  <c r="Q55" i="32" s="1"/>
  <c r="AS64" i="34"/>
  <c r="R55" i="32" s="1"/>
  <c r="AD109" i="34"/>
  <c r="AD110" i="34"/>
  <c r="F122" i="34"/>
  <c r="AF120" i="34"/>
  <c r="O110" i="34"/>
  <c r="F129" i="34"/>
  <c r="F121" i="34"/>
  <c r="R51" i="34"/>
  <c r="J122" i="34"/>
  <c r="J111" i="34"/>
  <c r="AF51" i="34"/>
  <c r="V121" i="34"/>
  <c r="T51" i="34"/>
  <c r="P51" i="34"/>
  <c r="O129" i="34"/>
  <c r="V51" i="34"/>
  <c r="R109" i="34"/>
  <c r="W51" i="34"/>
  <c r="AE110" i="34"/>
  <c r="AC51" i="34"/>
  <c r="P110" i="34"/>
  <c r="F51" i="34"/>
  <c r="S51" i="34"/>
  <c r="X51" i="34"/>
  <c r="J109" i="34"/>
  <c r="AC122" i="34"/>
  <c r="V123" i="34"/>
  <c r="Q51" i="34"/>
  <c r="AA51" i="34"/>
  <c r="Y51" i="34"/>
  <c r="P109" i="34"/>
  <c r="Z109" i="34"/>
  <c r="AE51" i="34"/>
  <c r="AD51" i="34"/>
  <c r="AB51" i="34"/>
  <c r="G51" i="34"/>
  <c r="AG51" i="34"/>
  <c r="N51" i="34"/>
  <c r="J51" i="34"/>
  <c r="AA113" i="34"/>
  <c r="AE111" i="34"/>
  <c r="Z111" i="34"/>
  <c r="H129" i="34"/>
  <c r="W122" i="34"/>
  <c r="R116" i="34"/>
  <c r="AG111" i="34"/>
  <c r="AE123" i="34"/>
  <c r="P122" i="34"/>
  <c r="I121" i="34"/>
  <c r="T110" i="34"/>
  <c r="F116" i="34"/>
  <c r="AC109" i="34"/>
  <c r="G123" i="34"/>
  <c r="AE109" i="34"/>
  <c r="S121" i="34"/>
  <c r="Q109" i="34"/>
  <c r="P120" i="34"/>
  <c r="Z120" i="34"/>
  <c r="I51" i="34"/>
  <c r="AD120" i="34"/>
  <c r="W121" i="34"/>
  <c r="L51" i="34"/>
  <c r="R123" i="34"/>
  <c r="M51" i="34"/>
  <c r="P129" i="34"/>
  <c r="V129" i="34"/>
  <c r="AB120" i="34"/>
  <c r="Z113" i="34"/>
  <c r="AC123" i="34"/>
  <c r="H120" i="34"/>
  <c r="AD129" i="34"/>
  <c r="AB111" i="34"/>
  <c r="H51" i="34"/>
  <c r="P123" i="34"/>
  <c r="AD121" i="34"/>
  <c r="Z110" i="34"/>
  <c r="S129" i="34"/>
  <c r="S123" i="34"/>
  <c r="Y109" i="34"/>
  <c r="AA122" i="34"/>
  <c r="Y129" i="34"/>
  <c r="J116" i="34"/>
  <c r="Y122" i="34"/>
  <c r="S111" i="34"/>
  <c r="J110" i="34"/>
  <c r="AA121" i="34"/>
  <c r="O122" i="34"/>
  <c r="AA109" i="34"/>
  <c r="AE122" i="34"/>
  <c r="N121" i="34"/>
  <c r="AD116" i="34"/>
  <c r="N120" i="34"/>
  <c r="Y121" i="34"/>
  <c r="N109" i="34"/>
  <c r="AA120" i="34"/>
  <c r="N129" i="34"/>
  <c r="T122" i="34"/>
  <c r="L122" i="34"/>
  <c r="AC121" i="34"/>
  <c r="H109" i="34"/>
  <c r="Q129" i="34"/>
  <c r="Z129" i="34"/>
  <c r="I120" i="34"/>
  <c r="O111" i="34"/>
  <c r="W129" i="34"/>
  <c r="X109" i="34"/>
  <c r="T123" i="34"/>
  <c r="L113" i="34"/>
  <c r="J123" i="34"/>
  <c r="AA129" i="34"/>
  <c r="F120" i="34"/>
  <c r="AC111" i="34"/>
  <c r="M123" i="34"/>
  <c r="Y116" i="34"/>
  <c r="P113" i="34"/>
  <c r="I113" i="34"/>
  <c r="AF129" i="34"/>
  <c r="AB113" i="34"/>
  <c r="AC110" i="34"/>
  <c r="G121" i="34"/>
  <c r="AE113" i="34"/>
  <c r="Z121" i="34"/>
  <c r="AF111" i="34"/>
  <c r="O113" i="34"/>
  <c r="W111" i="34"/>
  <c r="U113" i="34"/>
  <c r="M110" i="34"/>
  <c r="Y123" i="34"/>
  <c r="S120" i="34"/>
  <c r="I123" i="34"/>
  <c r="AD111" i="34"/>
  <c r="O121" i="34"/>
  <c r="AB122" i="34"/>
  <c r="AA110" i="34"/>
  <c r="M111" i="34"/>
  <c r="G122" i="34"/>
  <c r="AG110" i="34"/>
  <c r="Y110" i="34"/>
  <c r="Q121" i="34"/>
  <c r="P121" i="34"/>
  <c r="I111" i="34"/>
  <c r="AF121" i="34"/>
  <c r="AD123" i="34"/>
  <c r="L110" i="34"/>
  <c r="AG121" i="34"/>
  <c r="N113" i="34"/>
  <c r="N111" i="34"/>
  <c r="W110" i="34"/>
  <c r="T121" i="34"/>
  <c r="AB129" i="34"/>
  <c r="AA111" i="34"/>
  <c r="F113" i="34"/>
  <c r="U109" i="34"/>
  <c r="G110" i="34"/>
  <c r="AE121" i="34"/>
  <c r="S122" i="34"/>
  <c r="Q116" i="34"/>
  <c r="S113" i="34"/>
  <c r="L123" i="34"/>
  <c r="R122" i="34"/>
  <c r="M113" i="34"/>
  <c r="V110" i="34"/>
  <c r="T113" i="34"/>
  <c r="AB123" i="34"/>
  <c r="R111" i="34"/>
  <c r="H123" i="34"/>
  <c r="AG123" i="34"/>
  <c r="Q122" i="34"/>
  <c r="Z122" i="34"/>
  <c r="AF109" i="34"/>
  <c r="AD113" i="34"/>
  <c r="O123" i="34"/>
  <c r="L111" i="34"/>
  <c r="J113" i="34"/>
  <c r="F111" i="34"/>
  <c r="R110" i="34"/>
  <c r="H110" i="34"/>
  <c r="AG109" i="34"/>
  <c r="Y111" i="34"/>
  <c r="S116" i="34"/>
  <c r="Q123" i="34"/>
  <c r="Z123" i="34"/>
  <c r="I122" i="34"/>
  <c r="N110" i="34"/>
  <c r="AF113" i="34"/>
  <c r="AB110" i="34"/>
  <c r="H121" i="34"/>
  <c r="AF123" i="34"/>
  <c r="L109" i="34"/>
  <c r="R129" i="34"/>
  <c r="G113" i="34"/>
  <c r="AG122" i="34"/>
  <c r="I110" i="34"/>
  <c r="W120" i="34"/>
  <c r="X123" i="34"/>
  <c r="T109" i="34"/>
  <c r="AB109" i="34"/>
  <c r="AA116" i="34"/>
  <c r="M120" i="34"/>
  <c r="G109" i="34"/>
  <c r="AG129" i="34"/>
  <c r="Y113" i="34"/>
  <c r="Q113" i="34"/>
  <c r="P111" i="34"/>
  <c r="N122" i="34"/>
  <c r="L129" i="34"/>
  <c r="L120" i="34"/>
  <c r="J129" i="34"/>
  <c r="J120" i="34"/>
  <c r="M109" i="34"/>
  <c r="V109" i="34"/>
  <c r="X120" i="34"/>
  <c r="T129" i="34"/>
  <c r="J121" i="34"/>
  <c r="AC113" i="34"/>
  <c r="AG120" i="34"/>
  <c r="Q110" i="34"/>
  <c r="AD122" i="34"/>
  <c r="V120" i="34"/>
  <c r="T111" i="34"/>
  <c r="M122" i="34"/>
  <c r="O109" i="34"/>
  <c r="W113" i="34"/>
  <c r="F123" i="34"/>
  <c r="AC120" i="34"/>
  <c r="H113" i="34"/>
  <c r="M129" i="34"/>
  <c r="G129" i="34"/>
  <c r="S109" i="34"/>
  <c r="Q120" i="34"/>
  <c r="I109" i="34"/>
  <c r="AF122" i="34"/>
  <c r="R121" i="34"/>
  <c r="V111" i="34"/>
  <c r="R120" i="34"/>
  <c r="H122" i="34"/>
  <c r="G111" i="34"/>
  <c r="W109" i="34"/>
  <c r="AE129" i="34"/>
  <c r="L121" i="34"/>
  <c r="AC129" i="34"/>
  <c r="R113" i="34"/>
  <c r="AE120" i="34"/>
  <c r="Q111" i="34"/>
  <c r="V113" i="34"/>
  <c r="V122" i="34"/>
  <c r="W123" i="34"/>
  <c r="T120" i="34"/>
  <c r="AB121" i="34"/>
  <c r="H111" i="34"/>
  <c r="M121" i="34"/>
  <c r="G120" i="34"/>
  <c r="AG113" i="34"/>
  <c r="Y120" i="34"/>
  <c r="I129" i="34"/>
  <c r="AF110" i="34"/>
  <c r="N123" i="34"/>
  <c r="S52" i="34"/>
  <c r="X116" i="34"/>
  <c r="AC116" i="34"/>
  <c r="Y52" i="34"/>
  <c r="O52" i="34"/>
  <c r="W52" i="34"/>
  <c r="P116" i="34"/>
  <c r="V116" i="34"/>
  <c r="W116" i="34"/>
  <c r="V52" i="34"/>
  <c r="M52" i="34"/>
  <c r="H116" i="34"/>
  <c r="L116" i="34"/>
  <c r="M116" i="34"/>
  <c r="N116" i="34"/>
  <c r="AG52" i="34"/>
  <c r="G116" i="34"/>
  <c r="P52" i="34"/>
  <c r="AL52" i="34"/>
  <c r="O116" i="34"/>
  <c r="AE116" i="34"/>
  <c r="G52" i="34"/>
  <c r="L52" i="34"/>
  <c r="I116" i="34"/>
  <c r="AG116" i="34"/>
  <c r="AE52" i="34"/>
  <c r="AF116" i="34"/>
  <c r="J52" i="34"/>
  <c r="AB52" i="34"/>
  <c r="AB116" i="34"/>
  <c r="Z112" i="35"/>
  <c r="Z114" i="35" s="1"/>
  <c r="U107" i="34"/>
  <c r="T107" i="34"/>
  <c r="X107" i="34"/>
  <c r="Y107" i="34"/>
  <c r="M107" i="34"/>
  <c r="K107" i="34"/>
  <c r="L107" i="34"/>
  <c r="G107" i="34"/>
  <c r="V107" i="34"/>
  <c r="Q107" i="34"/>
  <c r="H107" i="34"/>
  <c r="R107" i="34"/>
  <c r="N107" i="34"/>
  <c r="P107" i="34"/>
  <c r="I107" i="34"/>
  <c r="F107" i="34"/>
  <c r="O107" i="34"/>
  <c r="J107" i="34"/>
  <c r="W107" i="34"/>
  <c r="S107" i="34"/>
  <c r="AC107" i="34"/>
  <c r="H52" i="34"/>
  <c r="F52" i="34"/>
  <c r="AG107" i="34"/>
  <c r="AI51" i="34"/>
  <c r="T52" i="34"/>
  <c r="AA107" i="34"/>
  <c r="AK51" i="34"/>
  <c r="Q52" i="34"/>
  <c r="I52" i="34"/>
  <c r="X52" i="34"/>
  <c r="AF52" i="34"/>
  <c r="AB107" i="34"/>
  <c r="AC52" i="34"/>
  <c r="AH107" i="34"/>
  <c r="AI52" i="34"/>
  <c r="AH51" i="34"/>
  <c r="AL107" i="34"/>
  <c r="E63" i="34"/>
  <c r="E64" i="34" s="1"/>
  <c r="E99" i="34"/>
  <c r="E93" i="34"/>
  <c r="E98" i="34"/>
  <c r="E92" i="34"/>
  <c r="E91" i="34"/>
  <c r="E97" i="34"/>
  <c r="E95" i="34"/>
  <c r="E90" i="34"/>
  <c r="E96" i="34"/>
  <c r="E94" i="34"/>
  <c r="E105" i="34"/>
  <c r="E104" i="34"/>
  <c r="E103" i="34"/>
  <c r="E102" i="34"/>
  <c r="E106" i="34"/>
  <c r="E89" i="34"/>
  <c r="E101" i="34"/>
  <c r="E100" i="34"/>
  <c r="AE107" i="34"/>
  <c r="AA52" i="34"/>
  <c r="AF107" i="34"/>
  <c r="AD107" i="34"/>
  <c r="R52" i="34"/>
  <c r="AK107" i="34"/>
  <c r="N52" i="34"/>
  <c r="AI107" i="34"/>
  <c r="Z124" i="35"/>
  <c r="Z128" i="35"/>
  <c r="Z51" i="34"/>
  <c r="AH52" i="34"/>
  <c r="Z116" i="34"/>
  <c r="Z107" i="34"/>
  <c r="Z52" i="34"/>
  <c r="DN169" i="1"/>
  <c r="DN166" i="1"/>
  <c r="DN165" i="1"/>
  <c r="DN164" i="1"/>
  <c r="DN163" i="1"/>
  <c r="DN162" i="1"/>
  <c r="DN161" i="1"/>
  <c r="DN160" i="1"/>
  <c r="E110" i="34" l="1"/>
  <c r="AP110" i="34" s="1"/>
  <c r="E116" i="34"/>
  <c r="AP116" i="34" s="1"/>
  <c r="O51" i="32" s="1"/>
  <c r="X131" i="34"/>
  <c r="AT131" i="34" s="1"/>
  <c r="S49" i="32" s="1"/>
  <c r="X126" i="34"/>
  <c r="AT126" i="34" s="1"/>
  <c r="X113" i="34"/>
  <c r="AT113" i="34" s="1"/>
  <c r="X121" i="34"/>
  <c r="AT121" i="34" s="1"/>
  <c r="S44" i="32" s="1"/>
  <c r="X111" i="34"/>
  <c r="AT111" i="34" s="1"/>
  <c r="X122" i="34"/>
  <c r="AT122" i="34" s="1"/>
  <c r="S45" i="32" s="1"/>
  <c r="X110" i="34"/>
  <c r="AT110" i="34" s="1"/>
  <c r="X132" i="34"/>
  <c r="AT132" i="34" s="1"/>
  <c r="K51" i="34"/>
  <c r="AQ51" i="34" s="1"/>
  <c r="P14" i="32" s="1"/>
  <c r="U110" i="34"/>
  <c r="AS110" i="34" s="1"/>
  <c r="X127" i="34"/>
  <c r="AT127" i="34" s="1"/>
  <c r="U129" i="34"/>
  <c r="AS129" i="34" s="1"/>
  <c r="U118" i="34"/>
  <c r="AS118" i="34" s="1"/>
  <c r="R53" i="32" s="1"/>
  <c r="U117" i="34"/>
  <c r="AS117" i="34" s="1"/>
  <c r="R52" i="32" s="1"/>
  <c r="K127" i="34"/>
  <c r="AQ127" i="34" s="1"/>
  <c r="AQ64" i="34"/>
  <c r="P55" i="32" s="1"/>
  <c r="K117" i="34"/>
  <c r="AQ117" i="34" s="1"/>
  <c r="P52" i="32" s="1"/>
  <c r="K118" i="34"/>
  <c r="AQ118" i="34" s="1"/>
  <c r="P53" i="32" s="1"/>
  <c r="U126" i="34"/>
  <c r="U128" i="34" s="1"/>
  <c r="U131" i="34"/>
  <c r="AS131" i="34" s="1"/>
  <c r="R49" i="32" s="1"/>
  <c r="U132" i="34"/>
  <c r="AS132" i="34" s="1"/>
  <c r="K132" i="34"/>
  <c r="AQ132" i="34" s="1"/>
  <c r="U111" i="34"/>
  <c r="AS111" i="34" s="1"/>
  <c r="U123" i="34"/>
  <c r="AS123" i="34" s="1"/>
  <c r="R46" i="32" s="1"/>
  <c r="U122" i="34"/>
  <c r="U51" i="34"/>
  <c r="AS51" i="34" s="1"/>
  <c r="R14" i="32" s="1"/>
  <c r="AA118" i="34"/>
  <c r="AU118" i="34" s="1"/>
  <c r="T53" i="32" s="1"/>
  <c r="AA117" i="34"/>
  <c r="AU117" i="34" s="1"/>
  <c r="T52" i="32" s="1"/>
  <c r="K113" i="34"/>
  <c r="AQ113" i="34" s="1"/>
  <c r="K109" i="34"/>
  <c r="AQ109" i="34" s="1"/>
  <c r="K131" i="34"/>
  <c r="AQ131" i="34" s="1"/>
  <c r="P49" i="32" s="1"/>
  <c r="K111" i="34"/>
  <c r="AQ111" i="34" s="1"/>
  <c r="K123" i="34"/>
  <c r="AQ123" i="34" s="1"/>
  <c r="P46" i="32" s="1"/>
  <c r="K116" i="34"/>
  <c r="AQ116" i="34" s="1"/>
  <c r="P51" i="32" s="1"/>
  <c r="K120" i="34"/>
  <c r="AQ120" i="34" s="1"/>
  <c r="P43" i="32" s="1"/>
  <c r="U116" i="34"/>
  <c r="AS116" i="34" s="1"/>
  <c r="R51" i="32" s="1"/>
  <c r="K110" i="34"/>
  <c r="AQ110" i="34" s="1"/>
  <c r="AA123" i="34"/>
  <c r="AA124" i="34" s="1"/>
  <c r="U120" i="34"/>
  <c r="AS120" i="34" s="1"/>
  <c r="R43" i="32" s="1"/>
  <c r="O118" i="34"/>
  <c r="AR118" i="34" s="1"/>
  <c r="Q53" i="32" s="1"/>
  <c r="O117" i="34"/>
  <c r="AR117" i="34" s="1"/>
  <c r="Q52" i="32" s="1"/>
  <c r="K126" i="34"/>
  <c r="AQ126" i="34" s="1"/>
  <c r="F112" i="34"/>
  <c r="F114" i="34" s="1"/>
  <c r="U52" i="34"/>
  <c r="AS52" i="34" s="1"/>
  <c r="R15" i="32" s="1"/>
  <c r="K122" i="34"/>
  <c r="AQ122" i="34" s="1"/>
  <c r="P45" i="32" s="1"/>
  <c r="K121" i="34"/>
  <c r="AQ121" i="34" s="1"/>
  <c r="P44" i="32" s="1"/>
  <c r="AU52" i="34"/>
  <c r="T15" i="32" s="1"/>
  <c r="K129" i="34"/>
  <c r="AQ129" i="34" s="1"/>
  <c r="AT51" i="34"/>
  <c r="S14" i="32" s="1"/>
  <c r="AT64" i="34"/>
  <c r="S55" i="32" s="1"/>
  <c r="X118" i="34"/>
  <c r="AT118" i="34" s="1"/>
  <c r="S53" i="32" s="1"/>
  <c r="X117" i="34"/>
  <c r="AT117" i="34" s="1"/>
  <c r="S52" i="32" s="1"/>
  <c r="E109" i="34"/>
  <c r="AP109" i="34" s="1"/>
  <c r="AP63" i="34"/>
  <c r="E131" i="34"/>
  <c r="AP131" i="34" s="1"/>
  <c r="O49" i="32" s="1"/>
  <c r="E126" i="34"/>
  <c r="E132" i="34"/>
  <c r="AP132" i="34" s="1"/>
  <c r="E127" i="34"/>
  <c r="AP127" i="34" s="1"/>
  <c r="AR51" i="34"/>
  <c r="Q14" i="32" s="1"/>
  <c r="AU51" i="34"/>
  <c r="T14" i="32" s="1"/>
  <c r="AQ52" i="34"/>
  <c r="P15" i="32" s="1"/>
  <c r="AR52" i="34"/>
  <c r="Q15" i="32" s="1"/>
  <c r="AT52" i="34"/>
  <c r="S15" i="32" s="1"/>
  <c r="AD112" i="34"/>
  <c r="AD114" i="34" s="1"/>
  <c r="N128" i="34"/>
  <c r="AC128" i="34"/>
  <c r="J128" i="34"/>
  <c r="Q128" i="34"/>
  <c r="Z112" i="34"/>
  <c r="Z114" i="34" s="1"/>
  <c r="AE112" i="34"/>
  <c r="AE114" i="34" s="1"/>
  <c r="P112" i="34"/>
  <c r="P114" i="34" s="1"/>
  <c r="AR132" i="34"/>
  <c r="I128" i="34"/>
  <c r="AR129" i="34"/>
  <c r="L128" i="34"/>
  <c r="AE128" i="34"/>
  <c r="AS113" i="34"/>
  <c r="J112" i="34"/>
  <c r="J114" i="34" s="1"/>
  <c r="W128" i="34"/>
  <c r="AS127" i="34"/>
  <c r="AD128" i="34"/>
  <c r="AS121" i="34"/>
  <c r="R44" i="32" s="1"/>
  <c r="Y128" i="34"/>
  <c r="AR110" i="34"/>
  <c r="G112" i="34"/>
  <c r="G115" i="34" s="1"/>
  <c r="P124" i="34"/>
  <c r="T128" i="34"/>
  <c r="AR120" i="34"/>
  <c r="Q43" i="32" s="1"/>
  <c r="AG128" i="34"/>
  <c r="Q124" i="34"/>
  <c r="AU113" i="34"/>
  <c r="F124" i="34"/>
  <c r="AT123" i="34"/>
  <c r="S46" i="32" s="1"/>
  <c r="AB124" i="34"/>
  <c r="M128" i="34"/>
  <c r="AU127" i="34"/>
  <c r="N124" i="34"/>
  <c r="AT129" i="34"/>
  <c r="R112" i="34"/>
  <c r="R115" i="34" s="1"/>
  <c r="AR131" i="34"/>
  <c r="Q49" i="32" s="1"/>
  <c r="G128" i="34"/>
  <c r="H124" i="34"/>
  <c r="T124" i="34"/>
  <c r="W124" i="34"/>
  <c r="M112" i="34"/>
  <c r="M114" i="34" s="1"/>
  <c r="AU110" i="34"/>
  <c r="G124" i="34"/>
  <c r="V128" i="34"/>
  <c r="AC112" i="34"/>
  <c r="AC114" i="34" s="1"/>
  <c r="O124" i="34"/>
  <c r="AR123" i="34"/>
  <c r="Q46" i="32" s="1"/>
  <c r="O128" i="34"/>
  <c r="AR126" i="34"/>
  <c r="AT116" i="34"/>
  <c r="S51" i="32" s="1"/>
  <c r="AF124" i="34"/>
  <c r="Z128" i="34"/>
  <c r="AR127" i="34"/>
  <c r="AS109" i="34"/>
  <c r="S112" i="34"/>
  <c r="S115" i="34" s="1"/>
  <c r="AR113" i="34"/>
  <c r="AU120" i="34"/>
  <c r="T43" i="32" s="1"/>
  <c r="P128" i="34"/>
  <c r="AT120" i="34"/>
  <c r="S43" i="32" s="1"/>
  <c r="AU116" i="34"/>
  <c r="T51" i="32" s="1"/>
  <c r="AU131" i="34"/>
  <c r="T49" i="32" s="1"/>
  <c r="AD124" i="34"/>
  <c r="AR116" i="34"/>
  <c r="Q51" i="32" s="1"/>
  <c r="Q112" i="34"/>
  <c r="Q114" i="34" s="1"/>
  <c r="AU129" i="34"/>
  <c r="S128" i="34"/>
  <c r="AU111" i="34"/>
  <c r="AG112" i="34"/>
  <c r="AF112" i="34"/>
  <c r="AF115" i="34" s="1"/>
  <c r="Y124" i="34"/>
  <c r="Y112" i="34"/>
  <c r="Y115" i="34" s="1"/>
  <c r="Z124" i="34"/>
  <c r="AT109" i="34"/>
  <c r="O112" i="34"/>
  <c r="AR111" i="34"/>
  <c r="AR121" i="34"/>
  <c r="Q44" i="32" s="1"/>
  <c r="AU122" i="34"/>
  <c r="T45" i="32" s="1"/>
  <c r="AA128" i="34"/>
  <c r="AU126" i="34"/>
  <c r="N112" i="34"/>
  <c r="N115" i="34" s="1"/>
  <c r="AU121" i="34"/>
  <c r="T44" i="32" s="1"/>
  <c r="T112" i="34"/>
  <c r="T115" i="34" s="1"/>
  <c r="S124" i="34"/>
  <c r="AR109" i="34"/>
  <c r="AU109" i="34"/>
  <c r="AR122" i="34"/>
  <c r="Q45" i="32" s="1"/>
  <c r="V112" i="34"/>
  <c r="V114" i="34" s="1"/>
  <c r="E111" i="34"/>
  <c r="AP111" i="34" s="1"/>
  <c r="AF128" i="34"/>
  <c r="AU132" i="34"/>
  <c r="AC124" i="34"/>
  <c r="R124" i="34"/>
  <c r="AB112" i="34"/>
  <c r="AB115" i="34" s="1"/>
  <c r="AA112" i="34"/>
  <c r="E129" i="34"/>
  <c r="AP129" i="34" s="1"/>
  <c r="AG124" i="34"/>
  <c r="E121" i="34"/>
  <c r="AP121" i="34" s="1"/>
  <c r="O44" i="32" s="1"/>
  <c r="E123" i="34"/>
  <c r="AP123" i="34" s="1"/>
  <c r="O46" i="32" s="1"/>
  <c r="V124" i="34"/>
  <c r="L112" i="34"/>
  <c r="L115" i="34" s="1"/>
  <c r="I124" i="34"/>
  <c r="AE124" i="34"/>
  <c r="E122" i="34"/>
  <c r="AP122" i="34" s="1"/>
  <c r="O45" i="32" s="1"/>
  <c r="E113" i="34"/>
  <c r="AP113" i="34" s="1"/>
  <c r="H128" i="34"/>
  <c r="M124" i="34"/>
  <c r="F128" i="34"/>
  <c r="AB128" i="34"/>
  <c r="I112" i="34"/>
  <c r="I114" i="34" s="1"/>
  <c r="L124" i="34"/>
  <c r="E120" i="34"/>
  <c r="H112" i="34"/>
  <c r="H114" i="34" s="1"/>
  <c r="J124" i="34"/>
  <c r="R128" i="34"/>
  <c r="W112" i="34"/>
  <c r="W114" i="34" s="1"/>
  <c r="E52" i="34"/>
  <c r="AP52" i="34" s="1"/>
  <c r="O15" i="32" s="1"/>
  <c r="Z115" i="35"/>
  <c r="E107" i="34"/>
  <c r="E66" i="29" a="1"/>
  <c r="E58" i="29" a="1"/>
  <c r="E55" i="29" a="1"/>
  <c r="E54" i="29" a="1"/>
  <c r="E50" i="29" a="1"/>
  <c r="E49" i="29" a="1"/>
  <c r="E46" i="29" a="1"/>
  <c r="E46" i="29" s="1"/>
  <c r="E45" i="29" a="1"/>
  <c r="DN4" i="1"/>
  <c r="DN5" i="1"/>
  <c r="DN6" i="1"/>
  <c r="DN7" i="1"/>
  <c r="DN8" i="1"/>
  <c r="DN9" i="1"/>
  <c r="DN10" i="1"/>
  <c r="DN11" i="1"/>
  <c r="DN12" i="1"/>
  <c r="DN25" i="1"/>
  <c r="DN26" i="1"/>
  <c r="DN27" i="1"/>
  <c r="DN28" i="1"/>
  <c r="DN29" i="1"/>
  <c r="DN30" i="1"/>
  <c r="DN31" i="1"/>
  <c r="DN32" i="1"/>
  <c r="DN33" i="1"/>
  <c r="DN34" i="1"/>
  <c r="DN35" i="1"/>
  <c r="DN36" i="1"/>
  <c r="DN37" i="1"/>
  <c r="DN38" i="1"/>
  <c r="DN39" i="1"/>
  <c r="DN40" i="1"/>
  <c r="DN41" i="1"/>
  <c r="DN42" i="1"/>
  <c r="DN48" i="1"/>
  <c r="DN49" i="1"/>
  <c r="DN50" i="1"/>
  <c r="DN51" i="1"/>
  <c r="DN52" i="1"/>
  <c r="DN53" i="1"/>
  <c r="DN54" i="1"/>
  <c r="DN55" i="1"/>
  <c r="DN56" i="1"/>
  <c r="DN57" i="1"/>
  <c r="DN58" i="1"/>
  <c r="DN59" i="1"/>
  <c r="DN60" i="1"/>
  <c r="DN61" i="1"/>
  <c r="DN62" i="1"/>
  <c r="DN63" i="1"/>
  <c r="DN64" i="1"/>
  <c r="DN65" i="1"/>
  <c r="DN66" i="1"/>
  <c r="DN67" i="1"/>
  <c r="DN68" i="1"/>
  <c r="DN69" i="1"/>
  <c r="DN70" i="1"/>
  <c r="DN71" i="1"/>
  <c r="DN72" i="1"/>
  <c r="DN73" i="1"/>
  <c r="DN74" i="1"/>
  <c r="DN75" i="1"/>
  <c r="DN76" i="1"/>
  <c r="DN77" i="1"/>
  <c r="DN78" i="1"/>
  <c r="DN79" i="1"/>
  <c r="DN80" i="1"/>
  <c r="DN81" i="1"/>
  <c r="DN82" i="1"/>
  <c r="DN83" i="1"/>
  <c r="DN84" i="1"/>
  <c r="DN85" i="1"/>
  <c r="DN86" i="1"/>
  <c r="DN87" i="1"/>
  <c r="DN88" i="1"/>
  <c r="DN89" i="1"/>
  <c r="DN90" i="1"/>
  <c r="DN91" i="1"/>
  <c r="DN92" i="1"/>
  <c r="DN93" i="1"/>
  <c r="DN94" i="1"/>
  <c r="DN95" i="1"/>
  <c r="DN96" i="1"/>
  <c r="DN97" i="1"/>
  <c r="DN98" i="1"/>
  <c r="DN99" i="1"/>
  <c r="DN100" i="1"/>
  <c r="DN101" i="1"/>
  <c r="DN102" i="1"/>
  <c r="DN103" i="1"/>
  <c r="DN104" i="1"/>
  <c r="DN105" i="1"/>
  <c r="DN106" i="1"/>
  <c r="DN107" i="1"/>
  <c r="DN108" i="1"/>
  <c r="DN112" i="1"/>
  <c r="DN113" i="1"/>
  <c r="DN114" i="1"/>
  <c r="DN115" i="1"/>
  <c r="DN116" i="1"/>
  <c r="DN117" i="1"/>
  <c r="DN118" i="1"/>
  <c r="DN119" i="1"/>
  <c r="DN120" i="1"/>
  <c r="DN121" i="1"/>
  <c r="DN122" i="1"/>
  <c r="DN123" i="1"/>
  <c r="DN124" i="1"/>
  <c r="DN125" i="1"/>
  <c r="DN126" i="1"/>
  <c r="DN127" i="1"/>
  <c r="DN128" i="1"/>
  <c r="DN129" i="1"/>
  <c r="DN130" i="1"/>
  <c r="DN131" i="1"/>
  <c r="DN132" i="1"/>
  <c r="DN133" i="1"/>
  <c r="DN134" i="1"/>
  <c r="DN135" i="1"/>
  <c r="DN136" i="1"/>
  <c r="DN137" i="1"/>
  <c r="DN138" i="1"/>
  <c r="DN139" i="1"/>
  <c r="DN140" i="1"/>
  <c r="DN141" i="1"/>
  <c r="DN146" i="1"/>
  <c r="DN147" i="1"/>
  <c r="DN148" i="1"/>
  <c r="DN149" i="1"/>
  <c r="DN150" i="1"/>
  <c r="DN151" i="1"/>
  <c r="DN152" i="1"/>
  <c r="DN153" i="1"/>
  <c r="DN154" i="1"/>
  <c r="DN155" i="1"/>
  <c r="DN156" i="1"/>
  <c r="DN157" i="1"/>
  <c r="DN158" i="1"/>
  <c r="DN159" i="1"/>
  <c r="AP120" i="34" l="1"/>
  <c r="O43" i="32" s="1"/>
  <c r="O47" i="32" s="1"/>
  <c r="E124" i="34"/>
  <c r="AP124" i="34" s="1"/>
  <c r="X112" i="34"/>
  <c r="X114" i="34" s="1"/>
  <c r="E49" i="29"/>
  <c r="AP49" i="29" s="1"/>
  <c r="AU49" i="29"/>
  <c r="AQ49" i="29"/>
  <c r="AS49" i="29"/>
  <c r="AT49" i="29"/>
  <c r="AR49" i="29"/>
  <c r="E50" i="29"/>
  <c r="AP50" i="29" s="1"/>
  <c r="AQ50" i="29"/>
  <c r="AR50" i="29"/>
  <c r="AS50" i="29"/>
  <c r="AT50" i="29"/>
  <c r="AU50" i="29"/>
  <c r="E32" i="29"/>
  <c r="AR55" i="29"/>
  <c r="AQ55" i="29"/>
  <c r="AT55" i="29"/>
  <c r="AU55" i="29"/>
  <c r="AS55" i="29"/>
  <c r="AQ58" i="29"/>
  <c r="AR58" i="29"/>
  <c r="AS58" i="29"/>
  <c r="AT58" i="29"/>
  <c r="AU58" i="29"/>
  <c r="E31" i="29"/>
  <c r="AQ54" i="29"/>
  <c r="AR54" i="29"/>
  <c r="AS54" i="29"/>
  <c r="AT54" i="29"/>
  <c r="AU54" i="29"/>
  <c r="X124" i="34"/>
  <c r="AT124" i="34" s="1"/>
  <c r="X128" i="34"/>
  <c r="AT128" i="34" s="1"/>
  <c r="S48" i="32" s="1"/>
  <c r="K112" i="34"/>
  <c r="K115" i="34" s="1"/>
  <c r="AU123" i="34"/>
  <c r="T46" i="32" s="1"/>
  <c r="T47" i="32" s="1"/>
  <c r="E51" i="34"/>
  <c r="AP51" i="34" s="1"/>
  <c r="O14" i="32" s="1"/>
  <c r="AS126" i="34"/>
  <c r="K128" i="34"/>
  <c r="AQ128" i="34" s="1"/>
  <c r="P48" i="32" s="1"/>
  <c r="F115" i="34"/>
  <c r="U124" i="34"/>
  <c r="AS124" i="34" s="1"/>
  <c r="K124" i="34"/>
  <c r="AQ124" i="34" s="1"/>
  <c r="U112" i="34"/>
  <c r="U115" i="34" s="1"/>
  <c r="P47" i="32"/>
  <c r="S47" i="32"/>
  <c r="AS122" i="34"/>
  <c r="R45" i="32" s="1"/>
  <c r="R47" i="32" s="1"/>
  <c r="Q47" i="32"/>
  <c r="AP64" i="34"/>
  <c r="O55" i="32" s="1"/>
  <c r="E118" i="34"/>
  <c r="AP118" i="34" s="1"/>
  <c r="O53" i="32" s="1"/>
  <c r="E117" i="34"/>
  <c r="AP117" i="34" s="1"/>
  <c r="O52" i="32" s="1"/>
  <c r="AD115" i="34"/>
  <c r="AE115" i="34"/>
  <c r="Z115" i="34"/>
  <c r="R114" i="34"/>
  <c r="J115" i="34"/>
  <c r="E128" i="34"/>
  <c r="AP128" i="34" s="1"/>
  <c r="O48" i="32" s="1"/>
  <c r="AC115" i="34"/>
  <c r="AP126" i="34"/>
  <c r="E66" i="29"/>
  <c r="AP66" i="29" s="1"/>
  <c r="W35" i="32" s="1"/>
  <c r="AU66" i="29"/>
  <c r="AB35" i="32" s="1"/>
  <c r="AT66" i="29"/>
  <c r="AA35" i="32" s="1"/>
  <c r="AS66" i="29"/>
  <c r="Z35" i="32" s="1"/>
  <c r="AR66" i="29"/>
  <c r="Y35" i="32" s="1"/>
  <c r="AQ66" i="29"/>
  <c r="X35" i="32" s="1"/>
  <c r="AR112" i="34"/>
  <c r="V115" i="34"/>
  <c r="E112" i="34"/>
  <c r="N114" i="34"/>
  <c r="AS128" i="34"/>
  <c r="R48" i="32" s="1"/>
  <c r="AU124" i="34"/>
  <c r="AA115" i="34"/>
  <c r="AU112" i="34"/>
  <c r="I115" i="34"/>
  <c r="S114" i="34"/>
  <c r="O114" i="34"/>
  <c r="AR128" i="34"/>
  <c r="Q48" i="32" s="1"/>
  <c r="T114" i="34"/>
  <c r="O115" i="34"/>
  <c r="AU128" i="34"/>
  <c r="T48" i="32" s="1"/>
  <c r="AB114" i="34"/>
  <c r="W115" i="34"/>
  <c r="AR124" i="34"/>
  <c r="AA114" i="34"/>
  <c r="G114" i="34"/>
  <c r="L114" i="34"/>
  <c r="Q115" i="34"/>
  <c r="H115" i="34"/>
  <c r="Y114" i="34"/>
  <c r="M115" i="34"/>
  <c r="AF114" i="34"/>
  <c r="P115" i="34"/>
  <c r="AG114" i="34"/>
  <c r="AG115" i="34"/>
  <c r="E37" i="29"/>
  <c r="E58" i="29"/>
  <c r="AP58" i="29" s="1"/>
  <c r="E35" i="29"/>
  <c r="E36" i="29"/>
  <c r="L61" i="29"/>
  <c r="AH61" i="29"/>
  <c r="M61" i="29"/>
  <c r="AI61" i="29"/>
  <c r="P61" i="29"/>
  <c r="AL61" i="29"/>
  <c r="V61" i="29"/>
  <c r="X61" i="29"/>
  <c r="Z61" i="29"/>
  <c r="AC61" i="29"/>
  <c r="AE61" i="29"/>
  <c r="J61" i="29"/>
  <c r="K61" i="29"/>
  <c r="N61" i="29"/>
  <c r="AJ61" i="29"/>
  <c r="O61" i="29"/>
  <c r="AK61" i="29"/>
  <c r="F61" i="29"/>
  <c r="H61" i="29"/>
  <c r="AG61" i="29"/>
  <c r="Q61" i="29"/>
  <c r="AM61" i="29"/>
  <c r="R61" i="29"/>
  <c r="AN61" i="29"/>
  <c r="S61" i="29"/>
  <c r="T61" i="29"/>
  <c r="U61" i="29"/>
  <c r="W61" i="29"/>
  <c r="Y61" i="29"/>
  <c r="AA61" i="29"/>
  <c r="AB61" i="29"/>
  <c r="G61" i="29"/>
  <c r="AD61" i="29"/>
  <c r="I61" i="29"/>
  <c r="AF61" i="29"/>
  <c r="E55" i="29"/>
  <c r="AP55" i="29" s="1"/>
  <c r="AJ56" i="29"/>
  <c r="AJ62" i="29" s="1"/>
  <c r="AK56" i="29"/>
  <c r="AK65" i="29" s="1"/>
  <c r="AN56" i="29"/>
  <c r="AN65" i="29" s="1"/>
  <c r="AL56" i="29"/>
  <c r="AL65" i="29" s="1"/>
  <c r="AM56" i="29"/>
  <c r="AM65" i="29" s="1"/>
  <c r="J56" i="29"/>
  <c r="E45" i="29"/>
  <c r="F47" i="29" s="1"/>
  <c r="F48" i="29" s="1"/>
  <c r="AA47" i="29"/>
  <c r="AC47" i="29"/>
  <c r="AD47" i="29"/>
  <c r="I47" i="29"/>
  <c r="AE47" i="29"/>
  <c r="J47" i="29"/>
  <c r="K47" i="29"/>
  <c r="AG47" i="29"/>
  <c r="AI47" i="29"/>
  <c r="AL47" i="29"/>
  <c r="R47" i="29"/>
  <c r="S47" i="29"/>
  <c r="V47" i="29"/>
  <c r="Y47" i="29"/>
  <c r="AB47" i="29"/>
  <c r="G47" i="29"/>
  <c r="H47" i="29"/>
  <c r="AF47" i="29"/>
  <c r="AH47" i="29"/>
  <c r="AJ47" i="29"/>
  <c r="L47" i="29"/>
  <c r="M47" i="29"/>
  <c r="N47" i="29"/>
  <c r="O47" i="29"/>
  <c r="AK47" i="29"/>
  <c r="P47" i="29"/>
  <c r="Q47" i="29"/>
  <c r="AM47" i="29"/>
  <c r="AN47" i="29"/>
  <c r="T47" i="29"/>
  <c r="U47" i="29"/>
  <c r="W47" i="29"/>
  <c r="X47" i="29"/>
  <c r="Z47" i="29"/>
  <c r="E54" i="29"/>
  <c r="AP54" i="29" s="1"/>
  <c r="L56" i="29"/>
  <c r="L65" i="29" s="1"/>
  <c r="AG56" i="29"/>
  <c r="AG65" i="29" s="1"/>
  <c r="AH56" i="29"/>
  <c r="AH65" i="29" s="1"/>
  <c r="K56" i="29"/>
  <c r="K65" i="29" s="1"/>
  <c r="AF56" i="29"/>
  <c r="AF65" i="29" s="1"/>
  <c r="P56" i="29"/>
  <c r="Q56" i="29"/>
  <c r="Q65" i="29" s="1"/>
  <c r="R56" i="29"/>
  <c r="R65" i="29" s="1"/>
  <c r="AI56" i="29"/>
  <c r="AI65" i="29" s="1"/>
  <c r="W56" i="29"/>
  <c r="W65" i="29" s="1"/>
  <c r="X56" i="29"/>
  <c r="X65" i="29" s="1"/>
  <c r="F56" i="29"/>
  <c r="F65" i="29" s="1"/>
  <c r="AB56" i="29"/>
  <c r="Z56" i="29"/>
  <c r="Z65" i="29" s="1"/>
  <c r="AA56" i="29"/>
  <c r="AA65" i="29" s="1"/>
  <c r="G56" i="29"/>
  <c r="G65" i="29" s="1"/>
  <c r="AC56" i="29"/>
  <c r="AC65" i="29" s="1"/>
  <c r="M56" i="29"/>
  <c r="M65" i="29" s="1"/>
  <c r="N56" i="29"/>
  <c r="N65" i="29" s="1"/>
  <c r="O56" i="29"/>
  <c r="O65" i="29" s="1"/>
  <c r="S56" i="29"/>
  <c r="S65" i="29" s="1"/>
  <c r="T56" i="29"/>
  <c r="T65" i="29" s="1"/>
  <c r="U56" i="29"/>
  <c r="V56" i="29"/>
  <c r="V65" i="29" s="1"/>
  <c r="Y56" i="29"/>
  <c r="H56" i="29"/>
  <c r="H65" i="29" s="1"/>
  <c r="AD56" i="29"/>
  <c r="AD65" i="29" s="1"/>
  <c r="I56" i="29"/>
  <c r="I65" i="29" s="1"/>
  <c r="AE56" i="29"/>
  <c r="AE65" i="29" s="1"/>
  <c r="AS112" i="34" l="1"/>
  <c r="E114" i="34"/>
  <c r="E115" i="34"/>
  <c r="AP115" i="34" s="1"/>
  <c r="X115" i="34"/>
  <c r="AT115" i="34" s="1"/>
  <c r="AT112" i="34"/>
  <c r="AQ112" i="34"/>
  <c r="K114" i="34"/>
  <c r="Y65" i="29"/>
  <c r="AT65" i="29" s="1"/>
  <c r="AA54" i="32" s="1"/>
  <c r="AT56" i="29"/>
  <c r="AB65" i="29"/>
  <c r="AU65" i="29" s="1"/>
  <c r="AB54" i="32" s="1"/>
  <c r="AU56" i="29"/>
  <c r="AQ61" i="29"/>
  <c r="AT61" i="29"/>
  <c r="J65" i="29"/>
  <c r="AQ65" i="29" s="1"/>
  <c r="X54" i="32" s="1"/>
  <c r="AQ56" i="29"/>
  <c r="P65" i="29"/>
  <c r="AR65" i="29" s="1"/>
  <c r="Y54" i="32" s="1"/>
  <c r="AR56" i="29"/>
  <c r="U65" i="29"/>
  <c r="AS65" i="29" s="1"/>
  <c r="Z54" i="32" s="1"/>
  <c r="AS56" i="29"/>
  <c r="AU61" i="29"/>
  <c r="AS61" i="29"/>
  <c r="AR61" i="29"/>
  <c r="U114" i="34"/>
  <c r="AP112" i="34"/>
  <c r="AS115" i="34"/>
  <c r="AQ115" i="34"/>
  <c r="AR115" i="34"/>
  <c r="AU115" i="34"/>
  <c r="AJ97" i="29"/>
  <c r="AJ106" i="29"/>
  <c r="AJ90" i="29"/>
  <c r="AJ105" i="29"/>
  <c r="AJ93" i="29"/>
  <c r="AJ102" i="29"/>
  <c r="AJ89" i="29"/>
  <c r="AJ94" i="29"/>
  <c r="AJ103" i="29"/>
  <c r="AJ92" i="29"/>
  <c r="AJ101" i="29"/>
  <c r="AJ98" i="29"/>
  <c r="AJ99" i="29"/>
  <c r="AJ104" i="29"/>
  <c r="AJ91" i="29"/>
  <c r="AJ100" i="29"/>
  <c r="AJ96" i="29"/>
  <c r="AJ88" i="29"/>
  <c r="AJ95" i="29"/>
  <c r="Q62" i="29"/>
  <c r="AK62" i="29"/>
  <c r="M62" i="29"/>
  <c r="AJ65" i="29"/>
  <c r="E41" i="29" s="1"/>
  <c r="E33" i="29"/>
  <c r="E34" i="29" s="1"/>
  <c r="E38" i="29"/>
  <c r="AJ63" i="29"/>
  <c r="AJ64" i="29" s="1"/>
  <c r="AJ51" i="29" s="1"/>
  <c r="AL62" i="29"/>
  <c r="S62" i="29"/>
  <c r="O62" i="29"/>
  <c r="N62" i="29"/>
  <c r="Z62" i="29"/>
  <c r="J62" i="29"/>
  <c r="AN62" i="29"/>
  <c r="U62" i="29"/>
  <c r="AM62" i="29"/>
  <c r="R62" i="29"/>
  <c r="AI62" i="29"/>
  <c r="P62" i="29"/>
  <c r="L62" i="29"/>
  <c r="K62" i="29"/>
  <c r="AH62" i="29"/>
  <c r="I62" i="29"/>
  <c r="AG62" i="29"/>
  <c r="AE62" i="29"/>
  <c r="AD62" i="29"/>
  <c r="AF62" i="29"/>
  <c r="Y62" i="29"/>
  <c r="H62" i="29"/>
  <c r="AC62" i="29"/>
  <c r="G62" i="29"/>
  <c r="W62" i="29"/>
  <c r="X62" i="29"/>
  <c r="AB62" i="29"/>
  <c r="V62" i="29"/>
  <c r="F62" i="29"/>
  <c r="E61" i="29"/>
  <c r="AP61" i="29" s="1"/>
  <c r="T62" i="29"/>
  <c r="AA62" i="29"/>
  <c r="R57" i="29"/>
  <c r="J57" i="29"/>
  <c r="AM57" i="29"/>
  <c r="N57" i="29"/>
  <c r="AL57" i="29"/>
  <c r="AN57" i="29"/>
  <c r="AC57" i="29"/>
  <c r="AJ57" i="29"/>
  <c r="AK57" i="29"/>
  <c r="G57" i="29"/>
  <c r="AH57" i="29"/>
  <c r="L57" i="29"/>
  <c r="G48" i="29"/>
  <c r="H48" i="29" s="1"/>
  <c r="I48" i="29" s="1"/>
  <c r="J48" i="29" s="1"/>
  <c r="K48" i="29" s="1"/>
  <c r="L48" i="29" s="1"/>
  <c r="M48" i="29" s="1"/>
  <c r="N48" i="29" s="1"/>
  <c r="O48" i="29" s="1"/>
  <c r="P48" i="29" s="1"/>
  <c r="Q48" i="29" s="1"/>
  <c r="R48" i="29" s="1"/>
  <c r="S48" i="29" s="1"/>
  <c r="T48" i="29" s="1"/>
  <c r="U48" i="29" s="1"/>
  <c r="V48" i="29" s="1"/>
  <c r="W48" i="29" s="1"/>
  <c r="X48" i="29" s="1"/>
  <c r="Y48" i="29" s="1"/>
  <c r="Z48" i="29" s="1"/>
  <c r="AA48" i="29" s="1"/>
  <c r="AB48" i="29" s="1"/>
  <c r="AC48" i="29" s="1"/>
  <c r="AD48" i="29" s="1"/>
  <c r="AE48" i="29" s="1"/>
  <c r="AF48" i="29" s="1"/>
  <c r="AG48" i="29" s="1"/>
  <c r="AH48" i="29" s="1"/>
  <c r="AI48" i="29" s="1"/>
  <c r="AJ48" i="29" s="1"/>
  <c r="AK48" i="29" s="1"/>
  <c r="AL48" i="29" s="1"/>
  <c r="AM48" i="29" s="1"/>
  <c r="AN48" i="29" s="1"/>
  <c r="P57" i="29"/>
  <c r="AA57" i="29"/>
  <c r="T57" i="29"/>
  <c r="M57" i="29"/>
  <c r="AG57" i="29"/>
  <c r="K57" i="29"/>
  <c r="Q57" i="29"/>
  <c r="AF57" i="29"/>
  <c r="I57" i="29"/>
  <c r="F57" i="29"/>
  <c r="AE57" i="29"/>
  <c r="U57" i="29"/>
  <c r="AB57" i="29"/>
  <c r="E56" i="29"/>
  <c r="E65" i="29" s="1"/>
  <c r="H57" i="29"/>
  <c r="X57" i="29"/>
  <c r="AI57" i="29"/>
  <c r="S57" i="29"/>
  <c r="Z57" i="29"/>
  <c r="O57" i="29"/>
  <c r="W57" i="29"/>
  <c r="Y57" i="29"/>
  <c r="AD57" i="29"/>
  <c r="V57" i="29"/>
  <c r="AS62" i="29" l="1"/>
  <c r="AS100" i="29" s="1"/>
  <c r="AR62" i="29"/>
  <c r="AU62" i="29"/>
  <c r="AP56" i="29"/>
  <c r="AU57" i="29"/>
  <c r="AS57" i="29"/>
  <c r="AQ62" i="29"/>
  <c r="AR57" i="29"/>
  <c r="AT57" i="29"/>
  <c r="AQ57" i="29"/>
  <c r="AT62" i="29"/>
  <c r="BG62" i="29" s="1"/>
  <c r="AJ111" i="29"/>
  <c r="AJ110" i="29"/>
  <c r="AN63" i="29"/>
  <c r="AN64" i="29" s="1"/>
  <c r="AN51" i="29" s="1"/>
  <c r="AN105" i="29"/>
  <c r="AN88" i="29"/>
  <c r="AN93" i="29"/>
  <c r="AN92" i="29"/>
  <c r="AN89" i="29"/>
  <c r="AN98" i="29"/>
  <c r="AN95" i="29"/>
  <c r="AN101" i="29"/>
  <c r="AN97" i="29"/>
  <c r="AN102" i="29"/>
  <c r="AN100" i="29"/>
  <c r="AN106" i="29"/>
  <c r="AN94" i="29"/>
  <c r="AN90" i="29"/>
  <c r="AN99" i="29"/>
  <c r="AN104" i="29"/>
  <c r="AN96" i="29"/>
  <c r="AN103" i="29"/>
  <c r="AN91" i="29"/>
  <c r="AJ113" i="29"/>
  <c r="AJ107" i="29"/>
  <c r="AM63" i="29"/>
  <c r="AM64" i="29" s="1"/>
  <c r="AM51" i="29" s="1"/>
  <c r="AM92" i="29"/>
  <c r="AM97" i="29"/>
  <c r="AM102" i="29"/>
  <c r="AM104" i="29"/>
  <c r="AM101" i="29"/>
  <c r="AM100" i="29"/>
  <c r="AM88" i="29"/>
  <c r="AM106" i="29"/>
  <c r="AM89" i="29"/>
  <c r="AM98" i="29"/>
  <c r="AM96" i="29"/>
  <c r="AM93" i="29"/>
  <c r="AM94" i="29"/>
  <c r="AM103" i="29"/>
  <c r="AM99" i="29"/>
  <c r="AM95" i="29"/>
  <c r="AM91" i="29"/>
  <c r="AM105" i="29"/>
  <c r="AM90" i="29"/>
  <c r="AL63" i="29"/>
  <c r="AL64" i="29" s="1"/>
  <c r="AL51" i="29" s="1"/>
  <c r="AL101" i="29"/>
  <c r="AL106" i="29"/>
  <c r="AL89" i="29"/>
  <c r="AL88" i="29"/>
  <c r="AL94" i="29"/>
  <c r="AL91" i="29"/>
  <c r="AL97" i="29"/>
  <c r="AL93" i="29"/>
  <c r="AL98" i="29"/>
  <c r="AL96" i="29"/>
  <c r="AL105" i="29"/>
  <c r="AL102" i="29"/>
  <c r="AL103" i="29"/>
  <c r="AL90" i="29"/>
  <c r="AL95" i="29"/>
  <c r="AL104" i="29"/>
  <c r="AL100" i="29"/>
  <c r="AL92" i="29"/>
  <c r="AL99" i="29"/>
  <c r="AK63" i="29"/>
  <c r="AK64" i="29" s="1"/>
  <c r="AK51" i="29" s="1"/>
  <c r="AK88" i="29"/>
  <c r="AK98" i="29"/>
  <c r="AK92" i="29"/>
  <c r="AK97" i="29"/>
  <c r="AK103" i="29"/>
  <c r="AK100" i="29"/>
  <c r="AK96" i="29"/>
  <c r="AK106" i="29"/>
  <c r="AK93" i="29"/>
  <c r="AK102" i="29"/>
  <c r="AK94" i="29"/>
  <c r="AK105" i="29"/>
  <c r="AK89" i="29"/>
  <c r="AK90" i="29"/>
  <c r="AK99" i="29"/>
  <c r="AK95" i="29"/>
  <c r="AK104" i="29"/>
  <c r="AK91" i="29"/>
  <c r="AK101" i="29"/>
  <c r="U63" i="29"/>
  <c r="U97" i="29"/>
  <c r="U102" i="29"/>
  <c r="U91" i="29"/>
  <c r="U101" i="29"/>
  <c r="U90" i="29"/>
  <c r="U92" i="29"/>
  <c r="U98" i="29"/>
  <c r="U99" i="29"/>
  <c r="U104" i="29"/>
  <c r="U94" i="29"/>
  <c r="U106" i="29"/>
  <c r="U100" i="29"/>
  <c r="U93" i="29"/>
  <c r="U96" i="29"/>
  <c r="U103" i="29"/>
  <c r="U105" i="29"/>
  <c r="U95" i="29"/>
  <c r="U88" i="29"/>
  <c r="U89" i="29"/>
  <c r="J63" i="29"/>
  <c r="J101" i="29"/>
  <c r="J88" i="29"/>
  <c r="J92" i="29"/>
  <c r="J102" i="29"/>
  <c r="J106" i="29"/>
  <c r="J91" i="29"/>
  <c r="J98" i="29"/>
  <c r="J105" i="29"/>
  <c r="J103" i="29"/>
  <c r="J94" i="29"/>
  <c r="J104" i="29"/>
  <c r="J99" i="29"/>
  <c r="J95" i="29"/>
  <c r="J97" i="29"/>
  <c r="J90" i="29"/>
  <c r="J93" i="29"/>
  <c r="J96" i="29"/>
  <c r="J100" i="29"/>
  <c r="J89" i="29"/>
  <c r="N63" i="29"/>
  <c r="N64" i="29" s="1"/>
  <c r="N99" i="29"/>
  <c r="N92" i="29"/>
  <c r="N104" i="29"/>
  <c r="N93" i="29"/>
  <c r="N89" i="29"/>
  <c r="N101" i="29"/>
  <c r="N96" i="29"/>
  <c r="N94" i="29"/>
  <c r="N100" i="29"/>
  <c r="N106" i="29"/>
  <c r="N90" i="29"/>
  <c r="N102" i="29"/>
  <c r="N88" i="29"/>
  <c r="N105" i="29"/>
  <c r="N103" i="29"/>
  <c r="N91" i="29"/>
  <c r="N95" i="29"/>
  <c r="N97" i="29"/>
  <c r="N98" i="29"/>
  <c r="O63" i="29"/>
  <c r="O64" i="29" s="1"/>
  <c r="O94" i="29"/>
  <c r="O99" i="29"/>
  <c r="O104" i="29"/>
  <c r="O92" i="29"/>
  <c r="O100" i="29"/>
  <c r="O91" i="29"/>
  <c r="O88" i="29"/>
  <c r="O96" i="29"/>
  <c r="O97" i="29"/>
  <c r="O105" i="29"/>
  <c r="O89" i="29"/>
  <c r="O95" i="29"/>
  <c r="O98" i="29"/>
  <c r="O90" i="29"/>
  <c r="O93" i="29"/>
  <c r="O106" i="29"/>
  <c r="O103" i="29"/>
  <c r="O102" i="29"/>
  <c r="O101" i="29"/>
  <c r="AC63" i="29"/>
  <c r="AC64" i="29" s="1"/>
  <c r="AC91" i="29"/>
  <c r="AC99" i="29"/>
  <c r="AC102" i="29"/>
  <c r="AC104" i="29"/>
  <c r="AC96" i="29"/>
  <c r="AC103" i="29"/>
  <c r="AC95" i="29"/>
  <c r="AC89" i="29"/>
  <c r="AC97" i="29"/>
  <c r="AC90" i="29"/>
  <c r="AC92" i="29"/>
  <c r="AC101" i="29"/>
  <c r="AC93" i="29"/>
  <c r="AC106" i="29"/>
  <c r="AC100" i="29"/>
  <c r="AC94" i="29"/>
  <c r="AC88" i="29"/>
  <c r="AC105" i="29"/>
  <c r="AC98" i="29"/>
  <c r="I63" i="29"/>
  <c r="I64" i="29" s="1"/>
  <c r="I101" i="29"/>
  <c r="I104" i="29"/>
  <c r="I91" i="29"/>
  <c r="I100" i="29"/>
  <c r="I102" i="29"/>
  <c r="I93" i="29"/>
  <c r="I94" i="29"/>
  <c r="I106" i="29"/>
  <c r="I88" i="29"/>
  <c r="I103" i="29"/>
  <c r="I89" i="29"/>
  <c r="I96" i="29"/>
  <c r="I92" i="29"/>
  <c r="I90" i="29"/>
  <c r="I97" i="29"/>
  <c r="I99" i="29"/>
  <c r="I98" i="29"/>
  <c r="I95" i="29"/>
  <c r="I105" i="29"/>
  <c r="T63" i="29"/>
  <c r="T64" i="29" s="1"/>
  <c r="T102" i="29"/>
  <c r="T91" i="29"/>
  <c r="T101" i="29"/>
  <c r="T89" i="29"/>
  <c r="T90" i="29"/>
  <c r="T92" i="29"/>
  <c r="T100" i="29"/>
  <c r="T106" i="29"/>
  <c r="T93" i="29"/>
  <c r="T94" i="29"/>
  <c r="T88" i="29"/>
  <c r="T95" i="29"/>
  <c r="T96" i="29"/>
  <c r="T104" i="29"/>
  <c r="T97" i="29"/>
  <c r="T103" i="29"/>
  <c r="T99" i="29"/>
  <c r="T105" i="29"/>
  <c r="T98" i="29"/>
  <c r="F63" i="29"/>
  <c r="F64" i="29" s="1"/>
  <c r="F51" i="29" s="1"/>
  <c r="F99" i="29"/>
  <c r="F106" i="29"/>
  <c r="F88" i="29"/>
  <c r="F101" i="29"/>
  <c r="F100" i="29"/>
  <c r="F89" i="29"/>
  <c r="F94" i="29"/>
  <c r="F96" i="29"/>
  <c r="F102" i="29"/>
  <c r="F95" i="29"/>
  <c r="F104" i="29"/>
  <c r="F103" i="29"/>
  <c r="F92" i="29"/>
  <c r="F98" i="29"/>
  <c r="F91" i="29"/>
  <c r="F105" i="29"/>
  <c r="F97" i="29"/>
  <c r="F90" i="29"/>
  <c r="F93" i="29"/>
  <c r="V63" i="29"/>
  <c r="V64" i="29" s="1"/>
  <c r="V51" i="29" s="1"/>
  <c r="V102" i="29"/>
  <c r="V91" i="29"/>
  <c r="V90" i="29"/>
  <c r="V92" i="29"/>
  <c r="V101" i="29"/>
  <c r="V97" i="29"/>
  <c r="V98" i="29"/>
  <c r="V105" i="29"/>
  <c r="V106" i="29"/>
  <c r="V94" i="29"/>
  <c r="V104" i="29"/>
  <c r="V88" i="29"/>
  <c r="V93" i="29"/>
  <c r="V99" i="29"/>
  <c r="V100" i="29"/>
  <c r="V89" i="29"/>
  <c r="V95" i="29"/>
  <c r="V96" i="29"/>
  <c r="V103" i="29"/>
  <c r="Z90" i="29"/>
  <c r="Z91" i="29"/>
  <c r="Z102" i="29"/>
  <c r="Z92" i="29"/>
  <c r="Z89" i="29"/>
  <c r="Z99" i="29"/>
  <c r="Z95" i="29"/>
  <c r="Z103" i="29"/>
  <c r="Z93" i="29"/>
  <c r="Z105" i="29"/>
  <c r="Z97" i="29"/>
  <c r="Z98" i="29"/>
  <c r="Z101" i="29"/>
  <c r="Z106" i="29"/>
  <c r="Z100" i="29"/>
  <c r="Z104" i="29"/>
  <c r="Z94" i="29"/>
  <c r="Z88" i="29"/>
  <c r="Z96" i="29"/>
  <c r="X63" i="29"/>
  <c r="X64" i="29" s="1"/>
  <c r="X91" i="29"/>
  <c r="X102" i="29"/>
  <c r="X105" i="29"/>
  <c r="X92" i="29"/>
  <c r="X98" i="29"/>
  <c r="X93" i="29"/>
  <c r="X99" i="29"/>
  <c r="X100" i="29"/>
  <c r="X95" i="29"/>
  <c r="X97" i="29"/>
  <c r="X104" i="29"/>
  <c r="X88" i="29"/>
  <c r="X101" i="29"/>
  <c r="X90" i="29"/>
  <c r="X94" i="29"/>
  <c r="X106" i="29"/>
  <c r="X89" i="29"/>
  <c r="X96" i="29"/>
  <c r="X103" i="29"/>
  <c r="H63" i="29"/>
  <c r="H64" i="29" s="1"/>
  <c r="H101" i="29"/>
  <c r="H100" i="29"/>
  <c r="H102" i="29"/>
  <c r="H104" i="29"/>
  <c r="H94" i="29"/>
  <c r="H97" i="29"/>
  <c r="H90" i="29"/>
  <c r="H93" i="29"/>
  <c r="H88" i="29"/>
  <c r="H98" i="29"/>
  <c r="H96" i="29"/>
  <c r="H103" i="29"/>
  <c r="H99" i="29"/>
  <c r="H105" i="29"/>
  <c r="H106" i="29"/>
  <c r="H95" i="29"/>
  <c r="H89" i="29"/>
  <c r="H92" i="29"/>
  <c r="H91" i="29"/>
  <c r="AD63" i="29"/>
  <c r="AD64" i="29" s="1"/>
  <c r="AD88" i="29"/>
  <c r="AD92" i="29"/>
  <c r="AD102" i="29"/>
  <c r="AD100" i="29"/>
  <c r="AD93" i="29"/>
  <c r="AD103" i="29"/>
  <c r="AD97" i="29"/>
  <c r="AD99" i="29"/>
  <c r="AD98" i="29"/>
  <c r="AD101" i="29"/>
  <c r="AD90" i="29"/>
  <c r="AD104" i="29"/>
  <c r="AD94" i="29"/>
  <c r="AD106" i="29"/>
  <c r="AD96" i="29"/>
  <c r="AD105" i="29"/>
  <c r="AD89" i="29"/>
  <c r="AD95" i="29"/>
  <c r="AD91" i="29"/>
  <c r="AG63" i="29"/>
  <c r="AG64" i="29" s="1"/>
  <c r="AG51" i="29" s="1"/>
  <c r="AG91" i="29"/>
  <c r="AG100" i="29"/>
  <c r="AG101" i="29"/>
  <c r="AG104" i="29"/>
  <c r="AG92" i="29"/>
  <c r="AG99" i="29"/>
  <c r="AG95" i="29"/>
  <c r="AG88" i="29"/>
  <c r="AG105" i="29"/>
  <c r="AG98" i="29"/>
  <c r="AG103" i="29"/>
  <c r="AG93" i="29"/>
  <c r="AG106" i="29"/>
  <c r="AG94" i="29"/>
  <c r="AG102" i="29"/>
  <c r="AG90" i="29"/>
  <c r="AG89" i="29"/>
  <c r="AG96" i="29"/>
  <c r="AG97" i="29"/>
  <c r="AH63" i="29"/>
  <c r="AH64" i="29" s="1"/>
  <c r="AH106" i="29"/>
  <c r="AH91" i="29"/>
  <c r="AH99" i="29"/>
  <c r="AH101" i="29"/>
  <c r="AH104" i="29"/>
  <c r="AH102" i="29"/>
  <c r="AH94" i="29"/>
  <c r="AH96" i="29"/>
  <c r="AH95" i="29"/>
  <c r="AH98" i="29"/>
  <c r="AH88" i="29"/>
  <c r="AH89" i="29"/>
  <c r="AH90" i="29"/>
  <c r="AH97" i="29"/>
  <c r="AH93" i="29"/>
  <c r="AH103" i="29"/>
  <c r="AH92" i="29"/>
  <c r="AH100" i="29"/>
  <c r="AH105" i="29"/>
  <c r="K63" i="29"/>
  <c r="K64" i="29" s="1"/>
  <c r="K101" i="29"/>
  <c r="K104" i="29"/>
  <c r="K92" i="29"/>
  <c r="K91" i="29"/>
  <c r="K94" i="29"/>
  <c r="K90" i="29"/>
  <c r="K102" i="29"/>
  <c r="K106" i="29"/>
  <c r="K105" i="29"/>
  <c r="K98" i="29"/>
  <c r="K97" i="29"/>
  <c r="K89" i="29"/>
  <c r="K103" i="29"/>
  <c r="K100" i="29"/>
  <c r="K99" i="29"/>
  <c r="K95" i="29"/>
  <c r="K88" i="29"/>
  <c r="K93" i="29"/>
  <c r="K96" i="29"/>
  <c r="AI63" i="29"/>
  <c r="AI64" i="29" s="1"/>
  <c r="AI51" i="29" s="1"/>
  <c r="AI106" i="29"/>
  <c r="AI104" i="29"/>
  <c r="AI91" i="29"/>
  <c r="AI99" i="29"/>
  <c r="AI101" i="29"/>
  <c r="AI100" i="29"/>
  <c r="AI89" i="29"/>
  <c r="AI96" i="29"/>
  <c r="AI105" i="29"/>
  <c r="AI95" i="29"/>
  <c r="AI102" i="29"/>
  <c r="AI94" i="29"/>
  <c r="AI103" i="29"/>
  <c r="AI97" i="29"/>
  <c r="AI88" i="29"/>
  <c r="AI93" i="29"/>
  <c r="AI90" i="29"/>
  <c r="AI92" i="29"/>
  <c r="AI98" i="29"/>
  <c r="M63" i="29"/>
  <c r="M64" i="29" s="1"/>
  <c r="M51" i="29" s="1"/>
  <c r="M102" i="29"/>
  <c r="M91" i="29"/>
  <c r="M94" i="29"/>
  <c r="M99" i="29"/>
  <c r="M104" i="29"/>
  <c r="M92" i="29"/>
  <c r="M106" i="29"/>
  <c r="M95" i="29"/>
  <c r="M88" i="29"/>
  <c r="M90" i="29"/>
  <c r="M93" i="29"/>
  <c r="M103" i="29"/>
  <c r="M101" i="29"/>
  <c r="M96" i="29"/>
  <c r="M100" i="29"/>
  <c r="M89" i="29"/>
  <c r="M97" i="29"/>
  <c r="M105" i="29"/>
  <c r="M98" i="29"/>
  <c r="AB63" i="29"/>
  <c r="AB91" i="29"/>
  <c r="AB99" i="29"/>
  <c r="AB95" i="29"/>
  <c r="AB105" i="29"/>
  <c r="AB102" i="29"/>
  <c r="AB98" i="29"/>
  <c r="AB88" i="29"/>
  <c r="AB90" i="29"/>
  <c r="AB89" i="29"/>
  <c r="AB100" i="29"/>
  <c r="AB101" i="29"/>
  <c r="AB103" i="29"/>
  <c r="AB97" i="29"/>
  <c r="AB92" i="29"/>
  <c r="AB106" i="29"/>
  <c r="AB94" i="29"/>
  <c r="AB93" i="29"/>
  <c r="AB96" i="29"/>
  <c r="AB104" i="29"/>
  <c r="W63" i="29"/>
  <c r="W64" i="29" s="1"/>
  <c r="W92" i="29"/>
  <c r="W102" i="29"/>
  <c r="W91" i="29"/>
  <c r="W105" i="29"/>
  <c r="W104" i="29"/>
  <c r="W100" i="29"/>
  <c r="W89" i="29"/>
  <c r="W106" i="29"/>
  <c r="W90" i="29"/>
  <c r="W93" i="29"/>
  <c r="W98" i="29"/>
  <c r="W97" i="29"/>
  <c r="W88" i="29"/>
  <c r="W101" i="29"/>
  <c r="W103" i="29"/>
  <c r="W96" i="29"/>
  <c r="W94" i="29"/>
  <c r="W99" i="29"/>
  <c r="W95" i="29"/>
  <c r="G63" i="29"/>
  <c r="G64" i="29" s="1"/>
  <c r="G101" i="29"/>
  <c r="G99" i="29"/>
  <c r="G100" i="29"/>
  <c r="G102" i="29"/>
  <c r="G106" i="29"/>
  <c r="G104" i="29"/>
  <c r="G88" i="29"/>
  <c r="G91" i="29"/>
  <c r="G97" i="29"/>
  <c r="G105" i="29"/>
  <c r="G95" i="29"/>
  <c r="G92" i="29"/>
  <c r="G90" i="29"/>
  <c r="G89" i="29"/>
  <c r="G103" i="29"/>
  <c r="G94" i="29"/>
  <c r="G96" i="29"/>
  <c r="G93" i="29"/>
  <c r="G98" i="29"/>
  <c r="Y63" i="29"/>
  <c r="Y106" i="29"/>
  <c r="Y102" i="29"/>
  <c r="Y105" i="29"/>
  <c r="Y104" i="29"/>
  <c r="Y92" i="29"/>
  <c r="Y95" i="29"/>
  <c r="Y98" i="29"/>
  <c r="Y89" i="29"/>
  <c r="Y88" i="29"/>
  <c r="Y97" i="29"/>
  <c r="Y90" i="29"/>
  <c r="Y91" i="29"/>
  <c r="Y101" i="29"/>
  <c r="Y93" i="29"/>
  <c r="Y99" i="29"/>
  <c r="Y103" i="29"/>
  <c r="Y94" i="29"/>
  <c r="Y96" i="29"/>
  <c r="Y100" i="29"/>
  <c r="AF63" i="29"/>
  <c r="AF64" i="29" s="1"/>
  <c r="AF91" i="29"/>
  <c r="AF105" i="29"/>
  <c r="AF100" i="29"/>
  <c r="AF88" i="29"/>
  <c r="AF90" i="29"/>
  <c r="AF102" i="29"/>
  <c r="AF103" i="29"/>
  <c r="AF104" i="29"/>
  <c r="AF89" i="29"/>
  <c r="AF98" i="29"/>
  <c r="AF101" i="29"/>
  <c r="AF93" i="29"/>
  <c r="AF95" i="29"/>
  <c r="AF97" i="29"/>
  <c r="AF106" i="29"/>
  <c r="AF94" i="29"/>
  <c r="AF96" i="29"/>
  <c r="AF99" i="29"/>
  <c r="AF92" i="29"/>
  <c r="AE63" i="29"/>
  <c r="AE64" i="29" s="1"/>
  <c r="AE102" i="29"/>
  <c r="AE91" i="29"/>
  <c r="AE92" i="29"/>
  <c r="AE95" i="29"/>
  <c r="AE100" i="29"/>
  <c r="AE88" i="29"/>
  <c r="AE105" i="29"/>
  <c r="AE93" i="29"/>
  <c r="AE99" i="29"/>
  <c r="AE103" i="29"/>
  <c r="AE106" i="29"/>
  <c r="AE97" i="29"/>
  <c r="AE104" i="29"/>
  <c r="AE90" i="29"/>
  <c r="AE94" i="29"/>
  <c r="AE101" i="29"/>
  <c r="AE96" i="29"/>
  <c r="AE89" i="29"/>
  <c r="AE98" i="29"/>
  <c r="S63" i="29"/>
  <c r="S64" i="29" s="1"/>
  <c r="S52" i="29" s="1"/>
  <c r="S91" i="29"/>
  <c r="S102" i="29"/>
  <c r="S101" i="29"/>
  <c r="S89" i="29"/>
  <c r="S90" i="29"/>
  <c r="S92" i="29"/>
  <c r="S100" i="29"/>
  <c r="S97" i="29"/>
  <c r="S99" i="29"/>
  <c r="S106" i="29"/>
  <c r="S94" i="29"/>
  <c r="S104" i="29"/>
  <c r="S98" i="29"/>
  <c r="S96" i="29"/>
  <c r="S103" i="29"/>
  <c r="S105" i="29"/>
  <c r="S93" i="29"/>
  <c r="S88" i="29"/>
  <c r="S95" i="29"/>
  <c r="L63" i="29"/>
  <c r="L64" i="29" s="1"/>
  <c r="L102" i="29"/>
  <c r="L104" i="29"/>
  <c r="L92" i="29"/>
  <c r="L91" i="29"/>
  <c r="L98" i="29"/>
  <c r="L94" i="29"/>
  <c r="L100" i="29"/>
  <c r="L96" i="29"/>
  <c r="L97" i="29"/>
  <c r="L89" i="29"/>
  <c r="L101" i="29"/>
  <c r="L99" i="29"/>
  <c r="L93" i="29"/>
  <c r="L95" i="29"/>
  <c r="L103" i="29"/>
  <c r="L105" i="29"/>
  <c r="L90" i="29"/>
  <c r="L88" i="29"/>
  <c r="L106" i="29"/>
  <c r="P63" i="29"/>
  <c r="P99" i="29"/>
  <c r="P101" i="29"/>
  <c r="P89" i="29"/>
  <c r="P104" i="29"/>
  <c r="P100" i="29"/>
  <c r="P102" i="29"/>
  <c r="P105" i="29"/>
  <c r="P94" i="29"/>
  <c r="P90" i="29"/>
  <c r="P91" i="29"/>
  <c r="P95" i="29"/>
  <c r="P92" i="29"/>
  <c r="P96" i="29"/>
  <c r="P98" i="29"/>
  <c r="P93" i="29"/>
  <c r="P88" i="29"/>
  <c r="P97" i="29"/>
  <c r="P103" i="29"/>
  <c r="P106" i="29"/>
  <c r="AA63" i="29"/>
  <c r="AA64" i="29" s="1"/>
  <c r="AA52" i="29" s="1"/>
  <c r="AA91" i="29"/>
  <c r="AA92" i="29"/>
  <c r="AA99" i="29"/>
  <c r="AA100" i="29"/>
  <c r="AA102" i="29"/>
  <c r="AA101" i="29"/>
  <c r="AA97" i="29"/>
  <c r="AA106" i="29"/>
  <c r="AA98" i="29"/>
  <c r="AA94" i="29"/>
  <c r="AA104" i="29"/>
  <c r="AA95" i="29"/>
  <c r="AA89" i="29"/>
  <c r="AA105" i="29"/>
  <c r="AA103" i="29"/>
  <c r="AA93" i="29"/>
  <c r="AA90" i="29"/>
  <c r="AA88" i="29"/>
  <c r="AA96" i="29"/>
  <c r="R63" i="29"/>
  <c r="R64" i="29" s="1"/>
  <c r="R91" i="29"/>
  <c r="R101" i="29"/>
  <c r="R100" i="29"/>
  <c r="R89" i="29"/>
  <c r="R99" i="29"/>
  <c r="R90" i="29"/>
  <c r="R102" i="29"/>
  <c r="R104" i="29"/>
  <c r="R97" i="29"/>
  <c r="R96" i="29"/>
  <c r="R88" i="29"/>
  <c r="R106" i="29"/>
  <c r="R92" i="29"/>
  <c r="R103" i="29"/>
  <c r="R95" i="29"/>
  <c r="R105" i="29"/>
  <c r="R98" i="29"/>
  <c r="R93" i="29"/>
  <c r="R94" i="29"/>
  <c r="Q63" i="29"/>
  <c r="Q64" i="29" s="1"/>
  <c r="Q52" i="29" s="1"/>
  <c r="Q89" i="29"/>
  <c r="Q101" i="29"/>
  <c r="Q100" i="29"/>
  <c r="Q99" i="29"/>
  <c r="Q90" i="29"/>
  <c r="Q102" i="29"/>
  <c r="Q98" i="29"/>
  <c r="Q88" i="29"/>
  <c r="Q97" i="29"/>
  <c r="Q103" i="29"/>
  <c r="Q94" i="29"/>
  <c r="Q104" i="29"/>
  <c r="Q105" i="29"/>
  <c r="Q106" i="29"/>
  <c r="Q95" i="29"/>
  <c r="Q92" i="29"/>
  <c r="Q93" i="29"/>
  <c r="Q91" i="29"/>
  <c r="Q96" i="29"/>
  <c r="Z63" i="29"/>
  <c r="Z64" i="29" s="1"/>
  <c r="AJ109" i="29" s="1"/>
  <c r="AJ52" i="29"/>
  <c r="E39" i="29"/>
  <c r="E40" i="29" s="1"/>
  <c r="V54" i="32" s="1"/>
  <c r="E62" i="29"/>
  <c r="E57" i="29"/>
  <c r="AP57" i="29" s="1"/>
  <c r="AS101" i="29" l="1"/>
  <c r="AS103" i="29"/>
  <c r="AS104" i="29"/>
  <c r="AS105" i="29"/>
  <c r="AS106" i="29"/>
  <c r="AS88" i="29"/>
  <c r="AS89" i="29"/>
  <c r="AS102" i="29"/>
  <c r="AS91" i="29"/>
  <c r="AS92" i="29"/>
  <c r="AS93" i="29"/>
  <c r="AS94" i="29"/>
  <c r="AS90" i="29"/>
  <c r="AS95" i="29"/>
  <c r="AS96" i="29"/>
  <c r="AS97" i="29"/>
  <c r="AS98" i="29"/>
  <c r="AS99" i="29"/>
  <c r="V132" i="29"/>
  <c r="S127" i="29"/>
  <c r="AP62" i="29"/>
  <c r="AP89" i="29" s="1"/>
  <c r="E63" i="29"/>
  <c r="AU89" i="29"/>
  <c r="AU88" i="29"/>
  <c r="AU106" i="29"/>
  <c r="AU105" i="29"/>
  <c r="AU104" i="29"/>
  <c r="AU103" i="29"/>
  <c r="AU102" i="29"/>
  <c r="AU101" i="29"/>
  <c r="AU100" i="29"/>
  <c r="AU99" i="29"/>
  <c r="AU98" i="29"/>
  <c r="AU97" i="29"/>
  <c r="AU96" i="29"/>
  <c r="AU95" i="29"/>
  <c r="AU94" i="29"/>
  <c r="AU93" i="29"/>
  <c r="AU92" i="29"/>
  <c r="AU91" i="29"/>
  <c r="AU90" i="29"/>
  <c r="BG61" i="29"/>
  <c r="AQ106" i="29"/>
  <c r="AQ105" i="29"/>
  <c r="AQ104" i="29"/>
  <c r="AQ103" i="29"/>
  <c r="AQ102" i="29"/>
  <c r="AQ101" i="29"/>
  <c r="AQ100" i="29"/>
  <c r="AQ99" i="29"/>
  <c r="AQ98" i="29"/>
  <c r="AQ97" i="29"/>
  <c r="AQ96" i="29"/>
  <c r="AQ95" i="29"/>
  <c r="AQ94" i="29"/>
  <c r="AQ93" i="29"/>
  <c r="AQ92" i="29"/>
  <c r="AQ91" i="29"/>
  <c r="AQ90" i="29"/>
  <c r="AQ89" i="29"/>
  <c r="AQ88" i="29"/>
  <c r="AR95" i="29"/>
  <c r="AR94" i="29"/>
  <c r="AR106" i="29"/>
  <c r="AR105" i="29"/>
  <c r="AR104" i="29"/>
  <c r="AR103" i="29"/>
  <c r="AR102" i="29"/>
  <c r="AR101" i="29"/>
  <c r="AR100" i="29"/>
  <c r="AR99" i="29"/>
  <c r="AR98" i="29"/>
  <c r="AR89" i="29"/>
  <c r="AR88" i="29"/>
  <c r="AR97" i="29"/>
  <c r="AR96" i="29"/>
  <c r="AR93" i="29"/>
  <c r="AR92" i="29"/>
  <c r="AR91" i="29"/>
  <c r="AR90" i="29"/>
  <c r="AT88" i="29"/>
  <c r="BG88" i="29" s="1"/>
  <c r="AT106" i="29"/>
  <c r="BG106" i="29" s="1"/>
  <c r="AT103" i="29"/>
  <c r="BG103" i="29" s="1"/>
  <c r="AT100" i="29"/>
  <c r="BG100" i="29" s="1"/>
  <c r="AT99" i="29"/>
  <c r="BG99" i="29" s="1"/>
  <c r="AT97" i="29"/>
  <c r="BG97" i="29" s="1"/>
  <c r="AT95" i="29"/>
  <c r="BG95" i="29" s="1"/>
  <c r="AT93" i="29"/>
  <c r="BG93" i="29" s="1"/>
  <c r="AT92" i="29"/>
  <c r="BG92" i="29" s="1"/>
  <c r="AT91" i="29"/>
  <c r="BG91" i="29" s="1"/>
  <c r="AT105" i="29"/>
  <c r="BG105" i="29" s="1"/>
  <c r="AT104" i="29"/>
  <c r="BG104" i="29" s="1"/>
  <c r="AT102" i="29"/>
  <c r="BG102" i="29" s="1"/>
  <c r="AT101" i="29"/>
  <c r="BG101" i="29" s="1"/>
  <c r="AT98" i="29"/>
  <c r="BG98" i="29" s="1"/>
  <c r="AT96" i="29"/>
  <c r="BG96" i="29" s="1"/>
  <c r="AT94" i="29"/>
  <c r="BG94" i="29" s="1"/>
  <c r="AT90" i="29"/>
  <c r="BG90" i="29" s="1"/>
  <c r="AT89" i="29"/>
  <c r="BG89" i="29" s="1"/>
  <c r="AB64" i="29"/>
  <c r="AU64" i="29" s="1"/>
  <c r="AB55" i="32" s="1"/>
  <c r="AU63" i="29"/>
  <c r="P64" i="29"/>
  <c r="P123" i="29" s="1"/>
  <c r="AR63" i="29"/>
  <c r="AI109" i="29"/>
  <c r="AD127" i="29"/>
  <c r="M117" i="29"/>
  <c r="V111" i="29"/>
  <c r="I109" i="29"/>
  <c r="AA121" i="29"/>
  <c r="M109" i="29"/>
  <c r="V127" i="29"/>
  <c r="F109" i="29"/>
  <c r="J64" i="29"/>
  <c r="AQ64" i="29" s="1"/>
  <c r="X55" i="32" s="1"/>
  <c r="AQ63" i="29"/>
  <c r="Y64" i="29"/>
  <c r="AT64" i="29" s="1"/>
  <c r="AA55" i="32" s="1"/>
  <c r="AT63" i="29"/>
  <c r="F132" i="29"/>
  <c r="AX65" i="29"/>
  <c r="AP65" i="29"/>
  <c r="W54" i="32" s="1"/>
  <c r="R109" i="29"/>
  <c r="U64" i="29"/>
  <c r="AS64" i="29" s="1"/>
  <c r="Z55" i="32" s="1"/>
  <c r="AS63" i="29"/>
  <c r="AA111" i="29"/>
  <c r="G118" i="29"/>
  <c r="V109" i="29"/>
  <c r="V131" i="29"/>
  <c r="Q118" i="29"/>
  <c r="Q111" i="29"/>
  <c r="W109" i="29"/>
  <c r="Q116" i="29"/>
  <c r="AD109" i="29"/>
  <c r="AN113" i="29"/>
  <c r="AF129" i="29"/>
  <c r="Q109" i="29"/>
  <c r="AH121" i="29"/>
  <c r="M116" i="29"/>
  <c r="N109" i="29"/>
  <c r="Z109" i="29"/>
  <c r="AN52" i="29"/>
  <c r="AA109" i="29"/>
  <c r="T109" i="29"/>
  <c r="R127" i="29"/>
  <c r="K109" i="29"/>
  <c r="M52" i="29"/>
  <c r="V118" i="29"/>
  <c r="W118" i="29"/>
  <c r="V52" i="29"/>
  <c r="V117" i="29"/>
  <c r="AM52" i="29"/>
  <c r="AJ112" i="29"/>
  <c r="V126" i="29"/>
  <c r="AC109" i="29"/>
  <c r="R123" i="29"/>
  <c r="AA132" i="29"/>
  <c r="X109" i="29"/>
  <c r="G109" i="29"/>
  <c r="F127" i="29"/>
  <c r="T117" i="29"/>
  <c r="AH109" i="29"/>
  <c r="L109" i="29"/>
  <c r="O109" i="29"/>
  <c r="S109" i="29"/>
  <c r="AE109" i="29"/>
  <c r="H109" i="29"/>
  <c r="AF109" i="29"/>
  <c r="AG109" i="29"/>
  <c r="W52" i="29"/>
  <c r="H123" i="29"/>
  <c r="F120" i="29"/>
  <c r="W132" i="29"/>
  <c r="I122" i="29"/>
  <c r="O111" i="29"/>
  <c r="AC117" i="29"/>
  <c r="M132" i="29"/>
  <c r="AD110" i="29"/>
  <c r="Q126" i="29"/>
  <c r="T118" i="29"/>
  <c r="AC110" i="29"/>
  <c r="W51" i="29"/>
  <c r="T116" i="29"/>
  <c r="M118" i="29"/>
  <c r="M129" i="29"/>
  <c r="F111" i="29"/>
  <c r="AG113" i="29"/>
  <c r="W123" i="29"/>
  <c r="AI122" i="29"/>
  <c r="AH118" i="29"/>
  <c r="N129" i="29"/>
  <c r="M120" i="29"/>
  <c r="T121" i="29"/>
  <c r="M111" i="29"/>
  <c r="AD111" i="29"/>
  <c r="F129" i="29"/>
  <c r="T120" i="29"/>
  <c r="T52" i="29"/>
  <c r="R120" i="29"/>
  <c r="F122" i="29"/>
  <c r="L118" i="29"/>
  <c r="F116" i="29"/>
  <c r="AI121" i="29"/>
  <c r="M122" i="29"/>
  <c r="AH132" i="29"/>
  <c r="F121" i="29"/>
  <c r="T111" i="29"/>
  <c r="N122" i="29"/>
  <c r="X131" i="29"/>
  <c r="O121" i="29"/>
  <c r="R131" i="29"/>
  <c r="AC127" i="29"/>
  <c r="AI129" i="29"/>
  <c r="M121" i="29"/>
  <c r="R132" i="29"/>
  <c r="S116" i="29"/>
  <c r="G120" i="29"/>
  <c r="AG129" i="29"/>
  <c r="O127" i="29"/>
  <c r="L132" i="29"/>
  <c r="S126" i="29"/>
  <c r="G123" i="29"/>
  <c r="AH129" i="29"/>
  <c r="Q117" i="29"/>
  <c r="Q129" i="29"/>
  <c r="S118" i="29"/>
  <c r="G121" i="29"/>
  <c r="AI123" i="29"/>
  <c r="K111" i="29"/>
  <c r="AH117" i="29"/>
  <c r="I121" i="29"/>
  <c r="O129" i="29"/>
  <c r="G52" i="29"/>
  <c r="Q132" i="29"/>
  <c r="Q121" i="29"/>
  <c r="AA116" i="29"/>
  <c r="AI111" i="29"/>
  <c r="G117" i="29"/>
  <c r="O118" i="29"/>
  <c r="G111" i="29"/>
  <c r="G110" i="29"/>
  <c r="G131" i="29"/>
  <c r="G51" i="29"/>
  <c r="G129" i="29"/>
  <c r="AG111" i="29"/>
  <c r="AG110" i="29"/>
  <c r="AL52" i="29"/>
  <c r="O116" i="29"/>
  <c r="Q127" i="29"/>
  <c r="AI132" i="29"/>
  <c r="L121" i="29"/>
  <c r="X132" i="29"/>
  <c r="T113" i="29"/>
  <c r="G132" i="29"/>
  <c r="AK110" i="29"/>
  <c r="Q113" i="29"/>
  <c r="X123" i="29"/>
  <c r="AM109" i="29"/>
  <c r="X126" i="29"/>
  <c r="S113" i="29"/>
  <c r="AF113" i="29"/>
  <c r="K121" i="29"/>
  <c r="AH126" i="29"/>
  <c r="X111" i="29"/>
  <c r="I120" i="29"/>
  <c r="AC129" i="29"/>
  <c r="O126" i="29"/>
  <c r="X127" i="29"/>
  <c r="R129" i="29"/>
  <c r="AA117" i="29"/>
  <c r="L129" i="29"/>
  <c r="AI127" i="29"/>
  <c r="AH113" i="29"/>
  <c r="V129" i="29"/>
  <c r="F131" i="29"/>
  <c r="I118" i="29"/>
  <c r="AL109" i="29"/>
  <c r="AK52" i="29"/>
  <c r="X116" i="29"/>
  <c r="AA118" i="29"/>
  <c r="AE132" i="29"/>
  <c r="AD113" i="29"/>
  <c r="X121" i="29"/>
  <c r="V121" i="29"/>
  <c r="F123" i="29"/>
  <c r="I127" i="29"/>
  <c r="AC126" i="29"/>
  <c r="AC122" i="29"/>
  <c r="H122" i="29"/>
  <c r="AK111" i="29"/>
  <c r="AK113" i="29"/>
  <c r="W126" i="29"/>
  <c r="T127" i="29"/>
  <c r="X117" i="29"/>
  <c r="K129" i="29"/>
  <c r="X118" i="29"/>
  <c r="R126" i="29"/>
  <c r="AE123" i="29"/>
  <c r="G122" i="29"/>
  <c r="W111" i="29"/>
  <c r="I129" i="29"/>
  <c r="AM111" i="29"/>
  <c r="F113" i="29"/>
  <c r="O113" i="29"/>
  <c r="AC123" i="29"/>
  <c r="M126" i="29"/>
  <c r="H126" i="29"/>
  <c r="AM107" i="29"/>
  <c r="AM110" i="29"/>
  <c r="X122" i="29"/>
  <c r="T123" i="29"/>
  <c r="AL113" i="29"/>
  <c r="G126" i="29"/>
  <c r="W131" i="29"/>
  <c r="AN111" i="29"/>
  <c r="AE113" i="29"/>
  <c r="AI131" i="29"/>
  <c r="K123" i="29"/>
  <c r="V123" i="29"/>
  <c r="AL107" i="29"/>
  <c r="AL110" i="29"/>
  <c r="AA110" i="29"/>
  <c r="T132" i="29"/>
  <c r="AK109" i="29"/>
  <c r="AH116" i="29"/>
  <c r="G127" i="29"/>
  <c r="AI120" i="29"/>
  <c r="AN107" i="29"/>
  <c r="AN110" i="29"/>
  <c r="AN109" i="29"/>
  <c r="X51" i="29"/>
  <c r="S111" i="29"/>
  <c r="X52" i="29"/>
  <c r="H131" i="29"/>
  <c r="AH131" i="29"/>
  <c r="X120" i="29"/>
  <c r="AD117" i="29"/>
  <c r="M131" i="29"/>
  <c r="AK107" i="29"/>
  <c r="AM113" i="29"/>
  <c r="N126" i="29"/>
  <c r="AE121" i="29"/>
  <c r="X129" i="29"/>
  <c r="V116" i="29"/>
  <c r="AL111" i="29"/>
  <c r="AD118" i="29"/>
  <c r="AI110" i="29"/>
  <c r="AE127" i="29"/>
  <c r="AE117" i="29"/>
  <c r="AE118" i="29"/>
  <c r="AE51" i="29"/>
  <c r="N117" i="29"/>
  <c r="N118" i="29"/>
  <c r="N127" i="29"/>
  <c r="N52" i="29"/>
  <c r="N116" i="29"/>
  <c r="AF122" i="29"/>
  <c r="O110" i="29"/>
  <c r="O52" i="29"/>
  <c r="O123" i="29"/>
  <c r="R121" i="29"/>
  <c r="Q107" i="29"/>
  <c r="Q110" i="29"/>
  <c r="AC113" i="29"/>
  <c r="X107" i="29"/>
  <c r="N113" i="29"/>
  <c r="W117" i="29"/>
  <c r="K52" i="29"/>
  <c r="O120" i="29"/>
  <c r="O122" i="29"/>
  <c r="K132" i="29"/>
  <c r="H132" i="29"/>
  <c r="N120" i="29"/>
  <c r="W116" i="29"/>
  <c r="AD126" i="29"/>
  <c r="T126" i="29"/>
  <c r="AG127" i="29"/>
  <c r="V120" i="29"/>
  <c r="V113" i="29"/>
  <c r="K113" i="29"/>
  <c r="AG118" i="29"/>
  <c r="AG52" i="29"/>
  <c r="AG122" i="29"/>
  <c r="AG117" i="29"/>
  <c r="AG116" i="29"/>
  <c r="AG126" i="29"/>
  <c r="AG131" i="29"/>
  <c r="AG120" i="29"/>
  <c r="AG121" i="29"/>
  <c r="AG132" i="29"/>
  <c r="H111" i="29"/>
  <c r="N51" i="29"/>
  <c r="AA127" i="29"/>
  <c r="I113" i="29"/>
  <c r="AE129" i="29"/>
  <c r="AD131" i="29"/>
  <c r="L122" i="29"/>
  <c r="AA120" i="29"/>
  <c r="L51" i="29"/>
  <c r="R113" i="29"/>
  <c r="AC131" i="29"/>
  <c r="S123" i="29"/>
  <c r="F126" i="29"/>
  <c r="H110" i="29"/>
  <c r="AA123" i="29"/>
  <c r="N123" i="29"/>
  <c r="S117" i="29"/>
  <c r="Q131" i="29"/>
  <c r="AF127" i="29"/>
  <c r="AF131" i="29"/>
  <c r="AF118" i="29"/>
  <c r="AF116" i="29"/>
  <c r="AF51" i="29"/>
  <c r="AF117" i="29"/>
  <c r="H51" i="29"/>
  <c r="H52" i="29"/>
  <c r="H118" i="29"/>
  <c r="H127" i="29"/>
  <c r="H117" i="29"/>
  <c r="T107" i="29"/>
  <c r="T110" i="29"/>
  <c r="I107" i="29"/>
  <c r="I110" i="29"/>
  <c r="R107" i="29"/>
  <c r="AB107" i="29"/>
  <c r="R110" i="29"/>
  <c r="W107" i="29"/>
  <c r="W110" i="29"/>
  <c r="H113" i="29"/>
  <c r="V107" i="29"/>
  <c r="V110" i="29"/>
  <c r="U107" i="29"/>
  <c r="R122" i="29"/>
  <c r="M113" i="29"/>
  <c r="AF126" i="29"/>
  <c r="W122" i="29"/>
  <c r="W129" i="29"/>
  <c r="W121" i="29"/>
  <c r="AF110" i="29"/>
  <c r="AF123" i="29"/>
  <c r="AF111" i="29"/>
  <c r="AF121" i="29"/>
  <c r="AE111" i="29"/>
  <c r="W120" i="29"/>
  <c r="AI126" i="29"/>
  <c r="AH123" i="29"/>
  <c r="AH52" i="29"/>
  <c r="N132" i="29"/>
  <c r="AE120" i="29"/>
  <c r="O132" i="29"/>
  <c r="AA126" i="29"/>
  <c r="S122" i="29"/>
  <c r="AI113" i="29"/>
  <c r="AC118" i="29"/>
  <c r="AC111" i="29"/>
  <c r="AC116" i="29"/>
  <c r="AC120" i="29"/>
  <c r="AC121" i="29"/>
  <c r="AC51" i="29"/>
  <c r="AC52" i="29"/>
  <c r="S51" i="29"/>
  <c r="K117" i="29"/>
  <c r="K131" i="29"/>
  <c r="K126" i="29"/>
  <c r="K118" i="29"/>
  <c r="K127" i="29"/>
  <c r="K116" i="29"/>
  <c r="AE131" i="29"/>
  <c r="S120" i="29"/>
  <c r="AD123" i="29"/>
  <c r="I51" i="29"/>
  <c r="I117" i="29"/>
  <c r="I111" i="29"/>
  <c r="I123" i="29"/>
  <c r="I116" i="29"/>
  <c r="I132" i="29"/>
  <c r="L120" i="29"/>
  <c r="H129" i="29"/>
  <c r="AF120" i="29"/>
  <c r="G113" i="29"/>
  <c r="W127" i="29"/>
  <c r="AC132" i="29"/>
  <c r="L123" i="29"/>
  <c r="L111" i="29"/>
  <c r="O51" i="29"/>
  <c r="AE122" i="29"/>
  <c r="L131" i="29"/>
  <c r="AF132" i="29"/>
  <c r="AD129" i="29"/>
  <c r="I131" i="29"/>
  <c r="AF52" i="29"/>
  <c r="AE126" i="29"/>
  <c r="L110" i="29"/>
  <c r="N110" i="29"/>
  <c r="W113" i="29"/>
  <c r="AH120" i="29"/>
  <c r="K51" i="29"/>
  <c r="AE110" i="29"/>
  <c r="L127" i="29"/>
  <c r="H120" i="29"/>
  <c r="Q122" i="29"/>
  <c r="S121" i="29"/>
  <c r="AE116" i="29"/>
  <c r="G116" i="29"/>
  <c r="Q123" i="29"/>
  <c r="O131" i="29"/>
  <c r="AH122" i="29"/>
  <c r="H116" i="29"/>
  <c r="AH110" i="29"/>
  <c r="I52" i="29"/>
  <c r="AH111" i="29"/>
  <c r="L113" i="29"/>
  <c r="AD51" i="29"/>
  <c r="AD52" i="29"/>
  <c r="AD120" i="29"/>
  <c r="M107" i="29"/>
  <c r="M110" i="29"/>
  <c r="E103" i="29"/>
  <c r="E100" i="29"/>
  <c r="E101" i="29"/>
  <c r="E92" i="29"/>
  <c r="E91" i="29"/>
  <c r="E89" i="29"/>
  <c r="E90" i="29"/>
  <c r="E99" i="29"/>
  <c r="E88" i="29"/>
  <c r="E98" i="29"/>
  <c r="E102" i="29"/>
  <c r="E97" i="29"/>
  <c r="E93" i="29"/>
  <c r="E105" i="29"/>
  <c r="E96" i="29"/>
  <c r="E95" i="29"/>
  <c r="E104" i="29"/>
  <c r="E106" i="29"/>
  <c r="E94" i="29"/>
  <c r="AG123" i="29"/>
  <c r="X113" i="29"/>
  <c r="L52" i="29"/>
  <c r="L117" i="29"/>
  <c r="AD122" i="29"/>
  <c r="AA113" i="29"/>
  <c r="O117" i="29"/>
  <c r="R111" i="29"/>
  <c r="S107" i="29"/>
  <c r="S110" i="29"/>
  <c r="S131" i="29"/>
  <c r="AD121" i="29"/>
  <c r="K120" i="29"/>
  <c r="H121" i="29"/>
  <c r="N131" i="29"/>
  <c r="S132" i="29"/>
  <c r="K122" i="29"/>
  <c r="S129" i="29"/>
  <c r="N111" i="29"/>
  <c r="L126" i="29"/>
  <c r="N121" i="29"/>
  <c r="I126" i="29"/>
  <c r="K110" i="29"/>
  <c r="L116" i="29"/>
  <c r="AD132" i="29"/>
  <c r="V122" i="29"/>
  <c r="AE52" i="29"/>
  <c r="AH51" i="29"/>
  <c r="AH127" i="29"/>
  <c r="AD116" i="29"/>
  <c r="X110" i="29"/>
  <c r="R117" i="29"/>
  <c r="AI117" i="29"/>
  <c r="R52" i="29"/>
  <c r="R51" i="29"/>
  <c r="T129" i="29"/>
  <c r="M123" i="29"/>
  <c r="AI116" i="29"/>
  <c r="L107" i="29"/>
  <c r="AA129" i="29"/>
  <c r="AC107" i="29"/>
  <c r="T131" i="29"/>
  <c r="Q51" i="29"/>
  <c r="AH107" i="29"/>
  <c r="M127" i="29"/>
  <c r="F52" i="29"/>
  <c r="R116" i="29"/>
  <c r="F117" i="29"/>
  <c r="Q120" i="29"/>
  <c r="F107" i="29"/>
  <c r="Y107" i="29"/>
  <c r="AD107" i="29"/>
  <c r="AA122" i="29"/>
  <c r="P107" i="29"/>
  <c r="AA131" i="29"/>
  <c r="AI107" i="29"/>
  <c r="AF107" i="29"/>
  <c r="AG107" i="29"/>
  <c r="T122" i="29"/>
  <c r="R118" i="29"/>
  <c r="O107" i="29"/>
  <c r="AI52" i="29"/>
  <c r="G107" i="29"/>
  <c r="T51" i="29"/>
  <c r="N107" i="29"/>
  <c r="AA51" i="29"/>
  <c r="F110" i="29"/>
  <c r="AI118" i="29"/>
  <c r="K107" i="29"/>
  <c r="H107" i="29"/>
  <c r="AA107" i="29"/>
  <c r="F118" i="29"/>
  <c r="AE107" i="29"/>
  <c r="J107" i="29"/>
  <c r="Z52" i="29"/>
  <c r="Z116" i="29"/>
  <c r="Z118" i="29"/>
  <c r="Z113" i="29"/>
  <c r="Z117" i="29"/>
  <c r="Z126" i="29"/>
  <c r="Z111" i="29"/>
  <c r="Z127" i="29"/>
  <c r="Z129" i="29"/>
  <c r="Z132" i="29"/>
  <c r="Z131" i="29"/>
  <c r="Z123" i="29"/>
  <c r="Z110" i="29"/>
  <c r="Z121" i="29"/>
  <c r="Z122" i="29"/>
  <c r="Z120" i="29"/>
  <c r="Z51" i="29"/>
  <c r="Z107" i="29"/>
  <c r="AS107" i="29" l="1"/>
  <c r="AP91" i="29"/>
  <c r="J113" i="29"/>
  <c r="AQ113" i="29" s="1"/>
  <c r="P127" i="29"/>
  <c r="AR127" i="29" s="1"/>
  <c r="S128" i="29"/>
  <c r="AB132" i="29"/>
  <c r="AU132" i="29" s="1"/>
  <c r="AP90" i="29"/>
  <c r="AP92" i="29"/>
  <c r="J120" i="29"/>
  <c r="AQ120" i="29" s="1"/>
  <c r="X43" i="32" s="1"/>
  <c r="V128" i="29"/>
  <c r="AB111" i="29"/>
  <c r="AB110" i="29"/>
  <c r="AU110" i="29" s="1"/>
  <c r="P122" i="29"/>
  <c r="AR122" i="29" s="1"/>
  <c r="Y45" i="32" s="1"/>
  <c r="P111" i="29"/>
  <c r="AR111" i="29" s="1"/>
  <c r="P52" i="29"/>
  <c r="AR52" i="29" s="1"/>
  <c r="Y15" i="32" s="1"/>
  <c r="AB109" i="29"/>
  <c r="AU109" i="29" s="1"/>
  <c r="AB126" i="29"/>
  <c r="P117" i="29"/>
  <c r="AR117" i="29" s="1"/>
  <c r="Y52" i="32" s="1"/>
  <c r="P109" i="29"/>
  <c r="AR109" i="29" s="1"/>
  <c r="AB51" i="29"/>
  <c r="AU51" i="29" s="1"/>
  <c r="AB14" i="32" s="1"/>
  <c r="AB131" i="29"/>
  <c r="AU131" i="29" s="1"/>
  <c r="AB49" i="32" s="1"/>
  <c r="AB122" i="29"/>
  <c r="AU122" i="29" s="1"/>
  <c r="AB45" i="32" s="1"/>
  <c r="AB129" i="29"/>
  <c r="AU129" i="29" s="1"/>
  <c r="AB120" i="29"/>
  <c r="AU120" i="29" s="1"/>
  <c r="AB43" i="32" s="1"/>
  <c r="AB121" i="29"/>
  <c r="AU121" i="29" s="1"/>
  <c r="AB44" i="32" s="1"/>
  <c r="AB127" i="29"/>
  <c r="AU127" i="29" s="1"/>
  <c r="AB123" i="29"/>
  <c r="AU123" i="29" s="1"/>
  <c r="AB46" i="32" s="1"/>
  <c r="P129" i="29"/>
  <c r="AR129" i="29" s="1"/>
  <c r="P126" i="29"/>
  <c r="AP94" i="29"/>
  <c r="AP95" i="29"/>
  <c r="AP93" i="29"/>
  <c r="AP101" i="29"/>
  <c r="P132" i="29"/>
  <c r="AR132" i="29" s="1"/>
  <c r="AP102" i="29"/>
  <c r="AP100" i="29"/>
  <c r="AP96" i="29"/>
  <c r="AP98" i="29"/>
  <c r="AP99" i="29"/>
  <c r="AP103" i="29"/>
  <c r="AP97" i="29"/>
  <c r="AP104" i="29"/>
  <c r="AP105" i="29"/>
  <c r="AP106" i="29"/>
  <c r="AP88" i="29"/>
  <c r="U129" i="29"/>
  <c r="AS129" i="29" s="1"/>
  <c r="J111" i="29"/>
  <c r="AQ111" i="29" s="1"/>
  <c r="P121" i="29"/>
  <c r="AR121" i="29" s="1"/>
  <c r="Y44" i="32" s="1"/>
  <c r="P118" i="29"/>
  <c r="AR118" i="29" s="1"/>
  <c r="Y53" i="32" s="1"/>
  <c r="P120" i="29"/>
  <c r="AR120" i="29" s="1"/>
  <c r="Y43" i="32" s="1"/>
  <c r="AB52" i="29"/>
  <c r="AU52" i="29" s="1"/>
  <c r="AB15" i="32" s="1"/>
  <c r="AB117" i="29"/>
  <c r="AU117" i="29" s="1"/>
  <c r="AB52" i="32" s="1"/>
  <c r="AB116" i="29"/>
  <c r="AU116" i="29" s="1"/>
  <c r="AB51" i="32" s="1"/>
  <c r="AB118" i="29"/>
  <c r="AU118" i="29" s="1"/>
  <c r="AB53" i="32" s="1"/>
  <c r="AD128" i="29"/>
  <c r="AB113" i="29"/>
  <c r="AU113" i="29" s="1"/>
  <c r="J122" i="29"/>
  <c r="AQ122" i="29" s="1"/>
  <c r="X45" i="32" s="1"/>
  <c r="AQ107" i="29"/>
  <c r="U111" i="29"/>
  <c r="AS111" i="29" s="1"/>
  <c r="J126" i="29"/>
  <c r="AQ126" i="29" s="1"/>
  <c r="BG107" i="29"/>
  <c r="AR107" i="29"/>
  <c r="J52" i="29"/>
  <c r="AQ52" i="29" s="1"/>
  <c r="X15" i="32" s="1"/>
  <c r="AU107" i="29"/>
  <c r="Y127" i="29"/>
  <c r="AT127" i="29" s="1"/>
  <c r="Y117" i="29"/>
  <c r="AT117" i="29" s="1"/>
  <c r="AA52" i="32" s="1"/>
  <c r="Y111" i="29"/>
  <c r="AT111" i="29" s="1"/>
  <c r="Y116" i="29"/>
  <c r="AT116" i="29" s="1"/>
  <c r="AA51" i="32" s="1"/>
  <c r="Y113" i="29"/>
  <c r="AT113" i="29" s="1"/>
  <c r="Y132" i="29"/>
  <c r="AT132" i="29" s="1"/>
  <c r="AT107" i="29"/>
  <c r="P131" i="29"/>
  <c r="AR131" i="29" s="1"/>
  <c r="Y49" i="32" s="1"/>
  <c r="P110" i="29"/>
  <c r="P113" i="29"/>
  <c r="AR113" i="29" s="1"/>
  <c r="U127" i="29"/>
  <c r="AS127" i="29" s="1"/>
  <c r="U109" i="29"/>
  <c r="AS109" i="29" s="1"/>
  <c r="U126" i="29"/>
  <c r="E64" i="29"/>
  <c r="E120" i="29" s="1"/>
  <c r="AP120" i="29" s="1"/>
  <c r="W43" i="32" s="1"/>
  <c r="AP63" i="29"/>
  <c r="Y129" i="29"/>
  <c r="AT129" i="29" s="1"/>
  <c r="U121" i="29"/>
  <c r="AS121" i="29" s="1"/>
  <c r="Z44" i="32" s="1"/>
  <c r="Y121" i="29"/>
  <c r="AT121" i="29" s="1"/>
  <c r="AA44" i="32" s="1"/>
  <c r="U118" i="29"/>
  <c r="AS118" i="29" s="1"/>
  <c r="Z53" i="32" s="1"/>
  <c r="U116" i="29"/>
  <c r="AS116" i="29" s="1"/>
  <c r="Z51" i="32" s="1"/>
  <c r="Y120" i="29"/>
  <c r="Y122" i="29"/>
  <c r="AT122" i="29" s="1"/>
  <c r="AA45" i="32" s="1"/>
  <c r="U122" i="29"/>
  <c r="AS122" i="29" s="1"/>
  <c r="Z45" i="32" s="1"/>
  <c r="U117" i="29"/>
  <c r="AS117" i="29" s="1"/>
  <c r="Z52" i="32" s="1"/>
  <c r="J132" i="29"/>
  <c r="AQ132" i="29" s="1"/>
  <c r="Y110" i="29"/>
  <c r="AT110" i="29" s="1"/>
  <c r="J131" i="29"/>
  <c r="AQ131" i="29" s="1"/>
  <c r="X49" i="32" s="1"/>
  <c r="P116" i="29"/>
  <c r="AR116" i="29" s="1"/>
  <c r="Y51" i="32" s="1"/>
  <c r="AR64" i="29"/>
  <c r="Y55" i="32" s="1"/>
  <c r="J121" i="29"/>
  <c r="AQ121" i="29" s="1"/>
  <c r="X44" i="32" s="1"/>
  <c r="Y52" i="29"/>
  <c r="AT52" i="29" s="1"/>
  <c r="AA15" i="32" s="1"/>
  <c r="Y51" i="29"/>
  <c r="AT51" i="29" s="1"/>
  <c r="AA14" i="32" s="1"/>
  <c r="U120" i="29"/>
  <c r="J51" i="29"/>
  <c r="AQ51" i="29" s="1"/>
  <c r="X14" i="32" s="1"/>
  <c r="U113" i="29"/>
  <c r="AS113" i="29" s="1"/>
  <c r="J110" i="29"/>
  <c r="AQ110" i="29" s="1"/>
  <c r="U131" i="29"/>
  <c r="AS131" i="29" s="1"/>
  <c r="Z49" i="32" s="1"/>
  <c r="U52" i="29"/>
  <c r="AS52" i="29" s="1"/>
  <c r="Z15" i="32" s="1"/>
  <c r="U132" i="29"/>
  <c r="AS132" i="29" s="1"/>
  <c r="Y126" i="29"/>
  <c r="J129" i="29"/>
  <c r="AQ129" i="29" s="1"/>
  <c r="U110" i="29"/>
  <c r="U51" i="29"/>
  <c r="AS51" i="29" s="1"/>
  <c r="Z14" i="32" s="1"/>
  <c r="J109" i="29"/>
  <c r="AQ109" i="29" s="1"/>
  <c r="J118" i="29"/>
  <c r="AQ118" i="29" s="1"/>
  <c r="X53" i="32" s="1"/>
  <c r="J116" i="29"/>
  <c r="AQ116" i="29" s="1"/>
  <c r="X51" i="32" s="1"/>
  <c r="J123" i="29"/>
  <c r="AQ123" i="29" s="1"/>
  <c r="X46" i="32" s="1"/>
  <c r="Y123" i="29"/>
  <c r="AT123" i="29" s="1"/>
  <c r="AA46" i="32" s="1"/>
  <c r="J127" i="29"/>
  <c r="J117" i="29"/>
  <c r="AQ117" i="29" s="1"/>
  <c r="X52" i="32" s="1"/>
  <c r="U123" i="29"/>
  <c r="AS123" i="29" s="1"/>
  <c r="Z46" i="32" s="1"/>
  <c r="Y131" i="29"/>
  <c r="AT131" i="29" s="1"/>
  <c r="AA49" i="32" s="1"/>
  <c r="Y118" i="29"/>
  <c r="AT118" i="29" s="1"/>
  <c r="AA53" i="32" s="1"/>
  <c r="P51" i="29"/>
  <c r="AR51" i="29" s="1"/>
  <c r="Y14" i="32" s="1"/>
  <c r="Y109" i="29"/>
  <c r="AT109" i="29" s="1"/>
  <c r="R128" i="29"/>
  <c r="AR123" i="29"/>
  <c r="Y46" i="32" s="1"/>
  <c r="AD112" i="29"/>
  <c r="AD115" i="29" s="1"/>
  <c r="H128" i="29"/>
  <c r="AI128" i="29"/>
  <c r="F128" i="29"/>
  <c r="L128" i="29"/>
  <c r="G128" i="29"/>
  <c r="Q128" i="29"/>
  <c r="V124" i="29"/>
  <c r="AA128" i="29"/>
  <c r="AC128" i="29"/>
  <c r="G124" i="29"/>
  <c r="AG112" i="29"/>
  <c r="AG114" i="29" s="1"/>
  <c r="X128" i="29"/>
  <c r="W128" i="29"/>
  <c r="F124" i="29"/>
  <c r="O128" i="29"/>
  <c r="I128" i="29"/>
  <c r="M124" i="29"/>
  <c r="AF128" i="29"/>
  <c r="N112" i="29"/>
  <c r="N115" i="29" s="1"/>
  <c r="T124" i="29"/>
  <c r="F112" i="29"/>
  <c r="F115" i="29" s="1"/>
  <c r="AI124" i="29"/>
  <c r="S124" i="29"/>
  <c r="I124" i="29"/>
  <c r="AA124" i="29"/>
  <c r="AA112" i="29"/>
  <c r="AA114" i="29" s="1"/>
  <c r="AI112" i="29"/>
  <c r="AI114" i="29" s="1"/>
  <c r="AG128" i="29"/>
  <c r="X124" i="29"/>
  <c r="M128" i="29"/>
  <c r="N124" i="29"/>
  <c r="W124" i="29"/>
  <c r="M112" i="29"/>
  <c r="M114" i="29" s="1"/>
  <c r="G112" i="29"/>
  <c r="G115" i="29" s="1"/>
  <c r="R112" i="29"/>
  <c r="R115" i="29" s="1"/>
  <c r="AH128" i="29"/>
  <c r="AN112" i="29"/>
  <c r="AE128" i="29"/>
  <c r="L124" i="29"/>
  <c r="K124" i="29"/>
  <c r="AD124" i="29"/>
  <c r="T112" i="29"/>
  <c r="T115" i="29" s="1"/>
  <c r="V112" i="29"/>
  <c r="V115" i="29" s="1"/>
  <c r="R124" i="29"/>
  <c r="AM112" i="29"/>
  <c r="K128" i="29"/>
  <c r="T128" i="29"/>
  <c r="AK112" i="29"/>
  <c r="N128" i="29"/>
  <c r="AL112" i="29"/>
  <c r="Q124" i="29"/>
  <c r="AE124" i="29"/>
  <c r="AF124" i="29"/>
  <c r="H124" i="29"/>
  <c r="AG124" i="29"/>
  <c r="AF112" i="29"/>
  <c r="AF114" i="29" s="1"/>
  <c r="AC124" i="29"/>
  <c r="AH112" i="29"/>
  <c r="AH114" i="29" s="1"/>
  <c r="O124" i="29"/>
  <c r="X112" i="29"/>
  <c r="X115" i="29" s="1"/>
  <c r="I112" i="29"/>
  <c r="I115" i="29" s="1"/>
  <c r="AH124" i="29"/>
  <c r="H112" i="29"/>
  <c r="H114" i="29" s="1"/>
  <c r="L112" i="29"/>
  <c r="L114" i="29" s="1"/>
  <c r="S112" i="29"/>
  <c r="S115" i="29" s="1"/>
  <c r="O112" i="29"/>
  <c r="O114" i="29" s="1"/>
  <c r="W112" i="29"/>
  <c r="W115" i="29" s="1"/>
  <c r="E107" i="29"/>
  <c r="AC112" i="29"/>
  <c r="AC114" i="29" s="1"/>
  <c r="K112" i="29"/>
  <c r="K115" i="29" s="1"/>
  <c r="Q112" i="29"/>
  <c r="Q115" i="29" s="1"/>
  <c r="AE112" i="29"/>
  <c r="AE115" i="29" s="1"/>
  <c r="Z112" i="29"/>
  <c r="Z114" i="29" s="1"/>
  <c r="Z128" i="29"/>
  <c r="Z124" i="29"/>
  <c r="DN3" i="1"/>
  <c r="P128" i="29" l="1"/>
  <c r="AR128" i="29" s="1"/>
  <c r="Y48" i="32" s="1"/>
  <c r="AR126" i="29"/>
  <c r="AB124" i="29"/>
  <c r="AU124" i="29" s="1"/>
  <c r="Y128" i="29"/>
  <c r="AT128" i="29" s="1"/>
  <c r="AA48" i="32" s="1"/>
  <c r="AB128" i="29"/>
  <c r="AU128" i="29" s="1"/>
  <c r="AB48" i="32" s="1"/>
  <c r="AB112" i="29"/>
  <c r="AB115" i="29" s="1"/>
  <c r="AU111" i="29"/>
  <c r="AP107" i="29"/>
  <c r="P112" i="29"/>
  <c r="P114" i="29" s="1"/>
  <c r="AU126" i="29"/>
  <c r="P124" i="29"/>
  <c r="AR124" i="29" s="1"/>
  <c r="U128" i="29"/>
  <c r="AS128" i="29" s="1"/>
  <c r="Z48" i="32" s="1"/>
  <c r="E131" i="29"/>
  <c r="AP131" i="29" s="1"/>
  <c r="W49" i="32" s="1"/>
  <c r="J128" i="29"/>
  <c r="AQ128" i="29" s="1"/>
  <c r="X48" i="32" s="1"/>
  <c r="U112" i="29"/>
  <c r="U115" i="29" s="1"/>
  <c r="AS115" i="29" s="1"/>
  <c r="AP64" i="29"/>
  <c r="W55" i="32" s="1"/>
  <c r="E51" i="29"/>
  <c r="AP51" i="29" s="1"/>
  <c r="W14" i="32" s="1"/>
  <c r="U124" i="29"/>
  <c r="AS124" i="29" s="1"/>
  <c r="AS120" i="29"/>
  <c r="Z43" i="32" s="1"/>
  <c r="Z47" i="32" s="1"/>
  <c r="E110" i="29"/>
  <c r="AP110" i="29" s="1"/>
  <c r="E129" i="29"/>
  <c r="AP129" i="29" s="1"/>
  <c r="AR110" i="29"/>
  <c r="E113" i="29"/>
  <c r="AP113" i="29" s="1"/>
  <c r="E111" i="29"/>
  <c r="AP111" i="29" s="1"/>
  <c r="AS126" i="29"/>
  <c r="E117" i="29"/>
  <c r="AP117" i="29" s="1"/>
  <c r="W52" i="32" s="1"/>
  <c r="E121" i="29"/>
  <c r="AP121" i="29" s="1"/>
  <c r="W44" i="32" s="1"/>
  <c r="J112" i="29"/>
  <c r="J115" i="29" s="1"/>
  <c r="E122" i="29"/>
  <c r="AP122" i="29" s="1"/>
  <c r="W45" i="32" s="1"/>
  <c r="E109" i="29"/>
  <c r="AP109" i="29" s="1"/>
  <c r="E118" i="29"/>
  <c r="AP118" i="29" s="1"/>
  <c r="W53" i="32" s="1"/>
  <c r="E127" i="29"/>
  <c r="AP127" i="29" s="1"/>
  <c r="AT126" i="29"/>
  <c r="Y112" i="29"/>
  <c r="Y115" i="29" s="1"/>
  <c r="Y124" i="29"/>
  <c r="AT124" i="29" s="1"/>
  <c r="E52" i="29"/>
  <c r="AP52" i="29" s="1"/>
  <c r="W15" i="32" s="1"/>
  <c r="E116" i="29"/>
  <c r="AP116" i="29" s="1"/>
  <c r="W51" i="32" s="1"/>
  <c r="E123" i="29"/>
  <c r="AP123" i="29" s="1"/>
  <c r="W46" i="32" s="1"/>
  <c r="AQ127" i="29"/>
  <c r="AB47" i="32"/>
  <c r="AT120" i="29"/>
  <c r="AA43" i="32" s="1"/>
  <c r="AA47" i="32" s="1"/>
  <c r="AS110" i="29"/>
  <c r="X47" i="32"/>
  <c r="Y47" i="32"/>
  <c r="J124" i="29"/>
  <c r="AQ124" i="29" s="1"/>
  <c r="E126" i="29"/>
  <c r="AP126" i="29" s="1"/>
  <c r="E132" i="29"/>
  <c r="AP132" i="29" s="1"/>
  <c r="AG115" i="29"/>
  <c r="AA115" i="29"/>
  <c r="AD114" i="29"/>
  <c r="F114" i="29"/>
  <c r="N114" i="29"/>
  <c r="V114" i="29"/>
  <c r="AF115" i="29"/>
  <c r="AI115" i="29"/>
  <c r="M115" i="29"/>
  <c r="S114" i="29"/>
  <c r="AH115" i="29"/>
  <c r="G114" i="29"/>
  <c r="O115" i="29"/>
  <c r="X114" i="29"/>
  <c r="R114" i="29"/>
  <c r="L115" i="29"/>
  <c r="T114" i="29"/>
  <c r="H115" i="29"/>
  <c r="I114" i="29"/>
  <c r="Q114" i="29"/>
  <c r="AC115" i="29"/>
  <c r="K114" i="29"/>
  <c r="W114" i="29"/>
  <c r="AE114" i="29"/>
  <c r="Z115" i="29"/>
  <c r="K14" i="11"/>
  <c r="J114" i="29" l="1"/>
  <c r="AB114" i="29"/>
  <c r="AU112" i="29"/>
  <c r="AR112" i="29"/>
  <c r="P115" i="29"/>
  <c r="AR115" i="29" s="1"/>
  <c r="W47" i="32"/>
  <c r="Y114" i="29"/>
  <c r="AS112" i="29"/>
  <c r="U114" i="29"/>
  <c r="AQ112" i="29"/>
  <c r="E112" i="29"/>
  <c r="E114" i="29" s="1"/>
  <c r="AT112" i="29"/>
  <c r="E124" i="29"/>
  <c r="AP124" i="29" s="1"/>
  <c r="E128" i="29"/>
  <c r="AP128" i="29" s="1"/>
  <c r="W48" i="32" s="1"/>
  <c r="AU115" i="29"/>
  <c r="AQ115" i="29"/>
  <c r="AT115" i="29"/>
  <c r="E115" i="29" l="1"/>
  <c r="AP115" i="29" s="1"/>
  <c r="AP112"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tc={C70E4516-F4A2-4334-8E9E-EF74D14A1F0D}</author>
    <author>tc={5BE28FEB-9129-4094-BF63-BA5E495A482A}</author>
    <author>tc={B655F76B-B2F5-475D-8B4E-77C76CB866DC}</author>
  </authors>
  <commentList>
    <comment ref="N54" authorId="0" shapeId="0" xr:uid="{C70E4516-F4A2-4334-8E9E-EF74D14A1F0D}">
      <text>
        <t>[Threaded comment]
Your version of Excel allows you to read this threaded comment; however, any edits to it will get removed if the file is opened in a newer version of Excel. Learn more: https://go.microsoft.com/fwlink/?linkid=870924
Comment:
    Under no reaction conditions</t>
      </text>
    </comment>
    <comment ref="V54" authorId="1" shapeId="0" xr:uid="{5BE28FEB-9129-4094-BF63-BA5E495A482A}">
      <text>
        <t>[Threaded comment]
Your version of Excel allows you to read this threaded comment; however, any edits to it will get removed if the file is opened in a newer version of Excel. Learn more: https://go.microsoft.com/fwlink/?linkid=870924
Comment:
    Under no reaction condition</t>
      </text>
    </comment>
    <comment ref="AC54" authorId="2" shapeId="0" xr:uid="{B655F76B-B2F5-475D-8B4E-77C76CB866DC}">
      <text>
        <t>[Threaded comment]
Your version of Excel allows you to read this threaded comment; however, any edits to it will get removed if the file is opened in a newer version of Excel. Learn more: https://go.microsoft.com/fwlink/?linkid=870924
Comment:
    Under no reaction condition</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<sst xmlns="http://schemas.openxmlformats.org/spreadsheetml/2006/main" count="2479" uniqueCount="551">
  <si>
    <t>H2/Naphtha (mol. Basis)</t>
  </si>
  <si>
    <t>Naphtha (M. Wt.)</t>
  </si>
  <si>
    <t>N2 flow, SLPH</t>
  </si>
  <si>
    <t>Naphtha flow rate, g/hr</t>
  </si>
  <si>
    <t>H2 flow, g/hr</t>
  </si>
  <si>
    <t>H2 flow, SLPH</t>
  </si>
  <si>
    <t>moles/hr</t>
  </si>
  <si>
    <t>%</t>
  </si>
  <si>
    <t>Naphtha flow rate</t>
  </si>
  <si>
    <t>H2 flow</t>
  </si>
  <si>
    <t>N2 flow</t>
  </si>
  <si>
    <t>Total</t>
  </si>
  <si>
    <t>gms/hr</t>
  </si>
  <si>
    <t>Total Pressure, barg</t>
  </si>
  <si>
    <t>w/o N2</t>
  </si>
  <si>
    <t>H2 Partial Pressure, barg</t>
  </si>
  <si>
    <t>with N2</t>
  </si>
  <si>
    <t>Catalyst</t>
  </si>
  <si>
    <t>Athos 3 Cy1.6</t>
  </si>
  <si>
    <t>g</t>
  </si>
  <si>
    <t>Feed</t>
  </si>
  <si>
    <t>%w n-hexane</t>
  </si>
  <si>
    <t>%w n-heptane</t>
  </si>
  <si>
    <t>%w n-octane</t>
  </si>
  <si>
    <t>g/ml</t>
  </si>
  <si>
    <t>assumed MW</t>
  </si>
  <si>
    <t>indicative results (08/01/2026)</t>
  </si>
  <si>
    <t>Pressure</t>
  </si>
  <si>
    <t>T</t>
  </si>
  <si>
    <t xml:space="preserve">feed flow </t>
  </si>
  <si>
    <t>H2/HC</t>
  </si>
  <si>
    <t>WHSV</t>
  </si>
  <si>
    <t>hexaan conversie</t>
  </si>
  <si>
    <t>hexaan crack</t>
  </si>
  <si>
    <t>heptaan crack</t>
  </si>
  <si>
    <t>octaan crack</t>
  </si>
  <si>
    <t>isothermal</t>
  </si>
  <si>
    <t>ml/min</t>
  </si>
  <si>
    <t>Nl/h</t>
  </si>
  <si>
    <t>mol/mol</t>
  </si>
  <si>
    <t>#RN1</t>
  </si>
  <si>
    <t>#RN2</t>
  </si>
  <si>
    <t>#RN3</t>
  </si>
  <si>
    <t>#RN4</t>
  </si>
  <si>
    <t>#RN5</t>
  </si>
  <si>
    <t>#RN6</t>
  </si>
  <si>
    <t>#RN7</t>
  </si>
  <si>
    <t>#RN8</t>
  </si>
  <si>
    <t>#RN9</t>
  </si>
  <si>
    <t>#RN10</t>
  </si>
  <si>
    <t>#RN11</t>
  </si>
  <si>
    <t>#RN12</t>
  </si>
  <si>
    <t>#RN13</t>
  </si>
  <si>
    <t>#RN14</t>
  </si>
  <si>
    <t>#RN15</t>
  </si>
  <si>
    <t>#RN16</t>
  </si>
  <si>
    <t>#RN17</t>
  </si>
  <si>
    <t>#RN18</t>
  </si>
  <si>
    <t>#RN19</t>
  </si>
  <si>
    <t>In ETCA, a total of 19 conditions were evaluated using the synthetic feed and catalyst system. For the chemical validation run in the ILS unit at STC B, it was agreed with stakeholders that the first five of these conditions (highlighted in grey) would be replicated at STCB. These will be executed in the order of increasing temperature from 190°C to 230°C, with 10°C increments, rather than following the sequence used in ETCA. In addition, a low pressure condition at 15 bar (ETCA condition RN 14) is also included.
This low pressure condition is particularly important because ETCA results show a significant increase in conversion when operating pressure is reduced. Including this condition in the validation plan will allow us to determine whether the ILS unit exhibits a similar change in performance under the same pressure shift.
In ETCA, each condition was held for approximately 6 hours, during which about four GC data points were collected. The stable points were then selected and averaged to generate the reported data.
In the case of the ILS unit, achieving stabilization within 6 hours is unlikely due to system dynamics. Therefore, it was agreed that each condition will instead be run for approximately 24–30 hours to ensure stable data before moving on to the next condition</t>
  </si>
  <si>
    <t>ETCA</t>
  </si>
  <si>
    <t>Temperature</t>
  </si>
  <si>
    <t>1/T</t>
  </si>
  <si>
    <t>Rate Constant</t>
  </si>
  <si>
    <t>degC</t>
  </si>
  <si>
    <t>K</t>
  </si>
  <si>
    <t>K-1</t>
  </si>
  <si>
    <t>1st order</t>
  </si>
  <si>
    <t>E/R</t>
  </si>
  <si>
    <t>R2</t>
  </si>
  <si>
    <t>Activation Energy</t>
  </si>
  <si>
    <t>14  KJ/mol</t>
  </si>
  <si>
    <t>72 KJ/mol</t>
  </si>
  <si>
    <t>STCB</t>
  </si>
  <si>
    <t>Conversion</t>
  </si>
  <si>
    <t>Steps</t>
  </si>
  <si>
    <t>Start Temperature</t>
  </si>
  <si>
    <t>Target Temperature</t>
  </si>
  <si>
    <t>Ramp Rate, oC/hr</t>
  </si>
  <si>
    <t>Holding, hrs</t>
  </si>
  <si>
    <t>N2 flow, NLPH</t>
  </si>
  <si>
    <t>H2 flow, NLPH</t>
  </si>
  <si>
    <t>Pressure, barg</t>
  </si>
  <si>
    <t>Remarks</t>
  </si>
  <si>
    <t xml:space="preserve"> Step</t>
  </si>
  <si>
    <t>Time, hrs</t>
  </si>
  <si>
    <t>Cumulative Time, hrs</t>
  </si>
  <si>
    <t>Temperature, oC</t>
  </si>
  <si>
    <t>N2/H2, barg</t>
  </si>
  <si>
    <t>Switch to H2 gas and increase Pressure to 25 barg</t>
  </si>
  <si>
    <t>Adjust H2 flow and introduce liquid feed as per condition 1</t>
  </si>
  <si>
    <t>Zones</t>
  </si>
  <si>
    <t>Reactor</t>
  </si>
  <si>
    <t>Reactor ID</t>
  </si>
  <si>
    <t>mm</t>
  </si>
  <si>
    <t>Empty space</t>
  </si>
  <si>
    <t>Isothermal zone height</t>
  </si>
  <si>
    <t>Preheating Zone, mm</t>
  </si>
  <si>
    <t>Isothermal zone volume</t>
  </si>
  <si>
    <t>ml</t>
  </si>
  <si>
    <t>Catalyst Bed Zone, mm</t>
  </si>
  <si>
    <t>Preheating Zone
SiC, 0.8 mm</t>
  </si>
  <si>
    <t>Catalyst volume</t>
  </si>
  <si>
    <t>Post Heating Zone, mm</t>
  </si>
  <si>
    <t>ATHOS-3, CY 1.6 (1.9ml) + SiC 50 microns (1.9 ml)
equally divided into 10 portions</t>
  </si>
  <si>
    <t>Post Heating Zone
SiC, 0.8 mm</t>
  </si>
  <si>
    <t>Objective</t>
  </si>
  <si>
    <t>Chemically validate the ILS‑8 reactor unit for the isomerization application using ETCA‑equivalent feed, catalyst, and operating conditions and also evaluate tube to tube repeatability across the identified reactors.</t>
  </si>
  <si>
    <t>Catalyst Loading Plan</t>
  </si>
  <si>
    <t>Units</t>
  </si>
  <si>
    <t>Block 1</t>
  </si>
  <si>
    <t>Block 2</t>
  </si>
  <si>
    <t>--</t>
  </si>
  <si>
    <t>ATHOS-3</t>
  </si>
  <si>
    <t>X</t>
  </si>
  <si>
    <t>SiC-INERT</t>
  </si>
  <si>
    <t>Shape &amp; Size</t>
  </si>
  <si>
    <t>CY 1.6</t>
  </si>
  <si>
    <t>0.8 mm</t>
  </si>
  <si>
    <t>Catalyst CBD (as-is)</t>
  </si>
  <si>
    <t>Catalyst amount</t>
  </si>
  <si>
    <t>gms</t>
  </si>
  <si>
    <t>Op.Conditions</t>
  </si>
  <si>
    <t>barg</t>
  </si>
  <si>
    <r>
      <rPr>
        <vertAlign val="superscript"/>
        <sz val="11"/>
        <color theme="1"/>
        <rFont val="Aptos"/>
        <family val="2"/>
      </rPr>
      <t>o</t>
    </r>
    <r>
      <rPr>
        <sz val="11"/>
        <color theme="1"/>
        <rFont val="Aptos"/>
        <family val="2"/>
      </rPr>
      <t>C</t>
    </r>
  </si>
  <si>
    <t>h-1</t>
  </si>
  <si>
    <t>H2/Naphtha</t>
  </si>
  <si>
    <t>mol.basis</t>
  </si>
  <si>
    <t>Duration</t>
  </si>
  <si>
    <t>hrs</t>
  </si>
  <si>
    <t>24 to 36</t>
  </si>
  <si>
    <t>Feed  molecular weight</t>
  </si>
  <si>
    <t>from offline DHA</t>
  </si>
  <si>
    <t>Constant for R1, R2, R5 and R6 across all six conditions</t>
  </si>
  <si>
    <t>Temperature for R1, R2, R5, and R6 remain constant within each condition; when the condition changes, all reactor temperatures are to be adjusted accordingly</t>
  </si>
  <si>
    <t>Naphtha flow</t>
  </si>
  <si>
    <t>N2 dilution flow</t>
  </si>
  <si>
    <t>NLPH</t>
  </si>
  <si>
    <t>Note</t>
  </si>
  <si>
    <t xml:space="preserve"> Identical conditions for all reactors loaded with catalyst</t>
  </si>
  <si>
    <t>A reactor loaded with inert material will operate under the same conditions as a catalyst‑loaded reactor, except that no naphtha feed is introduced.</t>
  </si>
  <si>
    <t>H2 flow rate</t>
  </si>
  <si>
    <t>Synthetic Feed Blend Composition (ETCA)</t>
  </si>
  <si>
    <t>APR 06, 2026 - 04:53:53</t>
  </si>
  <si>
    <t>Target Blend Feed, gms</t>
  </si>
  <si>
    <t>B00009774001</t>
  </si>
  <si>
    <t>also check for "S" and "N" and " moisture content analysis"</t>
  </si>
  <si>
    <t>Synthetic Feed b lend (STCB), offline</t>
  </si>
  <si>
    <t>Synthetic Feed blend (STCB), online from R5</t>
  </si>
  <si>
    <t>SAMPLE_ID</t>
  </si>
  <si>
    <t>Alkane mix feed</t>
  </si>
  <si>
    <t>COMPONENT</t>
  </si>
  <si>
    <t>%WGT</t>
  </si>
  <si>
    <t>CARBON#</t>
  </si>
  <si>
    <t>Paraffin</t>
  </si>
  <si>
    <t>I-Paraffins</t>
  </si>
  <si>
    <t>Aromatics</t>
  </si>
  <si>
    <t>Naphthenes</t>
  </si>
  <si>
    <t>Olefins</t>
  </si>
  <si>
    <t>Oxygenates</t>
  </si>
  <si>
    <t>Plus</t>
  </si>
  <si>
    <t>TOTAL</t>
  </si>
  <si>
    <t>S.No.</t>
  </si>
  <si>
    <t>Solvents</t>
  </si>
  <si>
    <t>Purity, wt%</t>
  </si>
  <si>
    <t>Blend Composition, wt%</t>
  </si>
  <si>
    <t>Blend Quantity, gms</t>
  </si>
  <si>
    <t>Blend Composition (Estimated), wt%</t>
  </si>
  <si>
    <t>Blend Composition (ETCA), wt%</t>
  </si>
  <si>
    <t>2-Methylpentane</t>
  </si>
  <si>
    <t>n-hexane</t>
  </si>
  <si>
    <t>3-Methylpentane</t>
  </si>
  <si>
    <t>n-heptane</t>
  </si>
  <si>
    <t>SUMMARY_BY_CARBON_TABULAR(%WGT)</t>
  </si>
  <si>
    <t>n-Hexane</t>
  </si>
  <si>
    <t>n-Octane</t>
  </si>
  <si>
    <t>2,2-Dimethylpentane</t>
  </si>
  <si>
    <t>n-Heptane</t>
  </si>
  <si>
    <t>1c,2c,3-Trimethylcyclopentane</t>
  </si>
  <si>
    <t/>
  </si>
  <si>
    <t>Synthetic Feed Blend Composition, wt%</t>
  </si>
  <si>
    <t>Molecules</t>
  </si>
  <si>
    <t>Offline</t>
  </si>
  <si>
    <t>Online</t>
  </si>
  <si>
    <t>Big Batch (off line analysis)</t>
  </si>
  <si>
    <t>2-Methylpentane (C6)</t>
  </si>
  <si>
    <t>3-Methylpentane (C6)</t>
  </si>
  <si>
    <t>Methyl cyclopentane (C6)</t>
  </si>
  <si>
    <t>n-hexane (C6)</t>
  </si>
  <si>
    <t>2,2-Dimethylpentane (C7)</t>
  </si>
  <si>
    <t>1c,2-Dimethylcyclopentane (C7)</t>
  </si>
  <si>
    <t>n-heptane (C7)</t>
  </si>
  <si>
    <t>UNKNOWNS</t>
  </si>
  <si>
    <t>GRAND_TOTAL</t>
  </si>
  <si>
    <t>1c,2c,3-Trimethylcyclopentane (C7)</t>
  </si>
  <si>
    <t>n-octane (C8)</t>
  </si>
  <si>
    <t>APR 05, 2026 - 19:50:50</t>
  </si>
  <si>
    <t>Moisture content, ppmw</t>
  </si>
  <si>
    <t>&lt;100</t>
  </si>
  <si>
    <t>actual value is below 30 ppm</t>
  </si>
  <si>
    <t>Total Sulfur, ppmw</t>
  </si>
  <si>
    <t>&lt;2.5</t>
  </si>
  <si>
    <t>Total Nitrogen, ppmw</t>
  </si>
  <si>
    <t>RON (Estimated)</t>
  </si>
  <si>
    <t>N2 Dilution FIC calibration</t>
  </si>
  <si>
    <t>Set Point Value(mln/hr)</t>
  </si>
  <si>
    <t>Defender Value(ml/min)</t>
  </si>
  <si>
    <t>Average, ml/min</t>
  </si>
  <si>
    <t>Average, ml/hr</t>
  </si>
  <si>
    <t>Reactor Block 1</t>
  </si>
  <si>
    <t>Average</t>
  </si>
  <si>
    <t>10i1FIC04</t>
  </si>
  <si>
    <t>10i1FIC03</t>
  </si>
  <si>
    <t>10i1FIC02</t>
  </si>
  <si>
    <t>10i1FIC01</t>
  </si>
  <si>
    <t>Reactor Block 2</t>
  </si>
  <si>
    <t>10i2FIC04</t>
  </si>
  <si>
    <t>10i2FIC03</t>
  </si>
  <si>
    <t>10i2FIC02</t>
  </si>
  <si>
    <t>10i2FIC01</t>
  </si>
  <si>
    <t>N2</t>
  </si>
  <si>
    <t>H2</t>
  </si>
  <si>
    <t>ter #</t>
  </si>
  <si>
    <t>Batch #</t>
  </si>
  <si>
    <t>Conc (Vol%)</t>
  </si>
  <si>
    <t>Area</t>
  </si>
  <si>
    <t>RF</t>
  </si>
  <si>
    <t>CAN-01</t>
  </si>
  <si>
    <t>CFC2512006/30033552</t>
  </si>
  <si>
    <t>CSL/16-17/SB3-207</t>
  </si>
  <si>
    <t>CFC2512004/30035552</t>
  </si>
  <si>
    <t>CSL/17-18/SB3/043</t>
  </si>
  <si>
    <t>CFC2512005/30033552</t>
  </si>
  <si>
    <t>CSL/19-20/SB3/HP05</t>
  </si>
  <si>
    <t>CFC2512008/300333552</t>
  </si>
  <si>
    <t>Inter/Extra polation</t>
  </si>
  <si>
    <t>Determined from Co-Pilot</t>
  </si>
  <si>
    <t>H2 (RF)</t>
  </si>
  <si>
    <t>N2 (RF)</t>
  </si>
  <si>
    <t>Synthetic Feed DHA (Online) - Under no reaction conditions</t>
  </si>
  <si>
    <t>Date</t>
  </si>
  <si>
    <t>TOS_h</t>
  </si>
  <si>
    <t>Time</t>
  </si>
  <si>
    <r>
      <t>10i1TIC02,</t>
    </r>
    <r>
      <rPr>
        <vertAlign val="superscript"/>
        <sz val="11"/>
        <color theme="1"/>
        <rFont val="Aptos"/>
        <family val="2"/>
      </rPr>
      <t xml:space="preserve"> o</t>
    </r>
    <r>
      <rPr>
        <sz val="11"/>
        <color theme="1"/>
        <rFont val="Aptos"/>
        <family val="2"/>
      </rPr>
      <t>C</t>
    </r>
  </si>
  <si>
    <r>
      <t xml:space="preserve">10i2TIC02, </t>
    </r>
    <r>
      <rPr>
        <vertAlign val="superscript"/>
        <sz val="11"/>
        <color theme="1"/>
        <rFont val="Aptos"/>
        <family val="2"/>
      </rPr>
      <t>o</t>
    </r>
    <r>
      <rPr>
        <sz val="11"/>
        <color theme="1"/>
        <rFont val="Aptos"/>
        <family val="2"/>
      </rPr>
      <t>C</t>
    </r>
  </si>
  <si>
    <t>10i1PIC01, barg</t>
  </si>
  <si>
    <t>10i2PIC01, barg</t>
  </si>
  <si>
    <t>H2 flow, Nml/hr</t>
  </si>
  <si>
    <t>Total H2 flow, gm/hr</t>
  </si>
  <si>
    <t>N2 Dilution Flow, Nml/hr</t>
  </si>
  <si>
    <t>Oven Temperature</t>
  </si>
  <si>
    <t>HC flow, gms/hr</t>
  </si>
  <si>
    <t>GC Composition, % vol</t>
  </si>
  <si>
    <t>Molecular. Wt</t>
  </si>
  <si>
    <t>Carbon, wt%</t>
  </si>
  <si>
    <t>Hydrogen, wt%</t>
  </si>
  <si>
    <t>RON</t>
  </si>
  <si>
    <t>Paraffins, wt%</t>
  </si>
  <si>
    <t>Iso Paraffins, wt%</t>
  </si>
  <si>
    <t>Aromatics, wt%</t>
  </si>
  <si>
    <t>Naphthenes, wt%</t>
  </si>
  <si>
    <t>Olefins, wt%</t>
  </si>
  <si>
    <t>Unknowns</t>
  </si>
  <si>
    <t>C3 &amp; Below</t>
  </si>
  <si>
    <t>Propane</t>
  </si>
  <si>
    <t>i-Butane</t>
  </si>
  <si>
    <t>n-Butane</t>
  </si>
  <si>
    <t>i-Pentane</t>
  </si>
  <si>
    <t>n-Pentane</t>
  </si>
  <si>
    <t>2,2-Dimethylbutane</t>
  </si>
  <si>
    <t>2,3-Dimethylbutane</t>
  </si>
  <si>
    <t>C6-C7 Unknowns</t>
  </si>
  <si>
    <t>Methylcyclopentane</t>
  </si>
  <si>
    <t>2-Methylhexane</t>
  </si>
  <si>
    <t>3-Methylhexane</t>
  </si>
  <si>
    <t>C7-C8 Unknowns</t>
  </si>
  <si>
    <t>C8 Plus</t>
  </si>
  <si>
    <t>01i14FIC01</t>
  </si>
  <si>
    <t>01i14FIC02</t>
  </si>
  <si>
    <t>01i14FIC03</t>
  </si>
  <si>
    <t>01i14FIC04</t>
  </si>
  <si>
    <t>01i14FIC05</t>
  </si>
  <si>
    <t>01i14FIC06</t>
  </si>
  <si>
    <t>01i14FIC07</t>
  </si>
  <si>
    <t>01i14FIC08</t>
  </si>
  <si>
    <t>01i14FI01</t>
  </si>
  <si>
    <t>10i2FIC05</t>
  </si>
  <si>
    <t>10i2FIC06</t>
  </si>
  <si>
    <t>10i2FIC07</t>
  </si>
  <si>
    <t>10i2FIC08</t>
  </si>
  <si>
    <r>
      <t xml:space="preserve">10i2TIC01, </t>
    </r>
    <r>
      <rPr>
        <vertAlign val="superscript"/>
        <sz val="11"/>
        <color theme="1"/>
        <rFont val="Aptos"/>
        <family val="2"/>
      </rPr>
      <t>o</t>
    </r>
    <r>
      <rPr>
        <sz val="11"/>
        <color theme="1"/>
        <rFont val="Aptos"/>
        <family val="2"/>
      </rPr>
      <t>C</t>
    </r>
  </si>
  <si>
    <t>02i2FIC01</t>
  </si>
  <si>
    <t>02i2FIC02</t>
  </si>
  <si>
    <t>02i2FIC03</t>
  </si>
  <si>
    <t>02i2FIC04</t>
  </si>
  <si>
    <t>02i2FIC05</t>
  </si>
  <si>
    <t>02i2FIC06</t>
  </si>
  <si>
    <t>02i2FIC07</t>
  </si>
  <si>
    <t>02i2FIC08</t>
  </si>
  <si>
    <t>C1</t>
  </si>
  <si>
    <t>C2</t>
  </si>
  <si>
    <t>C3</t>
  </si>
  <si>
    <t>C4</t>
  </si>
  <si>
    <t>C5</t>
  </si>
  <si>
    <t>C6</t>
  </si>
  <si>
    <t>C7</t>
  </si>
  <si>
    <t>C8</t>
  </si>
  <si>
    <t>C9</t>
  </si>
  <si>
    <t>C10</t>
  </si>
  <si>
    <t>C11</t>
  </si>
  <si>
    <t>C12</t>
  </si>
  <si>
    <t>C13</t>
  </si>
  <si>
    <t>C14</t>
  </si>
  <si>
    <t>C15</t>
  </si>
  <si>
    <t>wt%</t>
  </si>
  <si>
    <t>13:15:12</t>
  </si>
  <si>
    <t>15:19:22</t>
  </si>
  <si>
    <t>17:23:32</t>
  </si>
  <si>
    <t>19:27:42</t>
  </si>
  <si>
    <t>21:31:52</t>
  </si>
  <si>
    <t>23:36:02</t>
  </si>
  <si>
    <t>01:40:12</t>
  </si>
  <si>
    <t>03:44:23</t>
  </si>
  <si>
    <t>05:48:33</t>
  </si>
  <si>
    <t>07:52:45</t>
  </si>
  <si>
    <t>10:47:06</t>
  </si>
  <si>
    <t>12:51:17</t>
  </si>
  <si>
    <t>14:55:28</t>
  </si>
  <si>
    <t>16:59:39</t>
  </si>
  <si>
    <t>19:03:49</t>
  </si>
  <si>
    <t>21:08:00</t>
  </si>
  <si>
    <t>23:12:11</t>
  </si>
  <si>
    <t>01:16:23</t>
  </si>
  <si>
    <t>03:20:33</t>
  </si>
  <si>
    <t>05:24:44</t>
  </si>
  <si>
    <t>07:28:56</t>
  </si>
  <si>
    <t>09:33:04</t>
  </si>
  <si>
    <t>11:37:16</t>
  </si>
  <si>
    <t>13:41:27</t>
  </si>
  <si>
    <t>15:45:38</t>
  </si>
  <si>
    <t>17:49:50</t>
  </si>
  <si>
    <t>19:53:59</t>
  </si>
  <si>
    <t>21:58:10</t>
  </si>
  <si>
    <t>10:23:15</t>
  </si>
  <si>
    <t>12:27:26</t>
  </si>
  <si>
    <t>14:31:37</t>
  </si>
  <si>
    <t>16:35:48</t>
  </si>
  <si>
    <t>18:39:58</t>
  </si>
  <si>
    <t>20:44:08</t>
  </si>
  <si>
    <t>22:48:19</t>
  </si>
  <si>
    <t>00:52:29</t>
  </si>
  <si>
    <t>02:56:40</t>
  </si>
  <si>
    <t>05:00:50</t>
  </si>
  <si>
    <t>07:05:01</t>
  </si>
  <si>
    <t>09:09:12</t>
  </si>
  <si>
    <t>11:13:22</t>
  </si>
  <si>
    <t>13:17:33</t>
  </si>
  <si>
    <t>15:21:44</t>
  </si>
  <si>
    <t>17:25:55</t>
  </si>
  <si>
    <t>19:30:05</t>
  </si>
  <si>
    <t>21:34:15</t>
  </si>
  <si>
    <t>23:38:26</t>
  </si>
  <si>
    <t>01:42:37</t>
  </si>
  <si>
    <t>03:46:48</t>
  </si>
  <si>
    <t>05:50:59</t>
  </si>
  <si>
    <t>07:55:08</t>
  </si>
  <si>
    <t>09:59:20</t>
  </si>
  <si>
    <t>12:03:30</t>
  </si>
  <si>
    <t>14:07:40</t>
  </si>
  <si>
    <t>16:11:51</t>
  </si>
  <si>
    <t>18:16:03</t>
  </si>
  <si>
    <t>20:20:13</t>
  </si>
  <si>
    <t>22:24:23</t>
  </si>
  <si>
    <t>00:28:34</t>
  </si>
  <si>
    <t>02:32:46</t>
  </si>
  <si>
    <t>04:36:57</t>
  </si>
  <si>
    <t>06:41:07</t>
  </si>
  <si>
    <t>08:45:19</t>
  </si>
  <si>
    <t>10:49:30</t>
  </si>
  <si>
    <t>12:53:41</t>
  </si>
  <si>
    <t>14:57:52</t>
  </si>
  <si>
    <t>17:02:04</t>
  </si>
  <si>
    <t>19:06:14</t>
  </si>
  <si>
    <t>21:10:24</t>
  </si>
  <si>
    <t>23:14:34</t>
  </si>
  <si>
    <t>01:18:46</t>
  </si>
  <si>
    <t>03:22:57</t>
  </si>
  <si>
    <t>05:27:07</t>
  </si>
  <si>
    <t>07:31:18</t>
  </si>
  <si>
    <t>09:35:29</t>
  </si>
  <si>
    <t>11:39:40</t>
  </si>
  <si>
    <t>13:43:52</t>
  </si>
  <si>
    <t>15:48:02</t>
  </si>
  <si>
    <t>17:52:13</t>
  </si>
  <si>
    <t>19:56:24</t>
  </si>
  <si>
    <t>22:00:36</t>
  </si>
  <si>
    <t>00:04:46</t>
  </si>
  <si>
    <t>02:08:57</t>
  </si>
  <si>
    <t>04:13:08</t>
  </si>
  <si>
    <t>06:17:19</t>
  </si>
  <si>
    <t>08:21:29</t>
  </si>
  <si>
    <t>10:25:40</t>
  </si>
  <si>
    <t>12:29:51</t>
  </si>
  <si>
    <t>14:34:03</t>
  </si>
  <si>
    <t>22:50:45</t>
  </si>
  <si>
    <t>00:54:55</t>
  </si>
  <si>
    <t>02:59:06</t>
  </si>
  <si>
    <t>05:03:17</t>
  </si>
  <si>
    <t>07:07:28</t>
  </si>
  <si>
    <t>09:11:40</t>
  </si>
  <si>
    <t>11:15:51</t>
  </si>
  <si>
    <t>13:20:02</t>
  </si>
  <si>
    <t>15:24:13</t>
  </si>
  <si>
    <t>17:28:24</t>
  </si>
  <si>
    <t>19:32:35</t>
  </si>
  <si>
    <t>21:36:46</t>
  </si>
  <si>
    <t>23:40:56</t>
  </si>
  <si>
    <t>01:45:06</t>
  </si>
  <si>
    <t>03:49:16</t>
  </si>
  <si>
    <t>05:53:27</t>
  </si>
  <si>
    <t>07:57:38</t>
  </si>
  <si>
    <t>10:01:49</t>
  </si>
  <si>
    <t>12:06:00</t>
  </si>
  <si>
    <t>14:10:11</t>
  </si>
  <si>
    <t>16:14:22</t>
  </si>
  <si>
    <t>18:18:33</t>
  </si>
  <si>
    <t>20:22:43</t>
  </si>
  <si>
    <t>22:26:54</t>
  </si>
  <si>
    <t>00:31:04</t>
  </si>
  <si>
    <t>02:35:14</t>
  </si>
  <si>
    <t>04:39:25</t>
  </si>
  <si>
    <t>06:43:36</t>
  </si>
  <si>
    <t>08:47:47</t>
  </si>
  <si>
    <t>10:51:56</t>
  </si>
  <si>
    <t>21:12:50</t>
  </si>
  <si>
    <t>23:17:00</t>
  </si>
  <si>
    <t>01:21:10</t>
  </si>
  <si>
    <t>03:25:20</t>
  </si>
  <si>
    <t>05:29:31</t>
  </si>
  <si>
    <t>07:33:42</t>
  </si>
  <si>
    <t>09:37:54</t>
  </si>
  <si>
    <t>11:42:04</t>
  </si>
  <si>
    <t>13:46:14</t>
  </si>
  <si>
    <t>15:50:26</t>
  </si>
  <si>
    <t>17:54:36</t>
  </si>
  <si>
    <t>19:58:47</t>
  </si>
  <si>
    <t>22:02:57</t>
  </si>
  <si>
    <t>00:07:08</t>
  </si>
  <si>
    <t>02:11:18</t>
  </si>
  <si>
    <t>04:15:29</t>
  </si>
  <si>
    <t>06:19:40</t>
  </si>
  <si>
    <t>08:23:51</t>
  </si>
  <si>
    <t>10:28:02</t>
  </si>
  <si>
    <t>12:32:11</t>
  </si>
  <si>
    <t>14:36:22</t>
  </si>
  <si>
    <t>20:48:54</t>
  </si>
  <si>
    <t>Synthetic Feed</t>
  </si>
  <si>
    <t>Carbon</t>
  </si>
  <si>
    <t>Hydrogen</t>
  </si>
  <si>
    <t>Molecular Weight</t>
  </si>
  <si>
    <t>online DHA</t>
  </si>
  <si>
    <t>n-P</t>
  </si>
  <si>
    <t>i-P</t>
  </si>
  <si>
    <t>N</t>
  </si>
  <si>
    <t>Unidentified(&lt;C3)</t>
  </si>
  <si>
    <t>Unidentified(C6-C7)</t>
  </si>
  <si>
    <t>Unidentified(C7-C8)</t>
  </si>
  <si>
    <t>Unidentified (C8+)</t>
  </si>
  <si>
    <t xml:space="preserve">Total </t>
  </si>
  <si>
    <t>dry CBD basis</t>
  </si>
  <si>
    <t>H2_Online DHA</t>
  </si>
  <si>
    <t>% vol</t>
  </si>
  <si>
    <t>under no reaction condition</t>
  </si>
  <si>
    <t>N2_Online DHA</t>
  </si>
  <si>
    <t>Naphtha_Online DHA</t>
  </si>
  <si>
    <t>Total_Online DHA</t>
  </si>
  <si>
    <t>Molecular Weight_Online DHA</t>
  </si>
  <si>
    <t>Carbon_Online DHA</t>
  </si>
  <si>
    <t>Hydrogen_Online DHA</t>
  </si>
  <si>
    <t>H2_Rx effluent</t>
  </si>
  <si>
    <t>Naphtha_Rx effluent</t>
  </si>
  <si>
    <t>Naphtha/H2</t>
  </si>
  <si>
    <t>mass basis</t>
  </si>
  <si>
    <t>std. deviation</t>
  </si>
  <si>
    <t>Injection Time</t>
  </si>
  <si>
    <t>Run length</t>
  </si>
  <si>
    <t>hr</t>
  </si>
  <si>
    <t>oC</t>
  </si>
  <si>
    <t>mol. Basis</t>
  </si>
  <si>
    <t xml:space="preserve">Carbon_Rx effluent </t>
  </si>
  <si>
    <t>Naphtha_Rx inlet</t>
  </si>
  <si>
    <t>Naphtha/H2 (Rx effluent)</t>
  </si>
  <si>
    <t>8+</t>
  </si>
  <si>
    <t>Yield Distribution</t>
  </si>
  <si>
    <t>&lt;C3</t>
  </si>
  <si>
    <t>wof%</t>
  </si>
  <si>
    <t>Gas (C1-C4)</t>
  </si>
  <si>
    <t>C5+</t>
  </si>
  <si>
    <t>H2 consumption</t>
  </si>
  <si>
    <t>n-C6 conversion</t>
  </si>
  <si>
    <t>n-C7 conversion</t>
  </si>
  <si>
    <t>n-C8 conversion</t>
  </si>
  <si>
    <t>2,2-Dimethlybutane selectivity</t>
  </si>
  <si>
    <t>2,3-Dimethlybutane selectivity</t>
  </si>
  <si>
    <t>2-Methylpentane selectivity</t>
  </si>
  <si>
    <t>3-Methylpentane selectivity</t>
  </si>
  <si>
    <t>i-C6 selectivity</t>
  </si>
  <si>
    <t>2-Methylhexane selectivity</t>
  </si>
  <si>
    <t>3-Methylhexane selectivity</t>
  </si>
  <si>
    <t>i-C7 selectivity</t>
  </si>
  <si>
    <t>Unidentified(C8+)</t>
  </si>
  <si>
    <t>Naphtha/H2 (mass basis)</t>
  </si>
  <si>
    <t>overall std.dev</t>
  </si>
  <si>
    <t>assumed paraffins</t>
  </si>
  <si>
    <t>Synthetic feed blend</t>
  </si>
  <si>
    <t>n-octane</t>
  </si>
  <si>
    <t>STCB Results (ILS Unit)</t>
  </si>
  <si>
    <t>Reactor 1</t>
  </si>
  <si>
    <t>Reactor 2</t>
  </si>
  <si>
    <t>Reactor 6</t>
  </si>
  <si>
    <t>Op. condtions and Results</t>
  </si>
  <si>
    <t>Space velocity (weight basis)</t>
  </si>
  <si>
    <t>i-C4</t>
  </si>
  <si>
    <t>n-C4</t>
  </si>
  <si>
    <t>i-C5</t>
  </si>
  <si>
    <t>n-C5</t>
  </si>
  <si>
    <t>2,2-dimeC4</t>
  </si>
  <si>
    <t>2,3-dimeC4</t>
  </si>
  <si>
    <t>2-meC5</t>
  </si>
  <si>
    <t>3-meC5</t>
  </si>
  <si>
    <t>n-C6</t>
  </si>
  <si>
    <t>MCP</t>
  </si>
  <si>
    <t>i-C7</t>
  </si>
  <si>
    <t>n-C7</t>
  </si>
  <si>
    <t>n-C8</t>
  </si>
  <si>
    <t>i-C8</t>
  </si>
  <si>
    <t xml:space="preserve">C8+ </t>
  </si>
  <si>
    <t>Selectivities (i-C6)</t>
  </si>
  <si>
    <t>i-C8 selectivity</t>
  </si>
  <si>
    <t>Naphtha/H2 mass ratio</t>
  </si>
  <si>
    <t>Naphtha feed rate</t>
  </si>
  <si>
    <t>g/hr</t>
  </si>
  <si>
    <t>Improvements</t>
  </si>
  <si>
    <t>Check the block 1 and block 2 Temperature</t>
  </si>
  <si>
    <t>Install the check valves</t>
  </si>
  <si>
    <t>Calibrate the N2 MFCs</t>
  </si>
  <si>
    <t>check integration aspects of DHA</t>
  </si>
  <si>
    <t>Calibration of GC at four points</t>
  </si>
  <si>
    <r>
      <t>Constant for R1, R2, and R6 across all six conditions;</t>
    </r>
    <r>
      <rPr>
        <sz val="11"/>
        <color rgb="FFFF0000"/>
        <rFont val="Aptos"/>
        <family val="2"/>
      </rPr>
      <t xml:space="preserve"> R5 to be operated under gas and liquid feed</t>
    </r>
  </si>
  <si>
    <t>Data shared with Lalit for development of PROII model</t>
  </si>
  <si>
    <t>H1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</si>
</sst>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164" formatCode="0.0"/>
    <numFmt numFmtId="165" formatCode="0.000000000"/>
    <numFmt numFmtId="166" formatCode="0.0000000000"/>
    <numFmt numFmtId="167" formatCode="0.000"/>
    <numFmt numFmtId="168" formatCode="[$-F400]h:mm:ss\ AM/PM"/>
    <numFmt numFmtId="169" formatCode="[$-F800]dddd\,\ mmmm\ dd\,\ yyyy"/>
    <numFmt numFmtId="170" formatCode="0.0000"/>
    <numFmt numFmtId="171" formatCode="0.00000000000000"/>
    <numFmt numFmtId="172" formatCode="General_)"/>
  </numFmts>
  <fonts count="23">
    <font>
      <sz val="11"/>
      <color theme="1"/>
      <name val="Calibri"/>
      <family val="2"/>
      <scheme val="minor"/>
    </font>
    <font>
      <sz val="11"/>
      <color theme="1"/>
      <name val="Aptos"/>
      <family val="2"/>
    </font>
    <font>
      <vertAlign val="superscript"/>
      <sz val="11"/>
      <color theme="1"/>
      <name val="Aptos"/>
      <family val="2"/>
    </font>
    <font>
      <sz val="11"/>
      <color theme="1"/>
      <name val="Apos"/>
    </font>
    <font>
      <b/>
      <sz val="11"/>
      <color theme="1"/>
      <name val="Aptos"/>
      <family val="2"/>
    </font>
    <font>
      <sz val="8"/>
      <name val="Calibri"/>
      <family val="2"/>
      <scheme val="minor"/>
    </font>
    <font>
      <sz val="8.25"/>
      <color rgb="FF000000"/>
      <name val="Tahoma"/>
      <family val="2"/>
    </font>
    <font>
      <sz val="11"/>
      <color rgb="FFFF0000"/>
      <name val="Aptos"/>
      <family val="2"/>
    </font>
    <font>
      <b/>
      <sz val="8.25"/>
      <color rgb="FF000000"/>
      <name val="Tahoma"/>
      <family val="2"/>
    </font>
    <font>
      <sz val="11"/>
      <color indexed="8"/>
      <name val="Aptos"/>
      <family val="2"/>
    </font>
    <font>
      <sz val="11"/>
      <color rgb="FF000000"/>
      <name val="Aptos"/>
      <family val="2"/>
    </font>
    <font>
      <b/>
      <sz val="8.25"/>
      <color indexed="8"/>
      <name val="Tahoma"/>
      <family val="2"/>
    </font>
    <font>
      <sz val="8.25"/>
      <color indexed="8"/>
      <name val="Tahoma"/>
      <family val="2"/>
    </font>
    <font>
      <sz val="10"/>
      <color theme="1"/>
      <name val="Aptos"/>
      <family val="2"/>
    </font>
    <font>
      <b/>
      <sz val="14"/>
      <color theme="1"/>
      <name val="Aptos"/>
      <family val="2"/>
    </font>
    <font>
      <sz val="8.5"/>
      <name val="Tahoma"/>
      <family val="2"/>
    </font>
    <font>
      <b/>
      <sz val="8.5"/>
      <name val="Tahoma"/>
      <family val="2"/>
    </font>
    <font>
      <sz val="11"/>
      <name val="Verdana"/>
      <family val="2"/>
    </font>
    <font>
      <sz val="11"/>
      <color indexed="8"/>
      <name val="Verdana"/>
      <family val="2"/>
    </font>
    <font>
      <b/>
      <sz val="11"/>
      <color indexed="8"/>
      <name val="Verdana"/>
      <family val="2"/>
    </font>
    <font>
      <b/>
      <sz val="11"/>
      <color rgb="FF0070C0"/>
      <name val="Aptos"/>
      <family val="2"/>
    </font>
    <font>
      <sz val="12"/>
      <name val="Helv"/>
    </font>
    <font>
      <b/>
      <sz val="7"/>
      <name val="Arial"/>
      <family val="2"/>
    </font>
  </fonts>
  <fills count="1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7"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1" tint="0.499984740745262"/>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bottom/>
      <diagonal/>
    </border>
  </borders>
  <cellStyleXfs count="2">
    <xf numFmtId="0" fontId="0" fillId="0" borderId="0"/>
    <xf numFmtId="172" fontId="21" fillId="0" borderId="0"/>
  </cellStyleXfs>
  <cellXfs count="348">
    <xf numFmtId="0" fontId="0" fillId="0" borderId="0" xfId="0"/>
    <xf numFmtId="0" fontId="1" fillId="2" borderId="0" xfId="0" applyFont="1" applyFill="1"/>
    <xf numFmtId="0" fontId="1" fillId="2" borderId="1" xfId="0" applyFont="1" applyFill="1" applyBorder="1"/>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47" fontId="1" fillId="2" borderId="1" xfId="0" applyNumberFormat="1" applyFont="1" applyFill="1" applyBorder="1" applyAlignment="1">
      <alignment horizontal="center"/>
    </xf>
    <xf numFmtId="2" fontId="1" fillId="2" borderId="1" xfId="0" applyNumberFormat="1" applyFont="1" applyFill="1" applyBorder="1" applyAlignment="1">
      <alignment horizontal="center"/>
    </xf>
    <xf numFmtId="164" fontId="1" fillId="2" borderId="1" xfId="0" applyNumberFormat="1" applyFont="1" applyFill="1" applyBorder="1" applyAlignment="1">
      <alignment horizontal="center"/>
    </xf>
    <xf numFmtId="21" fontId="1" fillId="2" borderId="1" xfId="0" applyNumberFormat="1" applyFont="1" applyFill="1" applyBorder="1" applyAlignment="1">
      <alignment horizontal="center"/>
    </xf>
    <xf numFmtId="164" fontId="1" fillId="2" borderId="0" xfId="0" applyNumberFormat="1" applyFont="1" applyFill="1"/>
    <xf numFmtId="165" fontId="1" fillId="2" borderId="1" xfId="0" applyNumberFormat="1"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1" fillId="0" borderId="0" xfId="0" applyFont="1"/>
    <xf numFmtId="0" fontId="3" fillId="0" borderId="0" xfId="0" applyFont="1"/>
    <xf numFmtId="166" fontId="3" fillId="0" borderId="0" xfId="0" applyNumberFormat="1" applyFont="1"/>
    <xf numFmtId="0" fontId="1" fillId="0" borderId="0" xfId="0" applyFont="1" applyAlignment="1">
      <alignment horizontal="center"/>
    </xf>
    <xf numFmtId="0" fontId="1" fillId="0" borderId="1" xfId="0" applyFont="1" applyBorder="1" applyAlignment="1">
      <alignment horizontal="center"/>
    </xf>
    <xf numFmtId="0" fontId="1" fillId="0" borderId="6" xfId="0" applyFont="1" applyBorder="1" applyAlignment="1">
      <alignment horizontal="center"/>
    </xf>
    <xf numFmtId="165" fontId="1" fillId="2" borderId="8" xfId="0" applyNumberFormat="1"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7" xfId="0" applyFont="1" applyFill="1" applyBorder="1" applyAlignment="1">
      <alignment horizontal="center" vertical="center" wrapText="1"/>
    </xf>
    <xf numFmtId="165" fontId="1" fillId="2" borderId="12"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11" fontId="1" fillId="2" borderId="0" xfId="0" applyNumberFormat="1" applyFont="1" applyFill="1" applyAlignment="1">
      <alignment horizontal="center" vertical="center" wrapText="1"/>
    </xf>
    <xf numFmtId="0" fontId="1" fillId="2" borderId="13" xfId="0" applyFont="1" applyFill="1" applyBorder="1" applyAlignment="1">
      <alignment horizontal="center" vertical="center" wrapText="1"/>
    </xf>
    <xf numFmtId="165" fontId="1" fillId="2" borderId="10" xfId="0" applyNumberFormat="1" applyFont="1" applyFill="1" applyBorder="1" applyAlignment="1">
      <alignment horizontal="center" vertical="center" wrapText="1"/>
    </xf>
    <xf numFmtId="0" fontId="1" fillId="2" borderId="14"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2" borderId="0" xfId="0" applyFont="1" applyFill="1" applyAlignment="1">
      <alignment horizontal="center"/>
    </xf>
    <xf numFmtId="0" fontId="0" fillId="2" borderId="0" xfId="0" applyFill="1"/>
    <xf numFmtId="164" fontId="1" fillId="0" borderId="1" xfId="0" applyNumberFormat="1" applyFont="1" applyBorder="1" applyAlignment="1">
      <alignment horizontal="center"/>
    </xf>
    <xf numFmtId="164" fontId="1" fillId="2" borderId="0" xfId="0" applyNumberFormat="1" applyFont="1" applyFill="1" applyAlignment="1">
      <alignment horizontal="center"/>
    </xf>
    <xf numFmtId="2" fontId="0" fillId="2" borderId="0" xfId="0" applyNumberFormat="1" applyFill="1" applyAlignment="1">
      <alignment horizontal="center"/>
    </xf>
    <xf numFmtId="0" fontId="1" fillId="5" borderId="1" xfId="0" applyFont="1" applyFill="1" applyBorder="1" applyAlignment="1">
      <alignment horizontal="center"/>
    </xf>
    <xf numFmtId="0" fontId="1" fillId="5" borderId="4" xfId="0" applyFont="1" applyFill="1" applyBorder="1"/>
    <xf numFmtId="0" fontId="1" fillId="5" borderId="0" xfId="0" applyFont="1" applyFill="1"/>
    <xf numFmtId="0" fontId="1" fillId="6" borderId="1" xfId="0" applyFont="1" applyFill="1" applyBorder="1" applyAlignment="1">
      <alignment horizontal="center"/>
    </xf>
    <xf numFmtId="0" fontId="1" fillId="5" borderId="0" xfId="0" applyFont="1" applyFill="1" applyAlignment="1">
      <alignment horizontal="center"/>
    </xf>
    <xf numFmtId="0" fontId="4" fillId="4" borderId="0" xfId="0" applyFont="1" applyFill="1"/>
    <xf numFmtId="0" fontId="4" fillId="4" borderId="0" xfId="0" applyFont="1" applyFill="1" applyAlignment="1">
      <alignment horizontal="center"/>
    </xf>
    <xf numFmtId="0" fontId="1" fillId="4" borderId="0" xfId="0" applyFont="1" applyFill="1"/>
    <xf numFmtId="0" fontId="1" fillId="4" borderId="0" xfId="0" applyFont="1" applyFill="1" applyAlignment="1">
      <alignment horizontal="center"/>
    </xf>
    <xf numFmtId="2" fontId="1" fillId="4" borderId="0" xfId="0" applyNumberFormat="1" applyFont="1" applyFill="1" applyAlignment="1">
      <alignment horizontal="center"/>
    </xf>
    <xf numFmtId="164" fontId="4" fillId="4" borderId="0" xfId="0" applyNumberFormat="1" applyFont="1" applyFill="1" applyAlignment="1">
      <alignment horizontal="center"/>
    </xf>
    <xf numFmtId="2" fontId="4" fillId="4" borderId="0" xfId="0" applyNumberFormat="1" applyFont="1" applyFill="1" applyAlignment="1">
      <alignment horizontal="center"/>
    </xf>
    <xf numFmtId="1" fontId="4" fillId="4" borderId="0" xfId="0" applyNumberFormat="1" applyFont="1" applyFill="1" applyAlignment="1">
      <alignment horizontal="center"/>
    </xf>
    <xf numFmtId="0" fontId="8" fillId="0" borderId="0" xfId="0" applyFont="1" applyAlignment="1">
      <alignment horizontal="left" vertical="top"/>
    </xf>
    <xf numFmtId="0" fontId="1" fillId="5" borderId="1" xfId="0" applyFont="1" applyFill="1" applyBorder="1"/>
    <xf numFmtId="0" fontId="1" fillId="7" borderId="1" xfId="0" applyFont="1" applyFill="1" applyBorder="1"/>
    <xf numFmtId="2" fontId="9" fillId="2" borderId="1" xfId="0" applyNumberFormat="1" applyFont="1" applyFill="1" applyBorder="1" applyAlignment="1">
      <alignment horizontal="center" vertical="top"/>
    </xf>
    <xf numFmtId="2" fontId="10" fillId="2" borderId="1" xfId="0" applyNumberFormat="1" applyFont="1" applyFill="1" applyBorder="1" applyAlignment="1">
      <alignment horizontal="center" vertical="top"/>
    </xf>
    <xf numFmtId="11" fontId="1" fillId="2" borderId="1" xfId="0" applyNumberFormat="1" applyFont="1" applyFill="1" applyBorder="1" applyAlignment="1">
      <alignment horizontal="center"/>
    </xf>
    <xf numFmtId="2" fontId="1" fillId="2" borderId="0" xfId="0" applyNumberFormat="1" applyFont="1" applyFill="1"/>
    <xf numFmtId="0" fontId="1" fillId="3" borderId="1" xfId="0" applyFont="1" applyFill="1" applyBorder="1"/>
    <xf numFmtId="2" fontId="1" fillId="2" borderId="0" xfId="0" applyNumberFormat="1" applyFont="1" applyFill="1" applyAlignment="1">
      <alignment horizontal="center"/>
    </xf>
    <xf numFmtId="167" fontId="1" fillId="2" borderId="0" xfId="0" applyNumberFormat="1" applyFont="1" applyFill="1" applyAlignment="1">
      <alignment horizontal="center"/>
    </xf>
    <xf numFmtId="2" fontId="6" fillId="2" borderId="1" xfId="0" applyNumberFormat="1" applyFont="1" applyFill="1" applyBorder="1" applyAlignment="1">
      <alignment horizontal="center" vertical="top"/>
    </xf>
    <xf numFmtId="164" fontId="11" fillId="2" borderId="0" xfId="0" applyNumberFormat="1" applyFont="1" applyFill="1" applyAlignment="1">
      <alignment horizontal="center" vertical="top"/>
    </xf>
    <xf numFmtId="0" fontId="1" fillId="2" borderId="0" xfId="0" applyFont="1" applyFill="1" applyAlignment="1">
      <alignment horizontal="right"/>
    </xf>
    <xf numFmtId="0" fontId="1" fillId="2" borderId="11" xfId="0" applyFont="1" applyFill="1" applyBorder="1" applyAlignment="1">
      <alignment horizontal="center"/>
    </xf>
    <xf numFmtId="0" fontId="1" fillId="2" borderId="3" xfId="0" applyFont="1" applyFill="1" applyBorder="1" applyAlignment="1">
      <alignment horizontal="right"/>
    </xf>
    <xf numFmtId="0" fontId="1" fillId="2" borderId="11" xfId="0" applyFont="1" applyFill="1" applyBorder="1" applyAlignment="1">
      <alignment horizontal="right"/>
    </xf>
    <xf numFmtId="0" fontId="1" fillId="2" borderId="3" xfId="0" applyFont="1" applyFill="1" applyBorder="1" applyAlignment="1">
      <alignment horizontal="center"/>
    </xf>
    <xf numFmtId="0" fontId="9" fillId="2" borderId="0" xfId="0" applyFont="1" applyFill="1" applyAlignment="1">
      <alignment horizontal="right" vertical="top"/>
    </xf>
    <xf numFmtId="0" fontId="1" fillId="8" borderId="0" xfId="0" applyFont="1" applyFill="1" applyAlignment="1">
      <alignment horizontal="center"/>
    </xf>
    <xf numFmtId="0" fontId="1" fillId="8" borderId="0" xfId="0" applyFont="1" applyFill="1"/>
    <xf numFmtId="0" fontId="1" fillId="2" borderId="3" xfId="0" applyFont="1" applyFill="1" applyBorder="1"/>
    <xf numFmtId="167" fontId="1" fillId="2" borderId="3" xfId="0" applyNumberFormat="1" applyFont="1" applyFill="1" applyBorder="1" applyAlignment="1">
      <alignment horizontal="center"/>
    </xf>
    <xf numFmtId="0" fontId="1" fillId="2" borderId="11" xfId="0" applyFont="1" applyFill="1" applyBorder="1"/>
    <xf numFmtId="1" fontId="1" fillId="2" borderId="3" xfId="0" applyNumberFormat="1" applyFont="1" applyFill="1" applyBorder="1" applyAlignment="1">
      <alignment horizontal="center"/>
    </xf>
    <xf numFmtId="1" fontId="1" fillId="2" borderId="0" xfId="0" applyNumberFormat="1" applyFont="1" applyFill="1" applyAlignment="1">
      <alignment horizontal="center"/>
    </xf>
    <xf numFmtId="1" fontId="1" fillId="2" borderId="0" xfId="0" applyNumberFormat="1" applyFont="1" applyFill="1"/>
    <xf numFmtId="164" fontId="1" fillId="2" borderId="0" xfId="0" quotePrefix="1" applyNumberFormat="1" applyFont="1" applyFill="1" applyAlignment="1">
      <alignment horizontal="center"/>
    </xf>
    <xf numFmtId="1" fontId="1" fillId="2" borderId="0" xfId="0" applyNumberFormat="1" applyFont="1" applyFill="1" applyAlignment="1">
      <alignment horizontal="right"/>
    </xf>
    <xf numFmtId="1" fontId="13" fillId="2" borderId="0" xfId="0" applyNumberFormat="1" applyFont="1" applyFill="1" applyAlignment="1">
      <alignment horizontal="center"/>
    </xf>
    <xf numFmtId="169" fontId="1" fillId="2" borderId="0" xfId="0" applyNumberFormat="1" applyFont="1" applyFill="1"/>
    <xf numFmtId="169" fontId="1" fillId="2" borderId="0" xfId="0" applyNumberFormat="1" applyFont="1" applyFill="1" applyAlignment="1">
      <alignment horizontal="center"/>
    </xf>
    <xf numFmtId="169" fontId="1" fillId="2" borderId="0" xfId="0" applyNumberFormat="1" applyFont="1" applyFill="1" applyAlignment="1">
      <alignment horizontal="right"/>
    </xf>
    <xf numFmtId="1" fontId="1" fillId="2" borderId="0" xfId="0" quotePrefix="1" applyNumberFormat="1" applyFont="1" applyFill="1" applyAlignment="1">
      <alignment horizontal="center"/>
    </xf>
    <xf numFmtId="169" fontId="1" fillId="2" borderId="0" xfId="0" quotePrefix="1" applyNumberFormat="1" applyFont="1" applyFill="1" applyAlignment="1">
      <alignment horizontal="center"/>
    </xf>
    <xf numFmtId="0" fontId="4" fillId="2" borderId="0" xfId="0" applyFont="1" applyFill="1" applyAlignment="1">
      <alignment horizontal="right"/>
    </xf>
    <xf numFmtId="0" fontId="4" fillId="2" borderId="0" xfId="0" applyFont="1" applyFill="1" applyAlignment="1">
      <alignment horizontal="center"/>
    </xf>
    <xf numFmtId="1" fontId="4" fillId="2" borderId="0" xfId="0" applyNumberFormat="1" applyFont="1" applyFill="1" applyAlignment="1">
      <alignment horizontal="center"/>
    </xf>
    <xf numFmtId="0" fontId="4" fillId="2" borderId="0" xfId="0" applyFont="1" applyFill="1"/>
    <xf numFmtId="0" fontId="1" fillId="2" borderId="5" xfId="0" applyFont="1" applyFill="1" applyBorder="1" applyAlignment="1">
      <alignment horizontal="center"/>
    </xf>
    <xf numFmtId="0" fontId="1" fillId="2" borderId="6" xfId="0" applyFont="1" applyFill="1" applyBorder="1" applyAlignment="1">
      <alignment horizontal="center"/>
    </xf>
    <xf numFmtId="0" fontId="4" fillId="8" borderId="0" xfId="0" applyFont="1" applyFill="1" applyAlignment="1">
      <alignment horizontal="center"/>
    </xf>
    <xf numFmtId="168" fontId="1" fillId="2" borderId="1" xfId="0" applyNumberFormat="1" applyFont="1" applyFill="1" applyBorder="1" applyAlignment="1">
      <alignment horizontal="center"/>
    </xf>
    <xf numFmtId="21" fontId="1" fillId="2" borderId="5" xfId="0" applyNumberFormat="1" applyFont="1" applyFill="1" applyBorder="1" applyAlignment="1">
      <alignment horizontal="center"/>
    </xf>
    <xf numFmtId="164" fontId="1" fillId="2" borderId="5" xfId="0" applyNumberFormat="1" applyFont="1" applyFill="1" applyBorder="1" applyAlignment="1">
      <alignment horizontal="center"/>
    </xf>
    <xf numFmtId="2" fontId="1" fillId="2" borderId="5" xfId="0" applyNumberFormat="1" applyFont="1" applyFill="1" applyBorder="1" applyAlignment="1">
      <alignment horizontal="center"/>
    </xf>
    <xf numFmtId="0" fontId="1" fillId="6" borderId="6" xfId="0" applyFont="1" applyFill="1" applyBorder="1" applyAlignment="1">
      <alignment horizontal="center"/>
    </xf>
    <xf numFmtId="0" fontId="1" fillId="2" borderId="6" xfId="0" applyFont="1" applyFill="1" applyBorder="1"/>
    <xf numFmtId="0" fontId="1" fillId="3" borderId="6" xfId="0" applyFont="1" applyFill="1" applyBorder="1"/>
    <xf numFmtId="2" fontId="0" fillId="2" borderId="1" xfId="0" applyNumberFormat="1" applyFill="1" applyBorder="1" applyAlignment="1">
      <alignment horizontal="center"/>
    </xf>
    <xf numFmtId="0" fontId="0" fillId="2" borderId="1" xfId="0" applyFill="1" applyBorder="1"/>
    <xf numFmtId="2" fontId="12" fillId="2" borderId="1" xfId="0" applyNumberFormat="1" applyFont="1" applyFill="1" applyBorder="1" applyAlignment="1">
      <alignment horizontal="center" vertical="top"/>
    </xf>
    <xf numFmtId="0" fontId="14" fillId="0" borderId="0" xfId="0" applyFont="1" applyAlignment="1">
      <alignment horizontal="centerContinuous"/>
    </xf>
    <xf numFmtId="0" fontId="1" fillId="0" borderId="0" xfId="0" applyFont="1" applyAlignment="1">
      <alignment horizontal="centerContinuous"/>
    </xf>
    <xf numFmtId="0" fontId="4" fillId="0" borderId="22" xfId="0" applyFont="1" applyBorder="1"/>
    <xf numFmtId="0" fontId="1" fillId="0" borderId="20" xfId="0" applyFont="1" applyBorder="1"/>
    <xf numFmtId="0" fontId="4" fillId="0" borderId="25" xfId="0" applyFont="1" applyBorder="1"/>
    <xf numFmtId="0" fontId="1" fillId="0" borderId="24" xfId="0" applyFont="1" applyBorder="1"/>
    <xf numFmtId="0" fontId="1" fillId="0" borderId="24" xfId="0" applyFont="1" applyBorder="1" applyAlignment="1">
      <alignment horizontal="center"/>
    </xf>
    <xf numFmtId="0" fontId="1" fillId="0" borderId="23" xfId="0" applyFont="1" applyBorder="1" applyAlignment="1">
      <alignment horizontal="center"/>
    </xf>
    <xf numFmtId="0" fontId="1" fillId="0" borderId="19" xfId="0" applyFont="1" applyBorder="1"/>
    <xf numFmtId="0" fontId="1" fillId="0" borderId="18" xfId="0" applyFont="1" applyBorder="1"/>
    <xf numFmtId="0" fontId="1" fillId="0" borderId="0" xfId="0" applyFont="1" applyAlignment="1">
      <alignment horizontal="center" vertical="center"/>
    </xf>
    <xf numFmtId="0" fontId="1" fillId="0" borderId="18" xfId="0" applyFont="1" applyBorder="1" applyAlignment="1">
      <alignment horizontal="center" vertical="center"/>
    </xf>
    <xf numFmtId="0" fontId="1" fillId="0" borderId="22" xfId="0" applyFont="1" applyBorder="1"/>
    <xf numFmtId="0" fontId="1" fillId="0" borderId="21" xfId="0" applyFont="1" applyBorder="1"/>
    <xf numFmtId="1" fontId="1" fillId="0" borderId="0" xfId="0" applyNumberFormat="1" applyFont="1" applyAlignment="1">
      <alignment horizontal="center"/>
    </xf>
    <xf numFmtId="0" fontId="1" fillId="0" borderId="17" xfId="0" applyFont="1" applyBorder="1"/>
    <xf numFmtId="0" fontId="1" fillId="0" borderId="15" xfId="0" applyFont="1" applyBorder="1"/>
    <xf numFmtId="0" fontId="1" fillId="0" borderId="16" xfId="0" applyFont="1" applyBorder="1"/>
    <xf numFmtId="0" fontId="1" fillId="0" borderId="21" xfId="0" applyFont="1" applyBorder="1" applyAlignment="1">
      <alignment horizontal="center"/>
    </xf>
    <xf numFmtId="0" fontId="1" fillId="0" borderId="20" xfId="0" applyFont="1" applyBorder="1" applyAlignment="1">
      <alignment horizontal="center"/>
    </xf>
    <xf numFmtId="0" fontId="1" fillId="0" borderId="21" xfId="0" applyFont="1" applyBorder="1" applyAlignment="1">
      <alignment horizontal="center" vertical="center"/>
    </xf>
    <xf numFmtId="0" fontId="1" fillId="0" borderId="20" xfId="0" applyFont="1" applyBorder="1" applyAlignment="1">
      <alignment horizontal="center" vertical="center"/>
    </xf>
    <xf numFmtId="170" fontId="1" fillId="2" borderId="0" xfId="0" applyNumberFormat="1" applyFont="1" applyFill="1" applyAlignment="1">
      <alignment horizontal="center"/>
    </xf>
    <xf numFmtId="169" fontId="1" fillId="8" borderId="0" xfId="0" applyNumberFormat="1" applyFont="1" applyFill="1"/>
    <xf numFmtId="169" fontId="1" fillId="8" borderId="0" xfId="0" applyNumberFormat="1" applyFont="1" applyFill="1" applyAlignment="1">
      <alignment horizontal="center"/>
    </xf>
    <xf numFmtId="2" fontId="1" fillId="8" borderId="0" xfId="0" applyNumberFormat="1" applyFont="1" applyFill="1" applyAlignment="1">
      <alignment horizontal="center"/>
    </xf>
    <xf numFmtId="1" fontId="13" fillId="8" borderId="0" xfId="0" applyNumberFormat="1" applyFont="1" applyFill="1" applyAlignment="1">
      <alignment horizontal="center"/>
    </xf>
    <xf numFmtId="1" fontId="4" fillId="8" borderId="0" xfId="0" applyNumberFormat="1" applyFont="1" applyFill="1" applyAlignment="1">
      <alignment horizontal="center"/>
    </xf>
    <xf numFmtId="164" fontId="1" fillId="8" borderId="0" xfId="0" applyNumberFormat="1" applyFont="1" applyFill="1" applyAlignment="1">
      <alignment horizontal="center"/>
    </xf>
    <xf numFmtId="167" fontId="1" fillId="8" borderId="0" xfId="0" applyNumberFormat="1" applyFont="1" applyFill="1" applyAlignment="1">
      <alignment horizontal="center"/>
    </xf>
    <xf numFmtId="1" fontId="1" fillId="8" borderId="0" xfId="0" applyNumberFormat="1" applyFont="1" applyFill="1" applyAlignment="1">
      <alignment horizontal="center"/>
    </xf>
    <xf numFmtId="164" fontId="1" fillId="2" borderId="3" xfId="0" applyNumberFormat="1" applyFont="1" applyFill="1" applyBorder="1" applyAlignment="1">
      <alignment horizontal="center"/>
    </xf>
    <xf numFmtId="2" fontId="1" fillId="2" borderId="3" xfId="0" applyNumberFormat="1" applyFont="1" applyFill="1" applyBorder="1" applyAlignment="1">
      <alignment horizontal="center"/>
    </xf>
    <xf numFmtId="0" fontId="1" fillId="2" borderId="3" xfId="0" quotePrefix="1" applyFont="1" applyFill="1" applyBorder="1" applyAlignment="1">
      <alignment horizontal="center"/>
    </xf>
    <xf numFmtId="170" fontId="1" fillId="2" borderId="0" xfId="0" applyNumberFormat="1" applyFont="1" applyFill="1"/>
    <xf numFmtId="0" fontId="1" fillId="9" borderId="0" xfId="0" applyFont="1" applyFill="1" applyAlignment="1">
      <alignment horizontal="right"/>
    </xf>
    <xf numFmtId="0" fontId="1" fillId="9" borderId="0" xfId="0" applyFont="1" applyFill="1" applyAlignment="1">
      <alignment horizontal="center"/>
    </xf>
    <xf numFmtId="0" fontId="1" fillId="9" borderId="0" xfId="0" applyFont="1" applyFill="1"/>
    <xf numFmtId="2" fontId="1" fillId="9" borderId="0" xfId="0" applyNumberFormat="1" applyFont="1" applyFill="1" applyAlignment="1">
      <alignment horizontal="center"/>
    </xf>
    <xf numFmtId="1" fontId="1" fillId="9" borderId="0" xfId="0" applyNumberFormat="1" applyFont="1" applyFill="1" applyAlignment="1">
      <alignment horizontal="center"/>
    </xf>
    <xf numFmtId="171" fontId="1" fillId="2" borderId="0" xfId="0" applyNumberFormat="1" applyFont="1" applyFill="1"/>
    <xf numFmtId="164" fontId="4" fillId="2" borderId="0" xfId="0" applyNumberFormat="1" applyFont="1" applyFill="1" applyAlignment="1">
      <alignment horizontal="center"/>
    </xf>
    <xf numFmtId="164" fontId="1" fillId="9" borderId="0" xfId="0" applyNumberFormat="1" applyFont="1" applyFill="1" applyAlignment="1">
      <alignment horizontal="center"/>
    </xf>
    <xf numFmtId="0" fontId="1" fillId="8" borderId="3" xfId="0" applyFont="1" applyFill="1" applyBorder="1" applyAlignment="1">
      <alignment horizontal="right"/>
    </xf>
    <xf numFmtId="0" fontId="1" fillId="8" borderId="3" xfId="0" applyFont="1" applyFill="1" applyBorder="1" applyAlignment="1">
      <alignment horizontal="center"/>
    </xf>
    <xf numFmtId="0" fontId="1" fillId="8" borderId="11" xfId="0" applyFont="1" applyFill="1" applyBorder="1" applyAlignment="1">
      <alignment horizontal="right"/>
    </xf>
    <xf numFmtId="0" fontId="1" fillId="8" borderId="11" xfId="0" applyFont="1" applyFill="1" applyBorder="1" applyAlignment="1">
      <alignment horizontal="center"/>
    </xf>
    <xf numFmtId="0" fontId="4" fillId="8" borderId="3" xfId="0" applyFont="1" applyFill="1" applyBorder="1" applyAlignment="1">
      <alignment horizontal="right"/>
    </xf>
    <xf numFmtId="0" fontId="4" fillId="2" borderId="3" xfId="0" applyFont="1" applyFill="1" applyBorder="1" applyAlignment="1">
      <alignment horizontal="right"/>
    </xf>
    <xf numFmtId="0" fontId="4" fillId="8" borderId="11" xfId="0" applyFont="1" applyFill="1" applyBorder="1" applyAlignment="1">
      <alignment horizontal="right"/>
    </xf>
    <xf numFmtId="0" fontId="4" fillId="8" borderId="11" xfId="0" applyFont="1" applyFill="1" applyBorder="1" applyAlignment="1">
      <alignment horizontal="center"/>
    </xf>
    <xf numFmtId="1" fontId="4" fillId="2" borderId="11" xfId="0" applyNumberFormat="1" applyFont="1" applyFill="1" applyBorder="1" applyAlignment="1">
      <alignment horizontal="center"/>
    </xf>
    <xf numFmtId="0" fontId="1" fillId="2" borderId="4" xfId="0" applyFont="1" applyFill="1" applyBorder="1"/>
    <xf numFmtId="14" fontId="1" fillId="0" borderId="1" xfId="0" applyNumberFormat="1" applyFont="1" applyBorder="1" applyAlignment="1">
      <alignment horizontal="center"/>
    </xf>
    <xf numFmtId="168" fontId="1" fillId="0" borderId="1" xfId="0" applyNumberFormat="1" applyFont="1" applyBorder="1" applyAlignment="1">
      <alignment horizontal="center"/>
    </xf>
    <xf numFmtId="164" fontId="4" fillId="8" borderId="0" xfId="0" applyNumberFormat="1" applyFont="1" applyFill="1" applyAlignment="1">
      <alignment horizontal="center"/>
    </xf>
    <xf numFmtId="2" fontId="1" fillId="2" borderId="11" xfId="0" applyNumberFormat="1" applyFont="1" applyFill="1" applyBorder="1" applyAlignment="1">
      <alignment horizontal="center"/>
    </xf>
    <xf numFmtId="0" fontId="4" fillId="2" borderId="11" xfId="0" applyFont="1" applyFill="1" applyBorder="1" applyAlignment="1">
      <alignment horizontal="center"/>
    </xf>
    <xf numFmtId="1" fontId="1" fillId="2" borderId="11" xfId="0" applyNumberFormat="1" applyFont="1" applyFill="1" applyBorder="1" applyAlignment="1">
      <alignment horizontal="center"/>
    </xf>
    <xf numFmtId="0" fontId="15" fillId="0" borderId="0" xfId="0" applyFont="1"/>
    <xf numFmtId="0" fontId="15" fillId="4" borderId="8" xfId="0" applyFont="1" applyFill="1" applyBorder="1"/>
    <xf numFmtId="0" fontId="15" fillId="4" borderId="11" xfId="0" applyFont="1" applyFill="1" applyBorder="1"/>
    <xf numFmtId="0" fontId="16" fillId="4" borderId="11" xfId="0" applyFont="1" applyFill="1" applyBorder="1"/>
    <xf numFmtId="0" fontId="12" fillId="4" borderId="11" xfId="0" applyFont="1" applyFill="1" applyBorder="1" applyAlignment="1">
      <alignment horizontal="left" vertical="top"/>
    </xf>
    <xf numFmtId="0" fontId="15" fillId="4" borderId="7" xfId="0" applyFont="1" applyFill="1" applyBorder="1"/>
    <xf numFmtId="0" fontId="15" fillId="4" borderId="12" xfId="0" applyFont="1" applyFill="1" applyBorder="1"/>
    <xf numFmtId="0" fontId="15" fillId="4" borderId="0" xfId="0" applyFont="1" applyFill="1"/>
    <xf numFmtId="0" fontId="16" fillId="4" borderId="0" xfId="0" applyFont="1" applyFill="1"/>
    <xf numFmtId="0" fontId="12" fillId="4" borderId="0" xfId="0" applyFont="1" applyFill="1" applyAlignment="1">
      <alignment horizontal="left" vertical="top"/>
    </xf>
    <xf numFmtId="0" fontId="15" fillId="4" borderId="13" xfId="0" applyFont="1" applyFill="1" applyBorder="1"/>
    <xf numFmtId="167" fontId="15" fillId="4" borderId="0" xfId="0" applyNumberFormat="1" applyFont="1" applyFill="1"/>
    <xf numFmtId="0" fontId="11" fillId="4" borderId="0" xfId="0" applyFont="1" applyFill="1" applyAlignment="1">
      <alignment horizontal="left" vertical="top"/>
    </xf>
    <xf numFmtId="1" fontId="1" fillId="2" borderId="4" xfId="0" applyNumberFormat="1" applyFont="1" applyFill="1" applyBorder="1" applyAlignment="1">
      <alignment horizontal="center"/>
    </xf>
    <xf numFmtId="0" fontId="1" fillId="2" borderId="2" xfId="0" applyFont="1" applyFill="1" applyBorder="1" applyAlignment="1">
      <alignment horizontal="right"/>
    </xf>
    <xf numFmtId="0" fontId="6" fillId="0" borderId="0" xfId="0" applyFont="1" applyAlignment="1">
      <alignment horizontal="left" vertical="top"/>
    </xf>
    <xf numFmtId="164" fontId="1" fillId="10" borderId="12" xfId="0" applyNumberFormat="1" applyFont="1" applyFill="1" applyBorder="1" applyAlignment="1">
      <alignment horizontal="center"/>
    </xf>
    <xf numFmtId="164" fontId="1" fillId="10" borderId="0" xfId="0" applyNumberFormat="1" applyFont="1" applyFill="1" applyAlignment="1">
      <alignment horizontal="center"/>
    </xf>
    <xf numFmtId="0" fontId="1" fillId="10" borderId="13" xfId="0" applyFont="1" applyFill="1" applyBorder="1" applyAlignment="1">
      <alignment horizontal="right"/>
    </xf>
    <xf numFmtId="0" fontId="11" fillId="4" borderId="0" xfId="0" applyFont="1" applyFill="1" applyAlignment="1">
      <alignment horizontal="right" vertical="top"/>
    </xf>
    <xf numFmtId="164" fontId="1" fillId="2" borderId="12" xfId="0" applyNumberFormat="1" applyFont="1" applyFill="1" applyBorder="1" applyAlignment="1">
      <alignment horizontal="center"/>
    </xf>
    <xf numFmtId="0" fontId="1" fillId="2" borderId="13" xfId="0" applyFont="1" applyFill="1" applyBorder="1" applyAlignment="1">
      <alignment horizontal="right"/>
    </xf>
    <xf numFmtId="1" fontId="4" fillId="4" borderId="0" xfId="0" applyNumberFormat="1" applyFont="1" applyFill="1"/>
    <xf numFmtId="1" fontId="4" fillId="4" borderId="0" xfId="0" applyNumberFormat="1" applyFont="1" applyFill="1" applyAlignment="1">
      <alignment horizontal="center" vertical="center"/>
    </xf>
    <xf numFmtId="0" fontId="1" fillId="0" borderId="12" xfId="0" applyFont="1" applyBorder="1" applyAlignment="1">
      <alignment horizontal="center"/>
    </xf>
    <xf numFmtId="2" fontId="4" fillId="4" borderId="0" xfId="0" applyNumberFormat="1" applyFont="1" applyFill="1"/>
    <xf numFmtId="164" fontId="4" fillId="4" borderId="0" xfId="0" applyNumberFormat="1" applyFont="1" applyFill="1" applyAlignment="1">
      <alignment horizontal="center" vertical="center"/>
    </xf>
    <xf numFmtId="2" fontId="1" fillId="4" borderId="0" xfId="0" applyNumberFormat="1" applyFont="1" applyFill="1"/>
    <xf numFmtId="0" fontId="1" fillId="8" borderId="2" xfId="0" applyFont="1" applyFill="1" applyBorder="1" applyAlignment="1">
      <alignment horizontal="right"/>
    </xf>
    <xf numFmtId="0" fontId="1" fillId="8" borderId="2" xfId="0" applyFont="1" applyFill="1" applyBorder="1" applyAlignment="1">
      <alignment horizontal="center"/>
    </xf>
    <xf numFmtId="164" fontId="1" fillId="4" borderId="0" xfId="0" applyNumberFormat="1" applyFont="1" applyFill="1" applyAlignment="1">
      <alignment horizontal="center" vertical="center"/>
    </xf>
    <xf numFmtId="2" fontId="1" fillId="4" borderId="0" xfId="0" applyNumberFormat="1" applyFont="1" applyFill="1" applyAlignment="1">
      <alignment horizontal="center" vertical="center"/>
    </xf>
    <xf numFmtId="0" fontId="1" fillId="3" borderId="6" xfId="0" applyFont="1" applyFill="1" applyBorder="1" applyAlignment="1">
      <alignment horizontal="center"/>
    </xf>
    <xf numFmtId="0" fontId="1" fillId="11" borderId="6" xfId="0" applyFont="1" applyFill="1" applyBorder="1" applyAlignment="1">
      <alignment horizontal="center"/>
    </xf>
    <xf numFmtId="1" fontId="1" fillId="2" borderId="8" xfId="0" applyNumberFormat="1" applyFont="1" applyFill="1" applyBorder="1" applyAlignment="1">
      <alignment horizontal="center"/>
    </xf>
    <xf numFmtId="0" fontId="11" fillId="4" borderId="13" xfId="0" applyFont="1" applyFill="1" applyBorder="1" applyAlignment="1">
      <alignment horizontal="left" vertical="top"/>
    </xf>
    <xf numFmtId="0" fontId="1" fillId="3" borderId="26" xfId="0" applyFont="1" applyFill="1" applyBorder="1" applyAlignment="1">
      <alignment horizontal="center"/>
    </xf>
    <xf numFmtId="0" fontId="1" fillId="11" borderId="26" xfId="0" applyFont="1" applyFill="1" applyBorder="1" applyAlignment="1">
      <alignment horizontal="center"/>
    </xf>
    <xf numFmtId="0" fontId="1" fillId="2" borderId="26" xfId="0" applyFont="1" applyFill="1" applyBorder="1" applyAlignment="1">
      <alignment horizontal="center"/>
    </xf>
    <xf numFmtId="1" fontId="1" fillId="2" borderId="12" xfId="0" applyNumberFormat="1" applyFont="1" applyFill="1" applyBorder="1" applyAlignment="1">
      <alignment horizontal="center"/>
    </xf>
    <xf numFmtId="0" fontId="1" fillId="3" borderId="5" xfId="0" applyFont="1" applyFill="1" applyBorder="1" applyAlignment="1">
      <alignment horizontal="center"/>
    </xf>
    <xf numFmtId="0" fontId="1" fillId="11" borderId="5" xfId="0" applyFont="1" applyFill="1" applyBorder="1" applyAlignment="1">
      <alignment horizontal="center"/>
    </xf>
    <xf numFmtId="1" fontId="1" fillId="2" borderId="10" xfId="0" applyNumberFormat="1" applyFont="1" applyFill="1" applyBorder="1" applyAlignment="1">
      <alignment horizontal="center"/>
    </xf>
    <xf numFmtId="0" fontId="1" fillId="8" borderId="1" xfId="0" applyFont="1" applyFill="1" applyBorder="1" applyAlignment="1">
      <alignment horizontal="center"/>
    </xf>
    <xf numFmtId="0" fontId="1" fillId="8" borderId="4" xfId="0" applyFont="1" applyFill="1" applyBorder="1" applyAlignment="1">
      <alignment horizontal="center"/>
    </xf>
    <xf numFmtId="0" fontId="16" fillId="4" borderId="12" xfId="0" applyFont="1" applyFill="1" applyBorder="1"/>
    <xf numFmtId="0" fontId="17" fillId="4" borderId="0" xfId="0" applyFont="1" applyFill="1"/>
    <xf numFmtId="0" fontId="18" fillId="4" borderId="0" xfId="0" applyFont="1" applyFill="1" applyAlignment="1">
      <alignment horizontal="left" vertical="top"/>
    </xf>
    <xf numFmtId="0" fontId="19" fillId="4" borderId="0" xfId="0" applyFont="1" applyFill="1" applyAlignment="1">
      <alignment horizontal="left" vertical="top"/>
    </xf>
    <xf numFmtId="0" fontId="1" fillId="4" borderId="12" xfId="0" applyFont="1" applyFill="1" applyBorder="1"/>
    <xf numFmtId="0" fontId="1" fillId="4" borderId="13" xfId="0" applyFont="1" applyFill="1" applyBorder="1"/>
    <xf numFmtId="0" fontId="1" fillId="2" borderId="0" xfId="0" applyFont="1" applyFill="1" applyAlignment="1">
      <alignment vertical="center"/>
    </xf>
    <xf numFmtId="0" fontId="7" fillId="2" borderId="0" xfId="0" applyFont="1" applyFill="1" applyAlignment="1">
      <alignment vertical="center"/>
    </xf>
    <xf numFmtId="0" fontId="1" fillId="2" borderId="8" xfId="0" applyFont="1" applyFill="1" applyBorder="1"/>
    <xf numFmtId="0" fontId="1" fillId="0" borderId="11" xfId="0" applyFont="1" applyBorder="1" applyAlignment="1">
      <alignment vertical="center"/>
    </xf>
    <xf numFmtId="0" fontId="1" fillId="2" borderId="1" xfId="0" applyFont="1" applyFill="1" applyBorder="1" applyAlignment="1">
      <alignment horizontal="right"/>
    </xf>
    <xf numFmtId="0" fontId="1" fillId="0" borderId="3" xfId="0" applyFont="1" applyBorder="1" applyAlignment="1">
      <alignment vertical="center"/>
    </xf>
    <xf numFmtId="170" fontId="1" fillId="2" borderId="1" xfId="0" applyNumberFormat="1" applyFont="1" applyFill="1" applyBorder="1" applyAlignment="1">
      <alignment horizontal="center"/>
    </xf>
    <xf numFmtId="1" fontId="1" fillId="2" borderId="1" xfId="0" applyNumberFormat="1" applyFont="1" applyFill="1" applyBorder="1" applyAlignment="1">
      <alignment horizontal="center"/>
    </xf>
    <xf numFmtId="0" fontId="1" fillId="12" borderId="1" xfId="0" applyFont="1" applyFill="1" applyBorder="1" applyAlignment="1">
      <alignment horizontal="center"/>
    </xf>
    <xf numFmtId="0" fontId="1" fillId="12" borderId="1" xfId="0" applyFont="1" applyFill="1" applyBorder="1" applyAlignment="1">
      <alignment horizontal="right"/>
    </xf>
    <xf numFmtId="0" fontId="1" fillId="10" borderId="1" xfId="0" applyFont="1" applyFill="1" applyBorder="1" applyAlignment="1">
      <alignment horizontal="center"/>
    </xf>
    <xf numFmtId="167" fontId="1" fillId="2" borderId="1" xfId="0" applyNumberFormat="1" applyFont="1" applyFill="1" applyBorder="1" applyAlignment="1">
      <alignment horizontal="center"/>
    </xf>
    <xf numFmtId="0" fontId="20" fillId="2" borderId="1" xfId="0" applyFont="1" applyFill="1" applyBorder="1" applyAlignment="1">
      <alignment horizontal="center"/>
    </xf>
    <xf numFmtId="0" fontId="1" fillId="12" borderId="1" xfId="0" applyFont="1" applyFill="1" applyBorder="1" applyAlignment="1">
      <alignment horizontal="center" vertical="center"/>
    </xf>
    <xf numFmtId="0" fontId="0" fillId="2" borderId="0" xfId="0" applyFill="1" applyAlignment="1">
      <alignment horizontal="center"/>
    </xf>
    <xf numFmtId="0" fontId="0" fillId="2" borderId="11" xfId="0" applyFill="1" applyBorder="1"/>
    <xf numFmtId="9" fontId="0" fillId="2" borderId="0" xfId="0" applyNumberFormat="1" applyFill="1"/>
    <xf numFmtId="164" fontId="0" fillId="2" borderId="0" xfId="0" applyNumberFormat="1" applyFill="1" applyAlignment="1">
      <alignment horizontal="center"/>
    </xf>
    <xf numFmtId="0" fontId="0" fillId="2" borderId="0" xfId="0" applyFill="1" applyAlignment="1">
      <alignment wrapText="1"/>
    </xf>
    <xf numFmtId="0" fontId="0" fillId="2" borderId="14" xfId="0" applyFill="1" applyBorder="1"/>
    <xf numFmtId="0" fontId="1" fillId="7" borderId="3" xfId="0" applyFont="1" applyFill="1" applyBorder="1" applyAlignment="1">
      <alignment horizontal="center"/>
    </xf>
    <xf numFmtId="0" fontId="0" fillId="3" borderId="0" xfId="0" applyFill="1"/>
    <xf numFmtId="0" fontId="0" fillId="0" borderId="0" xfId="0" applyAlignment="1">
      <alignment horizontal="right"/>
    </xf>
    <xf numFmtId="0" fontId="0" fillId="0" borderId="0" xfId="0" applyAlignment="1">
      <alignment horizontal="center"/>
    </xf>
    <xf numFmtId="167" fontId="1" fillId="0" borderId="15" xfId="0" applyNumberFormat="1" applyFont="1" applyBorder="1" applyAlignment="1">
      <alignment horizontal="center"/>
    </xf>
    <xf numFmtId="164" fontId="1" fillId="0" borderId="16" xfId="0" applyNumberFormat="1" applyFont="1" applyBorder="1" applyAlignment="1">
      <alignment horizontal="center"/>
    </xf>
    <xf numFmtId="0" fontId="1" fillId="0" borderId="16" xfId="0" applyFont="1" applyBorder="1" applyAlignment="1">
      <alignment horizontal="right"/>
    </xf>
    <xf numFmtId="0" fontId="1" fillId="0" borderId="16" xfId="0" applyFont="1" applyBorder="1" applyAlignment="1">
      <alignment horizontal="center"/>
    </xf>
    <xf numFmtId="0" fontId="1" fillId="0" borderId="17" xfId="0" applyFont="1" applyBorder="1" applyAlignment="1">
      <alignment horizontal="center"/>
    </xf>
    <xf numFmtId="167" fontId="1" fillId="0" borderId="18" xfId="0" applyNumberFormat="1" applyFont="1" applyBorder="1" applyAlignment="1">
      <alignment horizontal="center"/>
    </xf>
    <xf numFmtId="164" fontId="1" fillId="0" borderId="0" xfId="0" applyNumberFormat="1" applyFont="1" applyAlignment="1">
      <alignment horizontal="center"/>
    </xf>
    <xf numFmtId="0" fontId="1" fillId="0" borderId="0" xfId="0" applyFont="1" applyAlignment="1">
      <alignment horizontal="right"/>
    </xf>
    <xf numFmtId="0" fontId="1" fillId="0" borderId="19" xfId="0" applyFont="1" applyBorder="1" applyAlignment="1">
      <alignment horizontal="center"/>
    </xf>
    <xf numFmtId="0" fontId="1" fillId="3" borderId="19" xfId="0" applyFont="1" applyFill="1" applyBorder="1" applyAlignment="1">
      <alignment horizontal="center"/>
    </xf>
    <xf numFmtId="0" fontId="1" fillId="0" borderId="18" xfId="0" applyFont="1" applyBorder="1" applyAlignment="1">
      <alignment horizontal="center"/>
    </xf>
    <xf numFmtId="0" fontId="1" fillId="0" borderId="22" xfId="0" applyFont="1" applyBorder="1" applyAlignment="1">
      <alignment horizontal="center"/>
    </xf>
    <xf numFmtId="167" fontId="1" fillId="0" borderId="0" xfId="0" applyNumberFormat="1" applyFont="1" applyAlignment="1">
      <alignment horizontal="center"/>
    </xf>
    <xf numFmtId="167" fontId="1" fillId="0" borderId="16" xfId="0" applyNumberFormat="1" applyFont="1" applyBorder="1" applyAlignment="1">
      <alignment horizontal="center"/>
    </xf>
    <xf numFmtId="0" fontId="0" fillId="0" borderId="16" xfId="0" applyBorder="1"/>
    <xf numFmtId="0" fontId="0" fillId="0" borderId="17" xfId="0" applyBorder="1" applyAlignment="1">
      <alignment horizontal="center"/>
    </xf>
    <xf numFmtId="0" fontId="0" fillId="0" borderId="19" xfId="0" applyBorder="1" applyAlignment="1">
      <alignment horizontal="center"/>
    </xf>
    <xf numFmtId="0" fontId="0" fillId="0" borderId="18" xfId="0" applyBorder="1"/>
    <xf numFmtId="167" fontId="1" fillId="3" borderId="18" xfId="0" applyNumberFormat="1" applyFont="1" applyFill="1" applyBorder="1" applyAlignment="1">
      <alignment horizontal="center"/>
    </xf>
    <xf numFmtId="167" fontId="1" fillId="3" borderId="0" xfId="0" applyNumberFormat="1" applyFont="1" applyFill="1" applyAlignment="1">
      <alignment horizontal="center"/>
    </xf>
    <xf numFmtId="1" fontId="1" fillId="3" borderId="18" xfId="0" applyNumberFormat="1" applyFont="1" applyFill="1" applyBorder="1" applyAlignment="1">
      <alignment horizontal="center"/>
    </xf>
    <xf numFmtId="170" fontId="1" fillId="0" borderId="0" xfId="0" applyNumberFormat="1" applyFont="1"/>
    <xf numFmtId="0" fontId="0" fillId="0" borderId="0" xfId="0" applyAlignment="1">
      <alignment wrapText="1"/>
    </xf>
    <xf numFmtId="2" fontId="1" fillId="0" borderId="0" xfId="0" applyNumberFormat="1" applyFont="1"/>
    <xf numFmtId="2" fontId="0" fillId="0" borderId="0" xfId="0" applyNumberFormat="1"/>
    <xf numFmtId="0" fontId="0" fillId="0" borderId="20" xfId="0" applyBorder="1"/>
    <xf numFmtId="0" fontId="0" fillId="0" borderId="21" xfId="0" applyBorder="1" applyAlignment="1">
      <alignment horizontal="right"/>
    </xf>
    <xf numFmtId="0" fontId="0" fillId="0" borderId="21" xfId="0" applyBorder="1"/>
    <xf numFmtId="0" fontId="0" fillId="0" borderId="22" xfId="0" applyBorder="1" applyAlignment="1">
      <alignment horizontal="center"/>
    </xf>
    <xf numFmtId="0" fontId="0" fillId="7" borderId="0" xfId="0" applyFill="1"/>
    <xf numFmtId="0" fontId="0" fillId="7" borderId="0" xfId="0" applyFill="1" applyAlignment="1">
      <alignment wrapText="1"/>
    </xf>
    <xf numFmtId="2" fontId="0" fillId="7" borderId="0" xfId="0" applyNumberFormat="1" applyFill="1"/>
    <xf numFmtId="0" fontId="0" fillId="7" borderId="0" xfId="0" applyFill="1" applyAlignment="1">
      <alignment horizontal="right"/>
    </xf>
    <xf numFmtId="0" fontId="0" fillId="7" borderId="0" xfId="0" applyFill="1" applyAlignment="1">
      <alignment horizontal="center"/>
    </xf>
    <xf numFmtId="2" fontId="0" fillId="2" borderId="0" xfId="0" applyNumberFormat="1" applyFill="1"/>
    <xf numFmtId="0" fontId="0" fillId="2" borderId="0" xfId="0" applyFill="1" applyAlignment="1">
      <alignment horizontal="right"/>
    </xf>
    <xf numFmtId="172" fontId="22" fillId="2" borderId="0" xfId="1" applyFont="1" applyFill="1"/>
    <xf numFmtId="0" fontId="0" fillId="0" borderId="0" xfId="0" applyAlignment="1">
      <alignment textRotation="45"/>
    </xf>
    <xf numFmtId="0" fontId="0" fillId="3" borderId="0" xfId="0" applyFill="1" applyAlignment="1">
      <alignment textRotation="45"/>
    </xf>
    <xf numFmtId="0" fontId="1" fillId="3" borderId="0" xfId="0" applyFont="1" applyFill="1" applyAlignment="1">
      <alignment horizontal="center"/>
    </xf>
    <xf numFmtId="1" fontId="1" fillId="3" borderId="0" xfId="0" applyNumberFormat="1" applyFont="1" applyFill="1" applyAlignment="1">
      <alignment horizontal="center"/>
    </xf>
    <xf numFmtId="0" fontId="1" fillId="3" borderId="0" xfId="0" applyFont="1" applyFill="1" applyAlignment="1">
      <alignment horizontal="right"/>
    </xf>
    <xf numFmtId="2" fontId="1" fillId="0" borderId="0" xfId="0" applyNumberFormat="1" applyFont="1" applyAlignment="1">
      <alignment horizontal="center"/>
    </xf>
    <xf numFmtId="0" fontId="1" fillId="2" borderId="1" xfId="0" quotePrefix="1" applyFont="1" applyFill="1" applyBorder="1" applyAlignment="1">
      <alignment horizontal="center"/>
    </xf>
    <xf numFmtId="164" fontId="1" fillId="3" borderId="0" xfId="0" applyNumberFormat="1" applyFont="1" applyFill="1" applyAlignment="1">
      <alignment horizontal="center"/>
    </xf>
    <xf numFmtId="1" fontId="7" fillId="2" borderId="3" xfId="0" applyNumberFormat="1" applyFont="1" applyFill="1" applyBorder="1" applyAlignment="1">
      <alignment horizontal="center"/>
    </xf>
    <xf numFmtId="2" fontId="1" fillId="3" borderId="1" xfId="0" applyNumberFormat="1" applyFont="1" applyFill="1" applyBorder="1" applyAlignment="1">
      <alignment horizontal="center"/>
    </xf>
    <xf numFmtId="166" fontId="1" fillId="8" borderId="0" xfId="0" applyNumberFormat="1" applyFont="1" applyFill="1" applyAlignment="1">
      <alignment horizontal="center" vertical="center" wrapText="1"/>
    </xf>
    <xf numFmtId="166" fontId="1" fillId="8" borderId="11" xfId="0" applyNumberFormat="1" applyFont="1" applyFill="1" applyBorder="1" applyAlignment="1">
      <alignment horizontal="center" vertical="center" wrapText="1"/>
    </xf>
    <xf numFmtId="0" fontId="1" fillId="3" borderId="0" xfId="0" applyFont="1" applyFill="1"/>
    <xf numFmtId="2" fontId="1" fillId="3" borderId="0" xfId="0" applyNumberFormat="1" applyFont="1" applyFill="1" applyAlignment="1">
      <alignment horizontal="center"/>
    </xf>
    <xf numFmtId="0" fontId="1" fillId="3" borderId="11" xfId="0" applyFont="1" applyFill="1" applyBorder="1" applyAlignment="1">
      <alignment horizontal="right"/>
    </xf>
    <xf numFmtId="0" fontId="1" fillId="3" borderId="11" xfId="0" applyFont="1" applyFill="1" applyBorder="1" applyAlignment="1">
      <alignment horizontal="center"/>
    </xf>
    <xf numFmtId="2" fontId="1" fillId="3" borderId="11" xfId="0" applyNumberFormat="1" applyFont="1" applyFill="1" applyBorder="1" applyAlignment="1">
      <alignment horizontal="center"/>
    </xf>
    <xf numFmtId="0" fontId="1" fillId="3" borderId="3" xfId="0" applyFont="1" applyFill="1" applyBorder="1" applyAlignment="1">
      <alignment horizontal="center"/>
    </xf>
    <xf numFmtId="0" fontId="4" fillId="3" borderId="11" xfId="0" applyFont="1" applyFill="1" applyBorder="1" applyAlignment="1">
      <alignment horizontal="center"/>
    </xf>
    <xf numFmtId="1" fontId="1" fillId="3" borderId="11" xfId="0" applyNumberFormat="1" applyFont="1" applyFill="1" applyBorder="1" applyAlignment="1">
      <alignment horizontal="center"/>
    </xf>
    <xf numFmtId="2" fontId="1" fillId="3" borderId="3" xfId="0" applyNumberFormat="1" applyFont="1" applyFill="1" applyBorder="1" applyAlignment="1">
      <alignment horizontal="center"/>
    </xf>
    <xf numFmtId="1" fontId="1" fillId="3" borderId="3" xfId="0" applyNumberFormat="1" applyFont="1" applyFill="1" applyBorder="1" applyAlignment="1">
      <alignment horizontal="center"/>
    </xf>
    <xf numFmtId="0" fontId="1" fillId="2" borderId="11" xfId="0" quotePrefix="1" applyFont="1" applyFill="1" applyBorder="1" applyAlignment="1">
      <alignment horizontal="center"/>
    </xf>
    <xf numFmtId="164" fontId="1" fillId="3" borderId="3" xfId="0" applyNumberFormat="1" applyFont="1" applyFill="1" applyBorder="1" applyAlignment="1">
      <alignment horizontal="center"/>
    </xf>
    <xf numFmtId="164" fontId="1" fillId="2" borderId="0" xfId="0" applyNumberFormat="1" applyFont="1" applyFill="1" applyAlignment="1">
      <alignment horizontal="right"/>
    </xf>
    <xf numFmtId="2" fontId="1" fillId="2" borderId="0" xfId="0" applyNumberFormat="1" applyFont="1" applyFill="1" applyAlignment="1">
      <alignment horizontal="right"/>
    </xf>
    <xf numFmtId="2" fontId="1" fillId="3" borderId="0" xfId="0" applyNumberFormat="1" applyFont="1" applyFill="1"/>
    <xf numFmtId="1" fontId="13" fillId="3" borderId="0" xfId="0" applyNumberFormat="1" applyFont="1" applyFill="1" applyAlignment="1">
      <alignment horizontal="center"/>
    </xf>
    <xf numFmtId="169" fontId="1" fillId="3" borderId="0" xfId="0" applyNumberFormat="1" applyFont="1" applyFill="1"/>
    <xf numFmtId="2" fontId="1" fillId="9" borderId="0" xfId="0" applyNumberFormat="1" applyFont="1" applyFill="1"/>
    <xf numFmtId="0" fontId="1" fillId="7" borderId="1" xfId="0" applyFont="1" applyFill="1" applyBorder="1" applyAlignment="1">
      <alignment horizontal="center"/>
    </xf>
    <xf numFmtId="0" fontId="1" fillId="5" borderId="5" xfId="0" applyFont="1" applyFill="1" applyBorder="1" applyAlignment="1">
      <alignment horizontal="center"/>
    </xf>
    <xf numFmtId="0" fontId="1" fillId="5" borderId="6" xfId="0" applyFont="1" applyFill="1" applyBorder="1" applyAlignment="1">
      <alignment horizontal="center"/>
    </xf>
    <xf numFmtId="0" fontId="1" fillId="5" borderId="1" xfId="0" applyFont="1" applyFill="1" applyBorder="1" applyAlignment="1">
      <alignment horizontal="center"/>
    </xf>
    <xf numFmtId="0" fontId="1" fillId="6" borderId="2" xfId="0" applyFont="1" applyFill="1" applyBorder="1" applyAlignment="1">
      <alignment horizontal="center"/>
    </xf>
    <xf numFmtId="0" fontId="1" fillId="6" borderId="3" xfId="0" applyFont="1" applyFill="1" applyBorder="1" applyAlignment="1">
      <alignment horizontal="center"/>
    </xf>
    <xf numFmtId="0" fontId="1" fillId="6" borderId="4" xfId="0" applyFont="1" applyFill="1" applyBorder="1" applyAlignment="1">
      <alignment horizontal="center"/>
    </xf>
    <xf numFmtId="0" fontId="1" fillId="5" borderId="2" xfId="0" applyFont="1" applyFill="1" applyBorder="1" applyAlignment="1">
      <alignment horizontal="center"/>
    </xf>
    <xf numFmtId="0" fontId="1" fillId="5" borderId="3" xfId="0" applyFont="1" applyFill="1" applyBorder="1" applyAlignment="1">
      <alignment horizontal="center"/>
    </xf>
    <xf numFmtId="0" fontId="1" fillId="3" borderId="1" xfId="0" applyFont="1" applyFill="1" applyBorder="1" applyAlignment="1">
      <alignment horizontal="center"/>
    </xf>
    <xf numFmtId="0" fontId="1" fillId="2" borderId="1" xfId="0" applyFont="1" applyFill="1" applyBorder="1" applyAlignment="1">
      <alignment horizontal="center"/>
    </xf>
    <xf numFmtId="0" fontId="1" fillId="2" borderId="5" xfId="0" applyFont="1" applyFill="1" applyBorder="1" applyAlignment="1">
      <alignment horizontal="center"/>
    </xf>
    <xf numFmtId="0" fontId="1" fillId="2" borderId="6" xfId="0" applyFont="1" applyFill="1" applyBorder="1" applyAlignment="1">
      <alignment horizontal="center"/>
    </xf>
    <xf numFmtId="0" fontId="1" fillId="5" borderId="1" xfId="0" applyFont="1" applyFill="1" applyBorder="1" applyAlignment="1">
      <alignment horizontal="center" vertical="center"/>
    </xf>
    <xf numFmtId="0" fontId="1" fillId="10" borderId="0" xfId="0" applyFont="1" applyFill="1" applyAlignment="1">
      <alignment horizontal="left" wrapText="1"/>
    </xf>
    <xf numFmtId="0" fontId="1" fillId="2" borderId="14" xfId="0" applyFont="1" applyFill="1" applyBorder="1" applyAlignment="1">
      <alignment horizontal="center" vertical="center"/>
    </xf>
    <xf numFmtId="0" fontId="1" fillId="2" borderId="11" xfId="0" applyFont="1" applyFill="1" applyBorder="1" applyAlignment="1">
      <alignment horizontal="center" vertical="center"/>
    </xf>
    <xf numFmtId="0" fontId="1" fillId="7" borderId="14" xfId="0" applyFont="1" applyFill="1" applyBorder="1" applyAlignment="1">
      <alignment horizontal="center"/>
    </xf>
    <xf numFmtId="0" fontId="1" fillId="7" borderId="11" xfId="0" applyFont="1" applyFill="1" applyBorder="1" applyAlignment="1">
      <alignment horizontal="center"/>
    </xf>
    <xf numFmtId="0" fontId="0" fillId="14" borderId="0" xfId="0" applyFill="1" applyAlignment="1">
      <alignment horizontal="center"/>
    </xf>
    <xf numFmtId="0" fontId="1" fillId="8" borderId="0" xfId="0" applyFont="1" applyFill="1" applyAlignment="1">
      <alignment horizontal="center" vertical="center" wrapText="1"/>
    </xf>
    <xf numFmtId="0" fontId="1" fillId="8" borderId="0" xfId="0" applyFont="1" applyFill="1" applyAlignment="1">
      <alignment horizontal="center" vertical="center"/>
    </xf>
    <xf numFmtId="0" fontId="1" fillId="13" borderId="0" xfId="0" applyFont="1" applyFill="1" applyAlignment="1">
      <alignment horizontal="center" vertical="center" wrapText="1"/>
    </xf>
    <xf numFmtId="0" fontId="1" fillId="2" borderId="0" xfId="0" applyFont="1" applyFill="1" applyAlignment="1">
      <alignment horizontal="center"/>
    </xf>
    <xf numFmtId="0" fontId="1" fillId="12" borderId="1" xfId="0" applyFont="1" applyFill="1" applyBorder="1" applyAlignment="1">
      <alignment horizontal="center"/>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7" fillId="4" borderId="0" xfId="0" applyFont="1" applyFill="1" applyAlignment="1">
      <alignment horizontal="center"/>
    </xf>
    <xf numFmtId="0" fontId="7" fillId="4" borderId="9" xfId="0" applyFont="1" applyFill="1" applyBorder="1" applyAlignment="1">
      <alignment horizontal="center"/>
    </xf>
    <xf numFmtId="0" fontId="7" fillId="4" borderId="14" xfId="0" applyFont="1" applyFill="1" applyBorder="1" applyAlignment="1">
      <alignment horizontal="center"/>
    </xf>
    <xf numFmtId="0" fontId="7" fillId="4" borderId="10" xfId="0" applyFont="1" applyFill="1" applyBorder="1" applyAlignment="1">
      <alignment horizontal="center"/>
    </xf>
    <xf numFmtId="0" fontId="1" fillId="8" borderId="3" xfId="0" applyFont="1" applyFill="1" applyBorder="1" applyAlignment="1">
      <alignment horizontal="center"/>
    </xf>
    <xf numFmtId="0" fontId="1" fillId="8" borderId="10" xfId="0" applyFont="1" applyFill="1" applyBorder="1" applyAlignment="1">
      <alignment horizontal="center" vertical="center"/>
    </xf>
    <xf numFmtId="0" fontId="1" fillId="8" borderId="8" xfId="0" applyFont="1" applyFill="1" applyBorder="1" applyAlignment="1">
      <alignment horizontal="center" vertical="center"/>
    </xf>
    <xf numFmtId="0" fontId="4" fillId="0" borderId="22" xfId="0" applyFont="1" applyBorder="1" applyAlignment="1">
      <alignment horizontal="center"/>
    </xf>
    <xf numFmtId="0" fontId="4" fillId="0" borderId="21" xfId="0" applyFont="1" applyBorder="1" applyAlignment="1">
      <alignment horizontal="center"/>
    </xf>
    <xf numFmtId="0" fontId="4" fillId="0" borderId="20" xfId="0" applyFont="1" applyBorder="1" applyAlignment="1">
      <alignment horizontal="center"/>
    </xf>
    <xf numFmtId="0" fontId="1" fillId="0" borderId="0" xfId="0" applyFont="1" applyAlignment="1">
      <alignment horizontal="center"/>
    </xf>
    <xf numFmtId="2" fontId="1" fillId="2" borderId="0" xfId="0" applyNumberFormat="1" applyFont="1" applyFill="1" applyAlignment="1">
      <alignment horizontal="right"/>
    </xf>
    <xf numFmtId="0" fontId="4" fillId="8" borderId="0" xfId="0" applyFont="1" applyFill="1" applyAlignment="1">
      <alignment horizontal="center"/>
    </xf>
    <xf numFmtId="0" fontId="1" fillId="2" borderId="11" xfId="0" applyFont="1" applyFill="1" applyBorder="1" applyAlignment="1">
      <alignment horizontal="right"/>
    </xf>
    <xf numFmtId="0" fontId="1" fillId="2" borderId="0" xfId="0" applyFont="1" applyFill="1" applyAlignment="1">
      <alignment horizontal="right"/>
    </xf>
    <xf numFmtId="164" fontId="1" fillId="2" borderId="0" xfId="0" applyNumberFormat="1" applyFont="1" applyFill="1" applyAlignment="1">
      <alignment horizontal="right"/>
    </xf>
    <xf numFmtId="0" fontId="1" fillId="2" borderId="14" xfId="0" applyFont="1" applyFill="1" applyBorder="1" applyAlignment="1">
      <alignment horizontal="center"/>
    </xf>
    <xf numFmtId="0" fontId="1" fillId="2" borderId="11" xfId="0" applyFont="1" applyFill="1" applyBorder="1" applyAlignment="1">
      <alignment horizontal="center"/>
    </xf>
    <xf numFmtId="0" fontId="1" fillId="8" borderId="0" xfId="0" applyFont="1" applyFill="1" applyAlignment="1">
      <alignment horizontal="center"/>
    </xf>
  </cellXfs>
  <cellStyles count="2">
    <cellStyle name="Normal" xfId="0" builtinId="0"/>
    <cellStyle name="Normal 107" xfId="1" xr:uid="{E20A98F9-355B-400A-A483-920BEDCC3E01}"/>
  </cellStyles>
  <dxfs count="2">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475C1047-A7F1-4672-A218-095DB9DC402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'ETCA data with syn. feed'!$B$14:$B$32</c:f>
              <c:strCache>
                <c:ptCount val="19"/>
                <c:pt idx="0">
                  <c:v>#RN1</c:v>
                </c:pt>
                <c:pt idx="1">
                  <c:v>#RN2</c:v>
                </c:pt>
                <c:pt idx="2">
                  <c:v>#RN3</c:v>
                </c:pt>
                <c:pt idx="3">
                  <c:v>#RN4</c:v>
                </c:pt>
                <c:pt idx="4">
                  <c:v>#RN5</c:v>
                </c:pt>
                <c:pt idx="5">
                  <c:v>#RN6</c:v>
                </c:pt>
                <c:pt idx="6">
                  <c:v>#RN7</c:v>
                </c:pt>
                <c:pt idx="7">
                  <c:v>#RN8</c:v>
                </c:pt>
                <c:pt idx="8">
                  <c:v>#RN9</c:v>
                </c:pt>
                <c:pt idx="9">
                  <c:v>#RN10</c:v>
                </c:pt>
                <c:pt idx="10">
                  <c:v>#RN11</c:v>
                </c:pt>
                <c:pt idx="11">
                  <c:v>#RN12</c:v>
                </c:pt>
                <c:pt idx="12">
                  <c:v>#RN13</c:v>
                </c:pt>
                <c:pt idx="13">
                  <c:v>#RN14</c:v>
                </c:pt>
                <c:pt idx="14">
                  <c:v>#RN15</c:v>
                </c:pt>
                <c:pt idx="15">
                  <c:v>#RN16</c:v>
                </c:pt>
                <c:pt idx="16">
                  <c:v>#RN17</c:v>
                </c:pt>
                <c:pt idx="17">
                  <c:v>#RN18</c:v>
                </c:pt>
                <c:pt idx="18">
                  <c:v>#RN19</c:v>
                </c:pt>
              </c:strCache>
            </c:strRef>
          </c:xVal>
          <c:yVal>
            <c:numRef>
              <c:f>'ETCA data with syn. feed'!$K$14:$K$32</c:f>
              <c:numCache>
                <c:formatCode>General</c:formatCode>
                <c:ptCount val="19"/>
                <c:pt idx="0">
                  <c:v>32.53</c:v>
                </c:pt>
                <c:pt idx="1">
                  <c:v>11.26</c:v>
                </c:pt>
                <c:pt idx="2">
                  <c:v>16.22</c:v>
                </c:pt>
                <c:pt idx="3">
                  <c:v>45.45</c:v>
                </c:pt>
                <c:pt idx="4">
                  <c:v>8.2899999999999991</c:v>
                </c:pt>
                <c:pt idx="6">
                  <c:v>12.1</c:v>
                </c:pt>
                <c:pt idx="7">
                  <c:v>17.079999999999998</c:v>
                </c:pt>
                <c:pt idx="8">
                  <c:v>46.11</c:v>
                </c:pt>
                <c:pt idx="9">
                  <c:v>10.63</c:v>
                </c:pt>
                <c:pt idx="10">
                  <c:v>4.3899999999999997</c:v>
                </c:pt>
                <c:pt idx="11">
                  <c:v>16.88</c:v>
                </c:pt>
                <c:pt idx="12">
                  <c:v>45.52</c:v>
                </c:pt>
                <c:pt idx="13">
                  <c:v>39.58</c:v>
                </c:pt>
                <c:pt idx="14">
                  <c:v>15.71</c:v>
                </c:pt>
                <c:pt idx="15">
                  <c:v>21.52</c:v>
                </c:pt>
                <c:pt idx="16">
                  <c:v>53.54</c:v>
                </c:pt>
                <c:pt idx="17">
                  <c:v>12.02</c:v>
                </c:pt>
                <c:pt idx="18">
                  <c:v>4.8899999999999997</c:v>
                </c:pt>
              </c:numCache>
            </c:numRef>
          </c:yVal>
          <c:smooth val="1"/>
          <c:extLst>
            <c:ext xmlns:c16="http://schemas.microsoft.com/office/drawing/2014/chart" uri="{C3380CC4-5D6E-409C-BE32-E72D297353CC}">
              <c16:uniqueId val="{00000000-662C-4179-BCC0-5CB022FD0750}"/>
            </c:ext>
          </c:extLst>
        </c:ser>
        <c:dLbls>
          <c:showLegendKey val="0"/>
          <c:showVal val="0"/>
          <c:showCatName val="0"/>
          <c:showSerName val="0"/>
          <c:showPercent val="0"/>
          <c:showBubbleSize val="0"/>
        </c:dLbls>
        <c:axId val="1243081824"/>
        <c:axId val="374317744"/>
      </c:scatterChart>
      <c:valAx>
        <c:axId val="1243081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317744"/>
        <c:crosses val="autoZero"/>
        <c:crossBetween val="midCat"/>
      </c:valAx>
      <c:valAx>
        <c:axId val="37431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308182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'ETCA data with syn. feed'!$E$39:$E$41</c:f>
              <c:numCache>
                <c:formatCode>General</c:formatCode>
                <c:ptCount val="3"/>
                <c:pt idx="0">
                  <c:v>2.1598272138228943E-3</c:v>
                </c:pt>
                <c:pt idx="1">
                  <c:v>2.1141649048625794E-3</c:v>
                </c:pt>
                <c:pt idx="2">
                  <c:v>2.070393374741201E-3</c:v>
                </c:pt>
              </c:numCache>
            </c:numRef>
          </c:xVal>
          <c:yVal>
            <c:numRef>
              <c:f>'ETCA data with syn. feed'!$F$39:$F$41</c:f>
              <c:numCache>
                <c:formatCode>0.000</c:formatCode>
                <c:ptCount val="3"/>
                <c:pt idx="0">
                  <c:v>0.14557393102405289</c:v>
                </c:pt>
                <c:pt idx="1">
                  <c:v>0.20095249804097429</c:v>
                </c:pt>
                <c:pt idx="2">
                  <c:v>0.29770559156019316</c:v>
                </c:pt>
              </c:numCache>
            </c:numRef>
          </c:yVal>
          <c:smooth val="1"/>
          <c:extLst>
            <c:ext xmlns:c16="http://schemas.microsoft.com/office/drawing/2014/chart" uri="{C3380CC4-5D6E-409C-BE32-E72D297353CC}">
              <c16:uniqueId val="{00000001-2DA6-45EE-9762-A1B487A044D4}"/>
            </c:ext>
          </c:extLst>
        </c:ser>
        <c:dLbls>
          <c:showLegendKey val="0"/>
          <c:showVal val="0"/>
          <c:showCatName val="0"/>
          <c:showSerName val="0"/>
          <c:showPercent val="0"/>
          <c:showBubbleSize val="0"/>
        </c:dLbls>
        <c:axId val="1535928768"/>
        <c:axId val="1535930208"/>
      </c:scatterChart>
      <c:valAx>
        <c:axId val="1535928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1/T,</a:t>
                </a:r>
                <a:r>
                  <a:rPr lang="en-IN" baseline="0"/>
                  <a:t> (1/K)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30208"/>
        <c:crosses val="autoZero"/>
        <c:crossBetween val="midCat"/>
      </c:valAx>
      <c:valAx>
        <c:axId val="153593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ln</a:t>
                </a:r>
                <a:r>
                  <a:rPr lang="en-IN" baseline="0"/>
                  <a:t> (k)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2876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1"/>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'ETCA data with syn. feed'!$E$41:$E$43</c:f>
              <c:numCache>
                <c:formatCode>General</c:formatCode>
                <c:ptCount val="3"/>
                <c:pt idx="0">
                  <c:v>2.070393374741201E-3</c:v>
                </c:pt>
                <c:pt idx="1">
                  <c:v>2.0283975659229209E-3</c:v>
                </c:pt>
                <c:pt idx="2">
                  <c:v>1.9880715705765406E-3</c:v>
                </c:pt>
              </c:numCache>
            </c:numRef>
          </c:xVal>
          <c:yVal>
            <c:numRef>
              <c:f>'ETCA data with syn. feed'!$F$41:$F$43</c:f>
              <c:numCache>
                <c:formatCode>0.000</c:formatCode>
                <c:ptCount val="3"/>
                <c:pt idx="0">
                  <c:v>0.29770559156019316</c:v>
                </c:pt>
                <c:pt idx="1">
                  <c:v>0.6619168980434007</c:v>
                </c:pt>
                <c:pt idx="2">
                  <c:v>1.019490452137414</c:v>
                </c:pt>
              </c:numCache>
            </c:numRef>
          </c:yVal>
          <c:smooth val="1"/>
          <c:extLst>
            <c:ext xmlns:c16="http://schemas.microsoft.com/office/drawing/2014/chart" uri="{C3380CC4-5D6E-409C-BE32-E72D297353CC}">
              <c16:uniqueId val="{00000001-CD24-4EB6-B8E1-FF50CC3A9BFE}"/>
            </c:ext>
          </c:extLst>
        </c:ser>
        <c:dLbls>
          <c:showLegendKey val="0"/>
          <c:showVal val="0"/>
          <c:showCatName val="0"/>
          <c:showSerName val="0"/>
          <c:showPercent val="0"/>
          <c:showBubbleSize val="0"/>
        </c:dLbls>
        <c:axId val="1535928768"/>
        <c:axId val="1535930208"/>
      </c:scatterChart>
      <c:valAx>
        <c:axId val="1535928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1/T,</a:t>
                </a:r>
                <a:r>
                  <a:rPr lang="en-IN" baseline="0"/>
                  <a:t> (1/K)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30208"/>
        <c:crosses val="autoZero"/>
        <c:crossBetween val="midCat"/>
      </c:valAx>
      <c:valAx>
        <c:axId val="153593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ln</a:t>
                </a:r>
                <a:r>
                  <a:rPr lang="en-IN" baseline="0"/>
                  <a:t> (k)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2876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1"/>
          <c:order val="0"/>
          <c:tx>
            <c:v>ETCA</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'ETCA data with syn. feed'!$E$39:$E$43</c:f>
              <c:numCache>
                <c:formatCode>General</c:formatCode>
                <c:ptCount val="5"/>
                <c:pt idx="0">
                  <c:v>2.1598272138228943E-3</c:v>
                </c:pt>
                <c:pt idx="1">
                  <c:v>2.1141649048625794E-3</c:v>
                </c:pt>
                <c:pt idx="2">
                  <c:v>2.070393374741201E-3</c:v>
                </c:pt>
                <c:pt idx="3">
                  <c:v>2.0283975659229209E-3</c:v>
                </c:pt>
                <c:pt idx="4">
                  <c:v>1.9880715705765406E-3</c:v>
                </c:pt>
              </c:numCache>
            </c:numRef>
          </c:xVal>
          <c:yVal>
            <c:numRef>
              <c:f>'ETCA data with syn. feed'!$F$39:$F$43</c:f>
              <c:numCache>
                <c:formatCode>0.000</c:formatCode>
                <c:ptCount val="5"/>
                <c:pt idx="0">
                  <c:v>0.14557393102405289</c:v>
                </c:pt>
                <c:pt idx="1">
                  <c:v>0.20095249804097429</c:v>
                </c:pt>
                <c:pt idx="2">
                  <c:v>0.29770559156019316</c:v>
                </c:pt>
                <c:pt idx="3">
                  <c:v>0.6619168980434007</c:v>
                </c:pt>
                <c:pt idx="4">
                  <c:v>1.019490452137414</c:v>
                </c:pt>
              </c:numCache>
            </c:numRef>
          </c:yVal>
          <c:smooth val="1"/>
          <c:extLst>
            <c:ext xmlns:c16="http://schemas.microsoft.com/office/drawing/2014/chart" uri="{C3380CC4-5D6E-409C-BE32-E72D297353CC}">
              <c16:uniqueId val="{00000000-A788-40DC-B2EC-B4510ED329FA}"/>
            </c:ext>
          </c:extLst>
        </c:ser>
        <c:ser>
          <c:idx val="0"/>
          <c:order val="1"/>
          <c:tx>
            <c:v>STCB</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'ETCA data with syn. feed'!$E$62:$E$66</c:f>
              <c:numCache>
                <c:formatCode>General</c:formatCode>
                <c:ptCount val="5"/>
                <c:pt idx="0">
                  <c:v>2.1598272138228943E-3</c:v>
                </c:pt>
                <c:pt idx="1">
                  <c:v>2.1141649048625794E-3</c:v>
                </c:pt>
                <c:pt idx="2">
                  <c:v>2.070393374741201E-3</c:v>
                </c:pt>
                <c:pt idx="3">
                  <c:v>2.0283975659229209E-3</c:v>
                </c:pt>
                <c:pt idx="4">
                  <c:v>1.9880715705765406E-3</c:v>
                </c:pt>
              </c:numCache>
            </c:numRef>
          </c:xVal>
          <c:yVal>
            <c:numRef>
              <c:f>'ETCA data with syn. feed'!$G$62:$G$66</c:f>
              <c:numCache>
                <c:formatCode>0.000</c:formatCode>
                <c:ptCount val="5"/>
                <c:pt idx="0">
                  <c:v>8.2639610240496389E-2</c:v>
                </c:pt>
                <c:pt idx="1">
                  <c:v>0.15475368536511344</c:v>
                </c:pt>
                <c:pt idx="2">
                  <c:v>0.31505900806269455</c:v>
                </c:pt>
                <c:pt idx="3">
                  <c:v>0.6479129677641341</c:v>
                </c:pt>
                <c:pt idx="4">
                  <c:v>1.268437941587095</c:v>
                </c:pt>
              </c:numCache>
            </c:numRef>
          </c:yVal>
          <c:smooth val="1"/>
          <c:extLst>
            <c:ext xmlns:c16="http://schemas.microsoft.com/office/drawing/2014/chart" uri="{C3380CC4-5D6E-409C-BE32-E72D297353CC}">
              <c16:uniqueId val="{00000001-A788-40DC-B2EC-B4510ED329FA}"/>
            </c:ext>
          </c:extLst>
        </c:ser>
        <c:dLbls>
          <c:showLegendKey val="0"/>
          <c:showVal val="0"/>
          <c:showCatName val="0"/>
          <c:showSerName val="0"/>
          <c:showPercent val="0"/>
          <c:showBubbleSize val="0"/>
        </c:dLbls>
        <c:axId val="1535928768"/>
        <c:axId val="1535930208"/>
      </c:scatterChart>
      <c:valAx>
        <c:axId val="15359287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1/T,</a:t>
                </a:r>
                <a:r>
                  <a:rPr lang="en-IN" baseline="0"/>
                  <a:t> (1/K)</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30208"/>
        <c:crosses val="autoZero"/>
        <c:crossBetween val="midCat"/>
      </c:valAx>
      <c:valAx>
        <c:axId val="15359302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ln</a:t>
                </a:r>
                <a:r>
                  <a:rPr lang="en-IN" baseline="0"/>
                  <a:t> (k)</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535928768"/>
        <c:crosses val="autoZero"/>
        <c:crossBetween val="midCat"/>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Drying (N2)</c:v>
          </c:tx>
          <c:spPr>
            <a:ln w="19050" cap="rnd">
              <a:solidFill>
                <a:schemeClr val="accent1"/>
              </a:solidFill>
              <a:round/>
            </a:ln>
            <a:effectLst/>
          </c:spPr>
          <c:marker>
            <c:symbol val="none"/>
          </c:marker>
          <c:xVal>
            <c:numRef>
              <c:f>'Catalyst Activation Step'!$N$2:$N$11</c:f>
              <c:numCache>
                <c:formatCode>General</c:formatCode>
                <c:ptCount val="10"/>
                <c:pt idx="0">
                  <c:v>0</c:v>
                </c:pt>
                <c:pt idx="1">
                  <c:v>1</c:v>
                </c:pt>
                <c:pt idx="2" formatCode="0">
                  <c:v>6.166666666666667</c:v>
                </c:pt>
                <c:pt idx="3" formatCode="0">
                  <c:v>6.666666666666667</c:v>
                </c:pt>
                <c:pt idx="4" formatCode="0">
                  <c:v>8</c:v>
                </c:pt>
                <c:pt idx="5" formatCode="0">
                  <c:v>8.5</c:v>
                </c:pt>
                <c:pt idx="6" formatCode="0">
                  <c:v>9.8333333333333339</c:v>
                </c:pt>
                <c:pt idx="7" formatCode="0">
                  <c:v>11.833333333333334</c:v>
                </c:pt>
                <c:pt idx="8" formatCode="0">
                  <c:v>15.166666666666668</c:v>
                </c:pt>
                <c:pt idx="9" formatCode="0">
                  <c:v>15.666666666666668</c:v>
                </c:pt>
              </c:numCache>
            </c:numRef>
          </c:xVal>
          <c:yVal>
            <c:numRef>
              <c:f>'Catalyst Activation Step'!$O$2:$O$11</c:f>
              <c:numCache>
                <c:formatCode>General</c:formatCode>
                <c:ptCount val="10"/>
                <c:pt idx="0">
                  <c:v>25</c:v>
                </c:pt>
                <c:pt idx="1">
                  <c:v>25</c:v>
                </c:pt>
                <c:pt idx="2">
                  <c:v>180</c:v>
                </c:pt>
                <c:pt idx="3">
                  <c:v>180</c:v>
                </c:pt>
                <c:pt idx="4">
                  <c:v>220</c:v>
                </c:pt>
                <c:pt idx="5">
                  <c:v>220</c:v>
                </c:pt>
                <c:pt idx="6">
                  <c:v>260</c:v>
                </c:pt>
                <c:pt idx="7">
                  <c:v>260</c:v>
                </c:pt>
                <c:pt idx="8">
                  <c:v>160</c:v>
                </c:pt>
                <c:pt idx="9">
                  <c:v>160</c:v>
                </c:pt>
              </c:numCache>
            </c:numRef>
          </c:yVal>
          <c:smooth val="0"/>
          <c:extLst>
            <c:ext xmlns:c16="http://schemas.microsoft.com/office/drawing/2014/chart" uri="{C3380CC4-5D6E-409C-BE32-E72D297353CC}">
              <c16:uniqueId val="{00000000-58CE-481C-A7D8-4410BF742923}"/>
            </c:ext>
          </c:extLst>
        </c:ser>
        <c:ser>
          <c:idx val="1"/>
          <c:order val="1"/>
          <c:tx>
            <c:v>Reduction (H2)</c:v>
          </c:tx>
          <c:spPr>
            <a:ln w="19050" cap="rnd">
              <a:solidFill>
                <a:schemeClr val="accent2"/>
              </a:solidFill>
              <a:round/>
            </a:ln>
            <a:effectLst/>
          </c:spPr>
          <c:marker>
            <c:symbol val="none"/>
          </c:marker>
          <c:xVal>
            <c:numRef>
              <c:f>'Catalyst Activation Step'!$N$12:$N$18</c:f>
              <c:numCache>
                <c:formatCode>0</c:formatCode>
                <c:ptCount val="7"/>
                <c:pt idx="0">
                  <c:v>15.666666666666668</c:v>
                </c:pt>
                <c:pt idx="1">
                  <c:v>16.666666666666668</c:v>
                </c:pt>
                <c:pt idx="2">
                  <c:v>20</c:v>
                </c:pt>
                <c:pt idx="3">
                  <c:v>26</c:v>
                </c:pt>
                <c:pt idx="4">
                  <c:v>28.333333333333332</c:v>
                </c:pt>
                <c:pt idx="5">
                  <c:v>28.833333333333332</c:v>
                </c:pt>
                <c:pt idx="6">
                  <c:v>28.833333333333332</c:v>
                </c:pt>
              </c:numCache>
            </c:numRef>
          </c:xVal>
          <c:yVal>
            <c:numRef>
              <c:f>'Catalyst Activation Step'!$O$12:$O$18</c:f>
              <c:numCache>
                <c:formatCode>General</c:formatCode>
                <c:ptCount val="7"/>
                <c:pt idx="0">
                  <c:v>160</c:v>
                </c:pt>
                <c:pt idx="1">
                  <c:v>160</c:v>
                </c:pt>
                <c:pt idx="2">
                  <c:v>260</c:v>
                </c:pt>
                <c:pt idx="3">
                  <c:v>260</c:v>
                </c:pt>
                <c:pt idx="4">
                  <c:v>190</c:v>
                </c:pt>
                <c:pt idx="5">
                  <c:v>190</c:v>
                </c:pt>
                <c:pt idx="6">
                  <c:v>190</c:v>
                </c:pt>
              </c:numCache>
            </c:numRef>
          </c:yVal>
          <c:smooth val="0"/>
          <c:extLst>
            <c:ext xmlns:c16="http://schemas.microsoft.com/office/drawing/2014/chart" uri="{C3380CC4-5D6E-409C-BE32-E72D297353CC}">
              <c16:uniqueId val="{00000001-58CE-481C-A7D8-4410BF742923}"/>
            </c:ext>
          </c:extLst>
        </c:ser>
        <c:ser>
          <c:idx val="2"/>
          <c:order val="2"/>
          <c:tx>
            <c:v>Feed Cut-in</c:v>
          </c:tx>
          <c:spPr>
            <a:ln w="19050" cap="rnd">
              <a:solidFill>
                <a:schemeClr val="accent3"/>
              </a:solidFill>
              <a:round/>
            </a:ln>
            <a:effectLst/>
          </c:spPr>
          <c:marker>
            <c:symbol val="none"/>
          </c:marker>
          <c:xVal>
            <c:numRef>
              <c:f>'Catalyst Activation Step'!$N$18:$N$19</c:f>
              <c:numCache>
                <c:formatCode>0</c:formatCode>
                <c:ptCount val="2"/>
                <c:pt idx="0">
                  <c:v>28.833333333333332</c:v>
                </c:pt>
                <c:pt idx="1">
                  <c:v>29.833333333333332</c:v>
                </c:pt>
              </c:numCache>
            </c:numRef>
          </c:xVal>
          <c:yVal>
            <c:numRef>
              <c:f>'Catalyst Activation Step'!$O$18:$O$19</c:f>
              <c:numCache>
                <c:formatCode>General</c:formatCode>
                <c:ptCount val="2"/>
                <c:pt idx="0">
                  <c:v>190</c:v>
                </c:pt>
                <c:pt idx="1">
                  <c:v>190</c:v>
                </c:pt>
              </c:numCache>
            </c:numRef>
          </c:yVal>
          <c:smooth val="0"/>
          <c:extLst>
            <c:ext xmlns:c16="http://schemas.microsoft.com/office/drawing/2014/chart" uri="{C3380CC4-5D6E-409C-BE32-E72D297353CC}">
              <c16:uniqueId val="{00000002-58CE-481C-A7D8-4410BF742923}"/>
            </c:ext>
          </c:extLst>
        </c:ser>
        <c:dLbls>
          <c:showLegendKey val="0"/>
          <c:showVal val="0"/>
          <c:showCatName val="0"/>
          <c:showSerName val="0"/>
          <c:showPercent val="0"/>
          <c:showBubbleSize val="0"/>
        </c:dLbls>
        <c:axId val="1606069199"/>
        <c:axId val="1606068239"/>
      </c:scatterChart>
      <c:scatterChart>
        <c:scatterStyle val="lineMarker"/>
        <c:varyColors val="0"/>
        <c:ser>
          <c:idx val="3"/>
          <c:order val="3"/>
          <c:tx>
            <c:v>Pressure</c:v>
          </c:tx>
          <c:spPr>
            <a:ln w="19050" cap="rnd">
              <a:solidFill>
                <a:schemeClr val="tx1">
                  <a:lumMod val="65000"/>
                  <a:lumOff val="35000"/>
                </a:schemeClr>
              </a:solidFill>
              <a:prstDash val="sysDash"/>
              <a:round/>
            </a:ln>
            <a:effectLst/>
          </c:spPr>
          <c:marker>
            <c:symbol val="none"/>
          </c:marker>
          <c:xVal>
            <c:numRef>
              <c:f>'Catalyst Activation Step'!$N$2:$N$19</c:f>
              <c:numCache>
                <c:formatCode>General</c:formatCode>
                <c:ptCount val="18"/>
                <c:pt idx="0">
                  <c:v>0</c:v>
                </c:pt>
                <c:pt idx="1">
                  <c:v>1</c:v>
                </c:pt>
                <c:pt idx="2" formatCode="0">
                  <c:v>6.166666666666667</c:v>
                </c:pt>
                <c:pt idx="3" formatCode="0">
                  <c:v>6.666666666666667</c:v>
                </c:pt>
                <c:pt idx="4" formatCode="0">
                  <c:v>8</c:v>
                </c:pt>
                <c:pt idx="5" formatCode="0">
                  <c:v>8.5</c:v>
                </c:pt>
                <c:pt idx="6" formatCode="0">
                  <c:v>9.8333333333333339</c:v>
                </c:pt>
                <c:pt idx="7" formatCode="0">
                  <c:v>11.833333333333334</c:v>
                </c:pt>
                <c:pt idx="8" formatCode="0">
                  <c:v>15.166666666666668</c:v>
                </c:pt>
                <c:pt idx="9" formatCode="0">
                  <c:v>15.666666666666668</c:v>
                </c:pt>
                <c:pt idx="10" formatCode="0">
                  <c:v>15.666666666666668</c:v>
                </c:pt>
                <c:pt idx="11" formatCode="0">
                  <c:v>16.666666666666668</c:v>
                </c:pt>
                <c:pt idx="12" formatCode="0">
                  <c:v>20</c:v>
                </c:pt>
                <c:pt idx="13" formatCode="0">
                  <c:v>26</c:v>
                </c:pt>
                <c:pt idx="14" formatCode="0">
                  <c:v>28.333333333333332</c:v>
                </c:pt>
                <c:pt idx="15" formatCode="0">
                  <c:v>28.833333333333332</c:v>
                </c:pt>
                <c:pt idx="16" formatCode="0">
                  <c:v>28.833333333333332</c:v>
                </c:pt>
                <c:pt idx="17" formatCode="0">
                  <c:v>29.833333333333332</c:v>
                </c:pt>
              </c:numCache>
            </c:numRef>
          </c:xVal>
          <c:yVal>
            <c:numRef>
              <c:f>'Catalyst Activation Step'!$P$2:$P$19</c:f>
              <c:numCache>
                <c:formatCode>General</c:formatCode>
                <c:ptCount val="18"/>
                <c:pt idx="0">
                  <c:v>15</c:v>
                </c:pt>
                <c:pt idx="1">
                  <c:v>15</c:v>
                </c:pt>
                <c:pt idx="2">
                  <c:v>15</c:v>
                </c:pt>
                <c:pt idx="3">
                  <c:v>15</c:v>
                </c:pt>
                <c:pt idx="4">
                  <c:v>15</c:v>
                </c:pt>
                <c:pt idx="5">
                  <c:v>15</c:v>
                </c:pt>
                <c:pt idx="6">
                  <c:v>15</c:v>
                </c:pt>
                <c:pt idx="7">
                  <c:v>15</c:v>
                </c:pt>
                <c:pt idx="8">
                  <c:v>15</c:v>
                </c:pt>
                <c:pt idx="9">
                  <c:v>15</c:v>
                </c:pt>
                <c:pt idx="10">
                  <c:v>25</c:v>
                </c:pt>
                <c:pt idx="11">
                  <c:v>25</c:v>
                </c:pt>
                <c:pt idx="12">
                  <c:v>25</c:v>
                </c:pt>
                <c:pt idx="13">
                  <c:v>25</c:v>
                </c:pt>
                <c:pt idx="14">
                  <c:v>25</c:v>
                </c:pt>
                <c:pt idx="15">
                  <c:v>25</c:v>
                </c:pt>
                <c:pt idx="16">
                  <c:v>25</c:v>
                </c:pt>
                <c:pt idx="17">
                  <c:v>25</c:v>
                </c:pt>
              </c:numCache>
            </c:numRef>
          </c:yVal>
          <c:smooth val="0"/>
          <c:extLst>
            <c:ext xmlns:c16="http://schemas.microsoft.com/office/drawing/2014/chart" uri="{C3380CC4-5D6E-409C-BE32-E72D297353CC}">
              <c16:uniqueId val="{00000003-58CE-481C-A7D8-4410BF742923}"/>
            </c:ext>
          </c:extLst>
        </c:ser>
        <c:dLbls>
          <c:showLegendKey val="0"/>
          <c:showVal val="0"/>
          <c:showCatName val="0"/>
          <c:showSerName val="0"/>
          <c:showPercent val="0"/>
          <c:showBubbleSize val="0"/>
        </c:dLbls>
        <c:axId val="1695796688"/>
        <c:axId val="1690713552"/>
      </c:scatterChart>
      <c:valAx>
        <c:axId val="1606069199"/>
        <c:scaling>
          <c:orientation val="minMax"/>
        </c:scaling>
        <c:delete val="0"/>
        <c:axPos val="b"/>
        <c:majorGridlines>
          <c:spPr>
            <a:ln w="3175" cap="flat" cmpd="sng" algn="ctr">
              <a:solidFill>
                <a:schemeClr val="tx1">
                  <a:lumMod val="15000"/>
                  <a:lumOff val="85000"/>
                </a:schemeClr>
              </a:solidFill>
              <a:prstDash val="sysDot"/>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Time,</a:t>
                </a:r>
                <a:r>
                  <a:rPr lang="en-IN" baseline="0">
                    <a:latin typeface="Aptos" panose="020B0004020202020204" pitchFamily="34" charset="0"/>
                  </a:rPr>
                  <a:t> hrs</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06068239"/>
        <c:crosses val="autoZero"/>
        <c:crossBetween val="midCat"/>
        <c:majorUnit val="2"/>
      </c:valAx>
      <c:valAx>
        <c:axId val="1606068239"/>
        <c:scaling>
          <c:orientation val="minMax"/>
          <c:max val="300"/>
        </c:scaling>
        <c:delete val="0"/>
        <c:axPos val="l"/>
        <c:majorGridlines>
          <c:spPr>
            <a:ln w="3175" cap="flat" cmpd="sng" algn="ctr">
              <a:solidFill>
                <a:schemeClr val="tx1">
                  <a:lumMod val="15000"/>
                  <a:lumOff val="85000"/>
                </a:schemeClr>
              </a:solidFill>
              <a:prstDash val="sysDot"/>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Temperature,</a:t>
                </a:r>
                <a:r>
                  <a:rPr lang="en-IN" baseline="0">
                    <a:latin typeface="Aptos" panose="020B0004020202020204" pitchFamily="34" charset="0"/>
                  </a:rPr>
                  <a:t> </a:t>
                </a:r>
                <a:r>
                  <a:rPr lang="en-IN" baseline="30000">
                    <a:latin typeface="Aptos" panose="020B0004020202020204" pitchFamily="34" charset="0"/>
                  </a:rPr>
                  <a:t>o</a:t>
                </a:r>
                <a:r>
                  <a:rPr lang="en-IN" baseline="0">
                    <a:latin typeface="Aptos" panose="020B0004020202020204" pitchFamily="34" charset="0"/>
                  </a:rPr>
                  <a:t>C</a:t>
                </a:r>
                <a:endParaRPr lang="en-IN">
                  <a:latin typeface="Aptos" panose="020B0004020202020204" pitchFamily="34" charset="0"/>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06069199"/>
        <c:crosses val="autoZero"/>
        <c:crossBetween val="midCat"/>
        <c:majorUnit val="25"/>
      </c:valAx>
      <c:valAx>
        <c:axId val="1690713552"/>
        <c:scaling>
          <c:orientation val="minMax"/>
          <c:max val="50"/>
          <c:min val="10"/>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Pressure, barg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695796688"/>
        <c:crosses val="max"/>
        <c:crossBetween val="midCat"/>
      </c:valAx>
      <c:valAx>
        <c:axId val="1695796688"/>
        <c:scaling>
          <c:orientation val="minMax"/>
        </c:scaling>
        <c:delete val="1"/>
        <c:axPos val="b"/>
        <c:numFmt formatCode="General" sourceLinked="1"/>
        <c:majorTickMark val="out"/>
        <c:minorTickMark val="none"/>
        <c:tickLblPos val="nextTo"/>
        <c:crossAx val="1690713552"/>
        <c:crosses val="autoZero"/>
        <c:crossBetween val="midCat"/>
      </c:valAx>
      <c:spPr>
        <a:noFill/>
        <a:ln>
          <a:solidFill>
            <a:schemeClr val="bg2">
              <a:lumMod val="75000"/>
            </a:schemeClr>
          </a:solidFill>
        </a:ln>
        <a:effectLst/>
      </c:spPr>
    </c:plotArea>
    <c:legend>
      <c:legendPos val="t"/>
      <c:layout>
        <c:manualLayout>
          <c:xMode val="edge"/>
          <c:yMode val="edge"/>
          <c:x val="0.140381641845848"/>
          <c:y val="2.7777777777777776E-2"/>
          <c:w val="0.74122125467608302"/>
          <c:h val="7.81255468066491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R1</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Callibration'!$C$6:$C$9</c:f>
              <c:numCache>
                <c:formatCode>General</c:formatCode>
                <c:ptCount val="4"/>
                <c:pt idx="0">
                  <c:v>1000</c:v>
                </c:pt>
                <c:pt idx="1">
                  <c:v>2000</c:v>
                </c:pt>
                <c:pt idx="2">
                  <c:v>2500</c:v>
                </c:pt>
                <c:pt idx="3">
                  <c:v>3000</c:v>
                </c:pt>
              </c:numCache>
            </c:numRef>
          </c:xVal>
          <c:yVal>
            <c:numRef>
              <c:f>'N2 FLOW Callibration'!$R$6:$R$9</c:f>
              <c:numCache>
                <c:formatCode>0</c:formatCode>
                <c:ptCount val="4"/>
                <c:pt idx="0">
                  <c:v>1295.5690909090906</c:v>
                </c:pt>
                <c:pt idx="1">
                  <c:v>2565.0872727272726</c:v>
                </c:pt>
                <c:pt idx="2">
                  <c:v>3199.8109090909093</c:v>
                </c:pt>
                <c:pt idx="3">
                  <c:v>3822.5836363636363</c:v>
                </c:pt>
              </c:numCache>
            </c:numRef>
          </c:yVal>
          <c:smooth val="0"/>
          <c:extLst>
            <c:ext xmlns:c16="http://schemas.microsoft.com/office/drawing/2014/chart" uri="{C3380CC4-5D6E-409C-BE32-E72D297353CC}">
              <c16:uniqueId val="{00000000-F0C5-4F24-B32F-25FB88CB015B}"/>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r>
                  <a:rPr lang="en-IN" sz="1050">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R2</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Callibration'!$C$11:$C$14</c:f>
              <c:numCache>
                <c:formatCode>General</c:formatCode>
                <c:ptCount val="4"/>
                <c:pt idx="0">
                  <c:v>1000</c:v>
                </c:pt>
                <c:pt idx="1">
                  <c:v>2000</c:v>
                </c:pt>
                <c:pt idx="2">
                  <c:v>2500</c:v>
                </c:pt>
                <c:pt idx="3">
                  <c:v>3000</c:v>
                </c:pt>
              </c:numCache>
            </c:numRef>
          </c:xVal>
          <c:yVal>
            <c:numRef>
              <c:f>'N2 FLOW Callibration'!$R$11:$R$14</c:f>
              <c:numCache>
                <c:formatCode>0</c:formatCode>
                <c:ptCount val="4"/>
                <c:pt idx="0">
                  <c:v>1344.3927272727271</c:v>
                </c:pt>
                <c:pt idx="1">
                  <c:v>2605.3472727272729</c:v>
                </c:pt>
                <c:pt idx="2">
                  <c:v>3235.909090909091</c:v>
                </c:pt>
                <c:pt idx="3">
                  <c:v>3866.656363636363</c:v>
                </c:pt>
              </c:numCache>
            </c:numRef>
          </c:yVal>
          <c:smooth val="0"/>
          <c:extLst>
            <c:ext xmlns:c16="http://schemas.microsoft.com/office/drawing/2014/chart" uri="{C3380CC4-5D6E-409C-BE32-E72D297353CC}">
              <c16:uniqueId val="{00000000-0DD3-4D5E-B343-4143904596A4}"/>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R3</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Callibration'!$C$16:$C$19</c:f>
              <c:numCache>
                <c:formatCode>General</c:formatCode>
                <c:ptCount val="4"/>
                <c:pt idx="0">
                  <c:v>1000</c:v>
                </c:pt>
                <c:pt idx="1">
                  <c:v>2000</c:v>
                </c:pt>
                <c:pt idx="2">
                  <c:v>2500</c:v>
                </c:pt>
                <c:pt idx="3">
                  <c:v>3000</c:v>
                </c:pt>
              </c:numCache>
            </c:numRef>
          </c:xVal>
          <c:yVal>
            <c:numRef>
              <c:f>'N2 FLOW Callibration'!$R$16:$R$19</c:f>
              <c:numCache>
                <c:formatCode>0</c:formatCode>
                <c:ptCount val="4"/>
                <c:pt idx="0">
                  <c:v>1314.3</c:v>
                </c:pt>
                <c:pt idx="1">
                  <c:v>2567.7054545454544</c:v>
                </c:pt>
                <c:pt idx="2">
                  <c:v>3207.9600000000005</c:v>
                </c:pt>
                <c:pt idx="3">
                  <c:v>3824.9672727272714</c:v>
                </c:pt>
              </c:numCache>
            </c:numRef>
          </c:yVal>
          <c:smooth val="0"/>
          <c:extLst>
            <c:ext xmlns:c16="http://schemas.microsoft.com/office/drawing/2014/chart" uri="{C3380CC4-5D6E-409C-BE32-E72D297353CC}">
              <c16:uniqueId val="{00000000-2ADE-4377-BB41-BA527B51EE78}"/>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R4</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Callibration'!$C$21:$C$24</c:f>
              <c:numCache>
                <c:formatCode>General</c:formatCode>
                <c:ptCount val="4"/>
                <c:pt idx="0">
                  <c:v>1000</c:v>
                </c:pt>
                <c:pt idx="1">
                  <c:v>2000</c:v>
                </c:pt>
                <c:pt idx="2">
                  <c:v>2500</c:v>
                </c:pt>
                <c:pt idx="3">
                  <c:v>3000</c:v>
                </c:pt>
              </c:numCache>
            </c:numRef>
          </c:xVal>
          <c:yVal>
            <c:numRef>
              <c:f>'N2 FLOW Callibration'!$R$21:$R$24</c:f>
              <c:numCache>
                <c:formatCode>0</c:formatCode>
                <c:ptCount val="4"/>
                <c:pt idx="0">
                  <c:v>1314.4963636363639</c:v>
                </c:pt>
                <c:pt idx="1">
                  <c:v>2577.3981818181819</c:v>
                </c:pt>
                <c:pt idx="2">
                  <c:v>3221.0509090909086</c:v>
                </c:pt>
                <c:pt idx="3">
                  <c:v>3854.3672727272719</c:v>
                </c:pt>
              </c:numCache>
            </c:numRef>
          </c:yVal>
          <c:smooth val="0"/>
          <c:extLst>
            <c:ext xmlns:c16="http://schemas.microsoft.com/office/drawing/2014/chart" uri="{C3380CC4-5D6E-409C-BE32-E72D297353CC}">
              <c16:uniqueId val="{00000000-40F5-4D91-AD1B-2994D06179F8}"/>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R5</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Callibration'!$C$28:$C$31</c:f>
              <c:numCache>
                <c:formatCode>General</c:formatCode>
                <c:ptCount val="4"/>
                <c:pt idx="0">
                  <c:v>1000</c:v>
                </c:pt>
                <c:pt idx="1">
                  <c:v>2000</c:v>
                </c:pt>
                <c:pt idx="2">
                  <c:v>2500</c:v>
                </c:pt>
                <c:pt idx="3">
                  <c:v>3000</c:v>
                </c:pt>
              </c:numCache>
            </c:numRef>
          </c:xVal>
          <c:yVal>
            <c:numRef>
              <c:f>'N2 FLOW Callibration'!$R$28:$R$31</c:f>
              <c:numCache>
                <c:formatCode>0</c:formatCode>
                <c:ptCount val="4"/>
                <c:pt idx="0">
                  <c:v>1304.58</c:v>
                </c:pt>
                <c:pt idx="1">
                  <c:v>2557.9799999999991</c:v>
                </c:pt>
                <c:pt idx="2">
                  <c:v>3186.5181818181813</c:v>
                </c:pt>
                <c:pt idx="3">
                  <c:v>3808.2872727272729</c:v>
                </c:pt>
              </c:numCache>
            </c:numRef>
          </c:yVal>
          <c:smooth val="0"/>
          <c:extLst>
            <c:ext xmlns:c16="http://schemas.microsoft.com/office/drawing/2014/chart" uri="{C3380CC4-5D6E-409C-BE32-E72D297353CC}">
              <c16:uniqueId val="{00000000-D8EF-46E4-96F1-0CE7149679E8}"/>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R6</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Callibration'!$C$33:$C$36</c:f>
              <c:numCache>
                <c:formatCode>General</c:formatCode>
                <c:ptCount val="4"/>
                <c:pt idx="0">
                  <c:v>1000</c:v>
                </c:pt>
                <c:pt idx="1">
                  <c:v>2000</c:v>
                </c:pt>
                <c:pt idx="2">
                  <c:v>2500</c:v>
                </c:pt>
                <c:pt idx="3">
                  <c:v>3000</c:v>
                </c:pt>
              </c:numCache>
            </c:numRef>
          </c:xVal>
          <c:yVal>
            <c:numRef>
              <c:f>'N2 FLOW Callibration'!$R$33:$R$36</c:f>
              <c:numCache>
                <c:formatCode>0</c:formatCode>
                <c:ptCount val="4"/>
                <c:pt idx="0">
                  <c:v>1282.2927272727272</c:v>
                </c:pt>
                <c:pt idx="1">
                  <c:v>2534.7381818181821</c:v>
                </c:pt>
                <c:pt idx="2">
                  <c:v>3167.7272727272734</c:v>
                </c:pt>
                <c:pt idx="3">
                  <c:v>3783.3054545454543</c:v>
                </c:pt>
              </c:numCache>
            </c:numRef>
          </c:yVal>
          <c:smooth val="0"/>
          <c:extLst>
            <c:ext xmlns:c16="http://schemas.microsoft.com/office/drawing/2014/chart" uri="{C3380CC4-5D6E-409C-BE32-E72D297353CC}">
              <c16:uniqueId val="{00000000-6C0C-4C5F-8A45-A29DFC44BE49}"/>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R7</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Callibration'!$C$38:$C$41</c:f>
              <c:numCache>
                <c:formatCode>General</c:formatCode>
                <c:ptCount val="4"/>
                <c:pt idx="0">
                  <c:v>1000</c:v>
                </c:pt>
                <c:pt idx="1">
                  <c:v>2000</c:v>
                </c:pt>
                <c:pt idx="2">
                  <c:v>2500</c:v>
                </c:pt>
                <c:pt idx="3">
                  <c:v>3000</c:v>
                </c:pt>
              </c:numCache>
            </c:numRef>
          </c:xVal>
          <c:yVal>
            <c:numRef>
              <c:f>'N2 FLOW Callibration'!$R$38:$R$41</c:f>
              <c:numCache>
                <c:formatCode>0</c:formatCode>
                <c:ptCount val="4"/>
                <c:pt idx="0">
                  <c:v>1291.630909090909</c:v>
                </c:pt>
                <c:pt idx="1">
                  <c:v>2544.8509090909092</c:v>
                </c:pt>
                <c:pt idx="2">
                  <c:v>3169.5054545454545</c:v>
                </c:pt>
                <c:pt idx="3">
                  <c:v>3800.0236363636359</c:v>
                </c:pt>
              </c:numCache>
            </c:numRef>
          </c:yVal>
          <c:smooth val="0"/>
          <c:extLst>
            <c:ext xmlns:c16="http://schemas.microsoft.com/office/drawing/2014/chart" uri="{C3380CC4-5D6E-409C-BE32-E72D297353CC}">
              <c16:uniqueId val="{00000000-31A8-44DB-B35F-9C445CDFEDE7}"/>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Aptos" panose="020B0004020202020204" pitchFamily="34" charset="0"/>
              <a:ea typeface="+mn-ea"/>
              <a:cs typeface="+mn-cs"/>
            </a:defRPr>
          </a:pPr>
          <a:endParaRPr lang="en-US"/>
        </a:p>
      </c:txPr>
    </c:title>
    <c:autoTitleDeleted val="0"/>
    <c:plotArea>
      <c:layout/>
      <c:scatterChart>
        <c:scatterStyle val="lineMarker"/>
        <c:varyColors val="0"/>
        <c:ser>
          <c:idx val="0"/>
          <c:order val="0"/>
          <c:tx>
            <c:v>R8</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1"/>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'N2 FLOW Callibration'!$C$43:$C$46</c:f>
              <c:numCache>
                <c:formatCode>General</c:formatCode>
                <c:ptCount val="4"/>
                <c:pt idx="0">
                  <c:v>1000</c:v>
                </c:pt>
                <c:pt idx="1">
                  <c:v>2000</c:v>
                </c:pt>
                <c:pt idx="2">
                  <c:v>2500</c:v>
                </c:pt>
                <c:pt idx="3">
                  <c:v>3000</c:v>
                </c:pt>
              </c:numCache>
            </c:numRef>
          </c:xVal>
          <c:yVal>
            <c:numRef>
              <c:f>'N2 FLOW Callibration'!$R$43:$R$46</c:f>
              <c:numCache>
                <c:formatCode>0</c:formatCode>
                <c:ptCount val="4"/>
                <c:pt idx="0">
                  <c:v>1265.6836363636362</c:v>
                </c:pt>
                <c:pt idx="1">
                  <c:v>2521.5769090909093</c:v>
                </c:pt>
                <c:pt idx="2">
                  <c:v>3148.3963636363633</c:v>
                </c:pt>
                <c:pt idx="3">
                  <c:v>3777.758181818182</c:v>
                </c:pt>
              </c:numCache>
            </c:numRef>
          </c:yVal>
          <c:smooth val="0"/>
          <c:extLst>
            <c:ext xmlns:c16="http://schemas.microsoft.com/office/drawing/2014/chart" uri="{C3380CC4-5D6E-409C-BE32-E72D297353CC}">
              <c16:uniqueId val="{00000000-CC26-49FF-B995-E10AB86B7964}"/>
            </c:ext>
          </c:extLst>
        </c:ser>
        <c:dLbls>
          <c:showLegendKey val="0"/>
          <c:showVal val="0"/>
          <c:showCatName val="0"/>
          <c:showSerName val="0"/>
          <c:showPercent val="0"/>
          <c:showBubbleSize val="0"/>
        </c:dLbls>
        <c:axId val="1073620671"/>
        <c:axId val="1073623551"/>
      </c:scatterChart>
      <c:valAx>
        <c:axId val="10736206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PV,</a:t>
                </a:r>
                <a:r>
                  <a:rPr lang="en-IN" baseline="0">
                    <a:latin typeface="Aptos" panose="020B0004020202020204" pitchFamily="34" charset="0"/>
                  </a:rPr>
                  <a:t> ml/hr</a:t>
                </a:r>
                <a:endParaRPr lang="en-IN">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3551"/>
        <c:crosses val="autoZero"/>
        <c:crossBetween val="midCat"/>
      </c:valAx>
      <c:valAx>
        <c:axId val="1073623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latin typeface="Aptos" panose="020B0004020202020204" pitchFamily="34" charset="0"/>
                  </a:rPr>
                  <a:t>Defender, ml/hr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7362067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2"/>
            <c:dispRSqr val="0"/>
            <c:dispEq val="0"/>
          </c:trendline>
          <c:xVal>
            <c:numRef>
              <c:f>'GC Calibration Data'!$K$4:$K$7</c:f>
              <c:numCache>
                <c:formatCode>General</c:formatCode>
                <c:ptCount val="4"/>
                <c:pt idx="0">
                  <c:v>19.77</c:v>
                </c:pt>
                <c:pt idx="1">
                  <c:v>39.869999999999997</c:v>
                </c:pt>
                <c:pt idx="2">
                  <c:v>59.76</c:v>
                </c:pt>
                <c:pt idx="3">
                  <c:v>79.569999999999993</c:v>
                </c:pt>
              </c:numCache>
            </c:numRef>
          </c:xVal>
          <c:yVal>
            <c:numRef>
              <c:f>'GC Calibration Data'!$M$4:$M$7</c:f>
              <c:numCache>
                <c:formatCode>0.000000000</c:formatCode>
                <c:ptCount val="4"/>
                <c:pt idx="0">
                  <c:v>4.3390999999999997E-6</c:v>
                </c:pt>
                <c:pt idx="1">
                  <c:v>4.4182299999999999E-6</c:v>
                </c:pt>
                <c:pt idx="2">
                  <c:v>4.4981799999999999E-6</c:v>
                </c:pt>
                <c:pt idx="3">
                  <c:v>4.5427599999999997E-6</c:v>
                </c:pt>
              </c:numCache>
            </c:numRef>
          </c:yVal>
          <c:smooth val="0"/>
          <c:extLst>
            <c:ext xmlns:c16="http://schemas.microsoft.com/office/drawing/2014/chart" uri="{C3380CC4-5D6E-409C-BE32-E72D297353CC}">
              <c16:uniqueId val="{00000001-1B18-4B9C-80B8-A77361A5DF09}"/>
            </c:ext>
          </c:extLst>
        </c:ser>
        <c:dLbls>
          <c:showLegendKey val="0"/>
          <c:showVal val="0"/>
          <c:showCatName val="0"/>
          <c:showSerName val="0"/>
          <c:showPercent val="0"/>
          <c:showBubbleSize val="0"/>
        </c:dLbls>
        <c:axId val="1210218496"/>
        <c:axId val="1210217056"/>
      </c:scatterChart>
      <c:valAx>
        <c:axId val="121021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H2 Concentration,</a:t>
                </a:r>
                <a:r>
                  <a:rPr lang="en-IN" baseline="0"/>
                  <a:t> vol%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17056"/>
        <c:crosses val="autoZero"/>
        <c:crossBetween val="midCat"/>
      </c:valAx>
      <c:valAx>
        <c:axId val="121021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Response Factor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1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'GC Calibration Data'!$H$4:$H$7</c:f>
              <c:numCache>
                <c:formatCode>General</c:formatCode>
                <c:ptCount val="4"/>
                <c:pt idx="0">
                  <c:v>80.23</c:v>
                </c:pt>
                <c:pt idx="1">
                  <c:v>60.13</c:v>
                </c:pt>
                <c:pt idx="2">
                  <c:v>40.24</c:v>
                </c:pt>
                <c:pt idx="3">
                  <c:v>20.43</c:v>
                </c:pt>
              </c:numCache>
            </c:numRef>
          </c:xVal>
          <c:yVal>
            <c:numRef>
              <c:f>'GC Calibration Data'!$J$4:$J$7</c:f>
              <c:numCache>
                <c:formatCode>0.0000000000</c:formatCode>
                <c:ptCount val="4"/>
                <c:pt idx="0">
                  <c:v>1.8131700000000001E-7</c:v>
                </c:pt>
                <c:pt idx="1">
                  <c:v>1.8009099999999999E-7</c:v>
                </c:pt>
                <c:pt idx="2">
                  <c:v>1.7604899999999999E-7</c:v>
                </c:pt>
                <c:pt idx="3">
                  <c:v>1.6383899999999999E-7</c:v>
                </c:pt>
              </c:numCache>
            </c:numRef>
          </c:yVal>
          <c:smooth val="0"/>
          <c:extLst>
            <c:ext xmlns:c16="http://schemas.microsoft.com/office/drawing/2014/chart" uri="{C3380CC4-5D6E-409C-BE32-E72D297353CC}">
              <c16:uniqueId val="{00000001-AE8A-48FA-B18C-C131F18CD45E}"/>
            </c:ext>
          </c:extLst>
        </c:ser>
        <c:dLbls>
          <c:showLegendKey val="0"/>
          <c:showVal val="0"/>
          <c:showCatName val="0"/>
          <c:showSerName val="0"/>
          <c:showPercent val="0"/>
          <c:showBubbleSize val="0"/>
        </c:dLbls>
        <c:axId val="1210218496"/>
        <c:axId val="1210217056"/>
      </c:scatterChart>
      <c:valAx>
        <c:axId val="1210218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N2 Concentration,</a:t>
                </a:r>
                <a:r>
                  <a:rPr lang="en-IN" baseline="0"/>
                  <a:t> vol% </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17056"/>
        <c:crosses val="autoZero"/>
        <c:crossBetween val="midCat"/>
      </c:valAx>
      <c:valAx>
        <c:axId val="12102170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Response Factor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0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02184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yVal>
          <c:smooth val="0"/>
          <c:extLst>
            <c:ext xmlns:c16="http://schemas.microsoft.com/office/drawing/2014/chart" uri="{C3380CC4-5D6E-409C-BE32-E72D297353CC}">
              <c16:uniqueId val="{00000002-EA33-4CA4-901F-A140981C4A69}"/>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yVal>
          <c:smooth val="0"/>
          <c:extLst>
            <c:ext xmlns:c16="http://schemas.microsoft.com/office/drawing/2014/chart" uri="{C3380CC4-5D6E-409C-BE32-E72D297353CC}">
              <c16:uniqueId val="{00000003-EA33-4CA4-901F-A140981C4A69}"/>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ETCA'!$AD$51:$AI$51</c:f>
              <c:numCache>
                <c:formatCode>0</c:formatCode>
                <c:ptCount val="6"/>
                <c:pt idx="0">
                  <c:v>4.369625272434325</c:v>
                </c:pt>
                <c:pt idx="1">
                  <c:v>11.702978790063549</c:v>
                </c:pt>
                <c:pt idx="2">
                  <c:v>22.611352364194982</c:v>
                </c:pt>
                <c:pt idx="3">
                  <c:v>44.736948727827823</c:v>
                </c:pt>
                <c:pt idx="4">
                  <c:v>65.544110373969801</c:v>
                </c:pt>
                <c:pt idx="5">
                  <c:v>73.394673621446586</c:v>
                </c:pt>
              </c:numCache>
            </c:numRef>
          </c:yVal>
          <c:smooth val="0"/>
          <c:extLst>
            <c:ext xmlns:c16="http://schemas.microsoft.com/office/drawing/2014/chart" uri="{C3380CC4-5D6E-409C-BE32-E72D297353CC}">
              <c16:uniqueId val="{00000004-EA33-4CA4-901F-A140981C4A69}"/>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yVal>
          <c:smooth val="0"/>
          <c:extLst>
            <c:ext xmlns:c16="http://schemas.microsoft.com/office/drawing/2014/chart" uri="{C3380CC4-5D6E-409C-BE32-E72D297353CC}">
              <c16:uniqueId val="{00000005-EA33-4CA4-901F-A140981C4A69}"/>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n-C6 conversion,</a:t>
                </a:r>
                <a:r>
                  <a:rPr lang="en-IN" sz="1100" baseline="0">
                    <a:solidFill>
                      <a:sysClr val="windowText" lastClr="000000"/>
                    </a:solidFill>
                  </a:rPr>
                  <a:t>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ETCA'!$O$52:$T$52</c:f>
              <c:numCache>
                <c:formatCode>0</c:formatCode>
                <c:ptCount val="6"/>
                <c:pt idx="0">
                  <c:v>12.382128145429752</c:v>
                </c:pt>
                <c:pt idx="1">
                  <c:v>22.867685273197534</c:v>
                </c:pt>
                <c:pt idx="2">
                  <c:v>43.13751062814152</c:v>
                </c:pt>
                <c:pt idx="3">
                  <c:v>68.176929529664051</c:v>
                </c:pt>
                <c:pt idx="4">
                  <c:v>85.127381038086142</c:v>
                </c:pt>
                <c:pt idx="5">
                  <c:v>93.303924357849652</c:v>
                </c:pt>
              </c:numCache>
            </c:numRef>
          </c:yVal>
          <c:smooth val="0"/>
          <c:extLst>
            <c:ext xmlns:c16="http://schemas.microsoft.com/office/drawing/2014/chart" uri="{C3380CC4-5D6E-409C-BE32-E72D297353CC}">
              <c16:uniqueId val="{00000000-15ED-42F4-8D64-C93D9176E0A4}"/>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ETCA'!$W$52:$AB$52</c:f>
              <c:numCache>
                <c:formatCode>0</c:formatCode>
                <c:ptCount val="6"/>
                <c:pt idx="0">
                  <c:v>12.184566052089775</c:v>
                </c:pt>
                <c:pt idx="1">
                  <c:v>20.412071517923085</c:v>
                </c:pt>
                <c:pt idx="2">
                  <c:v>40.543575783156392</c:v>
                </c:pt>
                <c:pt idx="3">
                  <c:v>66.053155483073823</c:v>
                </c:pt>
                <c:pt idx="4">
                  <c:v>86.450576840980148</c:v>
                </c:pt>
                <c:pt idx="5">
                  <c:v>92.850442054087253</c:v>
                </c:pt>
              </c:numCache>
            </c:numRef>
          </c:yVal>
          <c:smooth val="0"/>
          <c:extLst>
            <c:ext xmlns:c16="http://schemas.microsoft.com/office/drawing/2014/chart" uri="{C3380CC4-5D6E-409C-BE32-E72D297353CC}">
              <c16:uniqueId val="{00000001-15ED-42F4-8D64-C93D9176E0A4}"/>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ETCA'!$AD$52:$AI$52</c:f>
              <c:numCache>
                <c:formatCode>0</c:formatCode>
                <c:ptCount val="6"/>
                <c:pt idx="0">
                  <c:v>20.579488515501275</c:v>
                </c:pt>
                <c:pt idx="1">
                  <c:v>35.252642051610898</c:v>
                </c:pt>
                <c:pt idx="2">
                  <c:v>55.366607528690274</c:v>
                </c:pt>
                <c:pt idx="3">
                  <c:v>81.316017356226936</c:v>
                </c:pt>
                <c:pt idx="4">
                  <c:v>93.518211124356725</c:v>
                </c:pt>
                <c:pt idx="5">
                  <c:v>97.206321922466671</c:v>
                </c:pt>
              </c:numCache>
            </c:numRef>
          </c:yVal>
          <c:smooth val="0"/>
          <c:extLst>
            <c:ext xmlns:c16="http://schemas.microsoft.com/office/drawing/2014/chart" uri="{C3380CC4-5D6E-409C-BE32-E72D297353CC}">
              <c16:uniqueId val="{00000002-15ED-42F4-8D64-C93D9176E0A4}"/>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ETCA'!$C$52:$H$52</c:f>
              <c:numCache>
                <c:formatCode>0</c:formatCode>
                <c:ptCount val="6"/>
                <c:pt idx="0">
                  <c:v>18.707810993249755</c:v>
                </c:pt>
                <c:pt idx="1">
                  <c:v>25.554484088717452</c:v>
                </c:pt>
                <c:pt idx="2">
                  <c:v>38.572806171648978</c:v>
                </c:pt>
                <c:pt idx="3">
                  <c:v>64.513018322082942</c:v>
                </c:pt>
                <c:pt idx="4">
                  <c:v>81.967213114754102</c:v>
                </c:pt>
                <c:pt idx="5">
                  <c:v>89.488910318225649</c:v>
                </c:pt>
              </c:numCache>
            </c:numRef>
          </c:yVal>
          <c:smooth val="0"/>
          <c:extLst>
            <c:ext xmlns:c16="http://schemas.microsoft.com/office/drawing/2014/chart" uri="{C3380CC4-5D6E-409C-BE32-E72D297353CC}">
              <c16:uniqueId val="{00000003-15ED-42F4-8D64-C93D9176E0A4}"/>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n-C7 conversion,</a:t>
                </a:r>
                <a:r>
                  <a:rPr lang="en-IN" sz="1100" baseline="0">
                    <a:solidFill>
                      <a:sysClr val="windowText" lastClr="000000"/>
                    </a:solidFill>
                  </a:rPr>
                  <a:t>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ETCA'!$O$53:$T$53</c:f>
              <c:numCache>
                <c:formatCode>0</c:formatCode>
                <c:ptCount val="6"/>
                <c:pt idx="0">
                  <c:v>36.760482098877702</c:v>
                </c:pt>
                <c:pt idx="1">
                  <c:v>47.386466480632748</c:v>
                </c:pt>
                <c:pt idx="2">
                  <c:v>73.845964464416952</c:v>
                </c:pt>
                <c:pt idx="3">
                  <c:v>92.410394387102954</c:v>
                </c:pt>
                <c:pt idx="4">
                  <c:v>97.97629749822859</c:v>
                </c:pt>
                <c:pt idx="5">
                  <c:v>99.716847486334828</c:v>
                </c:pt>
              </c:numCache>
            </c:numRef>
          </c:yVal>
          <c:smooth val="0"/>
          <c:extLst>
            <c:ext xmlns:c16="http://schemas.microsoft.com/office/drawing/2014/chart" uri="{C3380CC4-5D6E-409C-BE32-E72D297353CC}">
              <c16:uniqueId val="{00000000-FF2A-4A1A-8DBF-C170C08FC8F5}"/>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ETCA'!$W$53:$AB$53</c:f>
              <c:numCache>
                <c:formatCode>0</c:formatCode>
                <c:ptCount val="6"/>
                <c:pt idx="0">
                  <c:v>38.765659855247158</c:v>
                </c:pt>
                <c:pt idx="1">
                  <c:v>42.662343168110652</c:v>
                </c:pt>
                <c:pt idx="2">
                  <c:v>70.767069974355906</c:v>
                </c:pt>
                <c:pt idx="3">
                  <c:v>90.952652037537803</c:v>
                </c:pt>
                <c:pt idx="4">
                  <c:v>98.739970118052568</c:v>
                </c:pt>
                <c:pt idx="5">
                  <c:v>99.699630103106969</c:v>
                </c:pt>
              </c:numCache>
            </c:numRef>
          </c:yVal>
          <c:smooth val="0"/>
          <c:extLst>
            <c:ext xmlns:c16="http://schemas.microsoft.com/office/drawing/2014/chart" uri="{C3380CC4-5D6E-409C-BE32-E72D297353CC}">
              <c16:uniqueId val="{00000001-FF2A-4A1A-8DBF-C170C08FC8F5}"/>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ETCA'!$AD$53:$AI$53</c:f>
              <c:numCache>
                <c:formatCode>0</c:formatCode>
                <c:ptCount val="6"/>
                <c:pt idx="0">
                  <c:v>52.167188225254037</c:v>
                </c:pt>
                <c:pt idx="1">
                  <c:v>64.884867549988911</c:v>
                </c:pt>
                <c:pt idx="2">
                  <c:v>83.468153735056163</c:v>
                </c:pt>
                <c:pt idx="3">
                  <c:v>97.452695616643808</c:v>
                </c:pt>
                <c:pt idx="4">
                  <c:v>99.716359201725894</c:v>
                </c:pt>
                <c:pt idx="5">
                  <c:v>99.907645196554526</c:v>
                </c:pt>
              </c:numCache>
            </c:numRef>
          </c:yVal>
          <c:smooth val="0"/>
          <c:extLst>
            <c:ext xmlns:c16="http://schemas.microsoft.com/office/drawing/2014/chart" uri="{C3380CC4-5D6E-409C-BE32-E72D297353CC}">
              <c16:uniqueId val="{00000002-FF2A-4A1A-8DBF-C170C08FC8F5}"/>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ETCA'!$C$53:$H$53</c:f>
              <c:numCache>
                <c:formatCode>0</c:formatCode>
                <c:ptCount val="6"/>
                <c:pt idx="0">
                  <c:v>36.753731343283583</c:v>
                </c:pt>
                <c:pt idx="1">
                  <c:v>50.373134328358205</c:v>
                </c:pt>
                <c:pt idx="2">
                  <c:v>71.082089552238813</c:v>
                </c:pt>
                <c:pt idx="3">
                  <c:v>91.977611940298516</c:v>
                </c:pt>
                <c:pt idx="4">
                  <c:v>97.014925373134318</c:v>
                </c:pt>
                <c:pt idx="5">
                  <c:v>100</c:v>
                </c:pt>
              </c:numCache>
            </c:numRef>
          </c:yVal>
          <c:smooth val="0"/>
          <c:extLst>
            <c:ext xmlns:c16="http://schemas.microsoft.com/office/drawing/2014/chart" uri="{C3380CC4-5D6E-409C-BE32-E72D297353CC}">
              <c16:uniqueId val="{00000003-FF2A-4A1A-8DBF-C170C08FC8F5}"/>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n-C8 conversion,</a:t>
                </a:r>
                <a:r>
                  <a:rPr lang="en-IN" sz="1100" baseline="0">
                    <a:solidFill>
                      <a:sysClr val="windowText" lastClr="000000"/>
                    </a:solidFill>
                  </a:rPr>
                  <a:t>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ETCA'!$O$47:$T$47</c:f>
              <c:numCache>
                <c:formatCode>0</c:formatCode>
                <c:ptCount val="6"/>
                <c:pt idx="0">
                  <c:v>164.45648332581311</c:v>
                </c:pt>
                <c:pt idx="1">
                  <c:v>103.58175711658137</c:v>
                </c:pt>
                <c:pt idx="2">
                  <c:v>99.714836776361381</c:v>
                </c:pt>
                <c:pt idx="3" formatCode="0.0">
                  <c:v>98.579689504168527</c:v>
                </c:pt>
                <c:pt idx="4" formatCode="0.0">
                  <c:v>97.953171057195121</c:v>
                </c:pt>
                <c:pt idx="5" formatCode="0.0">
                  <c:v>98.10002676344854</c:v>
                </c:pt>
              </c:numCache>
            </c:numRef>
          </c:yVal>
          <c:smooth val="0"/>
          <c:extLst>
            <c:ext xmlns:c16="http://schemas.microsoft.com/office/drawing/2014/chart" uri="{C3380CC4-5D6E-409C-BE32-E72D297353CC}">
              <c16:uniqueId val="{00000000-38CF-4876-8697-CE5E52B24287}"/>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ETCA'!$W$47:$AB$47</c:f>
              <c:numCache>
                <c:formatCode>0</c:formatCode>
                <c:ptCount val="6"/>
                <c:pt idx="0">
                  <c:v>206.66396171949731</c:v>
                </c:pt>
                <c:pt idx="1">
                  <c:v>104.56173567193275</c:v>
                </c:pt>
                <c:pt idx="2">
                  <c:v>99.663537911019006</c:v>
                </c:pt>
                <c:pt idx="3">
                  <c:v>98.185882999493373</c:v>
                </c:pt>
                <c:pt idx="4">
                  <c:v>98.391116587397903</c:v>
                </c:pt>
                <c:pt idx="5">
                  <c:v>97.401846226004352</c:v>
                </c:pt>
              </c:numCache>
            </c:numRef>
          </c:yVal>
          <c:smooth val="0"/>
          <c:extLst>
            <c:ext xmlns:c16="http://schemas.microsoft.com/office/drawing/2014/chart" uri="{C3380CC4-5D6E-409C-BE32-E72D297353CC}">
              <c16:uniqueId val="{00000001-38CF-4876-8697-CE5E52B24287}"/>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ETCA'!$AD$47:$AI$47</c:f>
              <c:numCache>
                <c:formatCode>0</c:formatCode>
                <c:ptCount val="6"/>
                <c:pt idx="0">
                  <c:v>136.34351279373556</c:v>
                </c:pt>
                <c:pt idx="1">
                  <c:v>100.79829009612445</c:v>
                </c:pt>
                <c:pt idx="2">
                  <c:v>99.282861363574995</c:v>
                </c:pt>
                <c:pt idx="3">
                  <c:v>98.583112374744644</c:v>
                </c:pt>
                <c:pt idx="4">
                  <c:v>98.714259556322446</c:v>
                </c:pt>
                <c:pt idx="5">
                  <c:v>97.961729607593583</c:v>
                </c:pt>
              </c:numCache>
            </c:numRef>
          </c:yVal>
          <c:smooth val="0"/>
          <c:extLst>
            <c:ext xmlns:c16="http://schemas.microsoft.com/office/drawing/2014/chart" uri="{C3380CC4-5D6E-409C-BE32-E72D297353CC}">
              <c16:uniqueId val="{00000002-38CF-4876-8697-CE5E52B24287}"/>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ETCA'!$C$47:$H$47</c:f>
              <c:numCache>
                <c:formatCode>0</c:formatCode>
                <c:ptCount val="6"/>
                <c:pt idx="0">
                  <c:v>67.857142857142819</c:v>
                </c:pt>
                <c:pt idx="1">
                  <c:v>74.725274725274687</c:v>
                </c:pt>
                <c:pt idx="2">
                  <c:v>89.71471471471466</c:v>
                </c:pt>
                <c:pt idx="3">
                  <c:v>86.251424230915291</c:v>
                </c:pt>
                <c:pt idx="4">
                  <c:v>96.094802046862341</c:v>
                </c:pt>
                <c:pt idx="5">
                  <c:v>97.564861174328627</c:v>
                </c:pt>
              </c:numCache>
            </c:numRef>
          </c:yVal>
          <c:smooth val="0"/>
          <c:extLst>
            <c:ext xmlns:c16="http://schemas.microsoft.com/office/drawing/2014/chart" uri="{C3380CC4-5D6E-409C-BE32-E72D297353CC}">
              <c16:uniqueId val="{00000003-38CF-4876-8697-CE5E52B24287}"/>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(i-C6),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ETCA'!$O$48:$T$48</c:f>
              <c:numCache>
                <c:formatCode>0</c:formatCode>
                <c:ptCount val="6"/>
                <c:pt idx="0">
                  <c:v>98.8524624416184</c:v>
                </c:pt>
                <c:pt idx="1">
                  <c:v>87.992100737139864</c:v>
                </c:pt>
                <c:pt idx="2">
                  <c:v>75.712567023517977</c:v>
                </c:pt>
                <c:pt idx="3">
                  <c:v>58.76580477778527</c:v>
                </c:pt>
                <c:pt idx="4">
                  <c:v>38.290833326649633</c:v>
                </c:pt>
                <c:pt idx="5">
                  <c:v>22.504452096428903</c:v>
                </c:pt>
              </c:numCache>
            </c:numRef>
          </c:yVal>
          <c:smooth val="0"/>
          <c:extLst>
            <c:ext xmlns:c16="http://schemas.microsoft.com/office/drawing/2014/chart" uri="{C3380CC4-5D6E-409C-BE32-E72D297353CC}">
              <c16:uniqueId val="{00000000-5BAC-4C46-9F0D-20256122C3AD}"/>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ETCA'!$W$48:$AB$48</c:f>
              <c:numCache>
                <c:formatCode>0</c:formatCode>
                <c:ptCount val="6"/>
                <c:pt idx="0">
                  <c:v>102.28577899573311</c:v>
                </c:pt>
                <c:pt idx="1">
                  <c:v>87.156926810433134</c:v>
                </c:pt>
                <c:pt idx="2">
                  <c:v>73.644764031144788</c:v>
                </c:pt>
                <c:pt idx="3">
                  <c:v>55.554483281566938</c:v>
                </c:pt>
                <c:pt idx="4">
                  <c:v>35.226611005996006</c:v>
                </c:pt>
                <c:pt idx="5">
                  <c:v>21.84097377997557</c:v>
                </c:pt>
              </c:numCache>
            </c:numRef>
          </c:yVal>
          <c:smooth val="0"/>
          <c:extLst>
            <c:ext xmlns:c16="http://schemas.microsoft.com/office/drawing/2014/chart" uri="{C3380CC4-5D6E-409C-BE32-E72D297353CC}">
              <c16:uniqueId val="{00000001-5BAC-4C46-9F0D-20256122C3AD}"/>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ETCA'!$AD$48:$AI$48</c:f>
              <c:numCache>
                <c:formatCode>0</c:formatCode>
                <c:ptCount val="6"/>
                <c:pt idx="0">
                  <c:v>91.697231227023792</c:v>
                </c:pt>
                <c:pt idx="1">
                  <c:v>83.292282475809372</c:v>
                </c:pt>
                <c:pt idx="2">
                  <c:v>69.923875094628528</c:v>
                </c:pt>
                <c:pt idx="3">
                  <c:v>46.726573666911747</c:v>
                </c:pt>
                <c:pt idx="4">
                  <c:v>23.593689169744817</c:v>
                </c:pt>
                <c:pt idx="5">
                  <c:v>11.357594010227571</c:v>
                </c:pt>
              </c:numCache>
            </c:numRef>
          </c:yVal>
          <c:smooth val="0"/>
          <c:extLst>
            <c:ext xmlns:c16="http://schemas.microsoft.com/office/drawing/2014/chart" uri="{C3380CC4-5D6E-409C-BE32-E72D297353CC}">
              <c16:uniqueId val="{00000002-5BAC-4C46-9F0D-20256122C3AD}"/>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ETCA'!$C$48:$H$48</c:f>
              <c:numCache>
                <c:formatCode>0</c:formatCode>
                <c:ptCount val="6"/>
                <c:pt idx="0">
                  <c:v>63.402061855670119</c:v>
                </c:pt>
                <c:pt idx="1">
                  <c:v>62.641509433962277</c:v>
                </c:pt>
                <c:pt idx="2">
                  <c:v>53.000000000000014</c:v>
                </c:pt>
                <c:pt idx="3">
                  <c:v>37.96711509715994</c:v>
                </c:pt>
                <c:pt idx="4">
                  <c:v>25.882352941176475</c:v>
                </c:pt>
                <c:pt idx="5">
                  <c:v>18.642241379310345</c:v>
                </c:pt>
              </c:numCache>
            </c:numRef>
          </c:yVal>
          <c:smooth val="0"/>
          <c:extLst>
            <c:ext xmlns:c16="http://schemas.microsoft.com/office/drawing/2014/chart" uri="{C3380CC4-5D6E-409C-BE32-E72D297353CC}">
              <c16:uniqueId val="{00000003-5BAC-4C46-9F0D-20256122C3AD}"/>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(i-C7),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ETCA'!$O$49:$T$49</c:f>
              <c:numCache>
                <c:formatCode>0</c:formatCode>
                <c:ptCount val="6"/>
                <c:pt idx="0">
                  <c:v>67.71349378461916</c:v>
                </c:pt>
                <c:pt idx="1">
                  <c:v>78.253268117259765</c:v>
                </c:pt>
                <c:pt idx="2">
                  <c:v>56.40330353511667</c:v>
                </c:pt>
                <c:pt idx="3">
                  <c:v>29.516115690496367</c:v>
                </c:pt>
                <c:pt idx="4">
                  <c:v>11.842359220310888</c:v>
                </c:pt>
                <c:pt idx="5">
                  <c:v>4.567287220308927</c:v>
                </c:pt>
              </c:numCache>
            </c:numRef>
          </c:yVal>
          <c:smooth val="0"/>
          <c:extLst>
            <c:ext xmlns:c16="http://schemas.microsoft.com/office/drawing/2014/chart" uri="{C3380CC4-5D6E-409C-BE32-E72D297353CC}">
              <c16:uniqueId val="{00000000-A3FC-4016-931B-7AE73A0B9D89}"/>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ETCA'!$W$49:$AB$49</c:f>
              <c:numCache>
                <c:formatCode>0</c:formatCode>
                <c:ptCount val="6"/>
                <c:pt idx="0">
                  <c:v>58.445164132032438</c:v>
                </c:pt>
                <c:pt idx="1">
                  <c:v>76.853030972453112</c:v>
                </c:pt>
                <c:pt idx="2">
                  <c:v>54.019633206733445</c:v>
                </c:pt>
                <c:pt idx="3">
                  <c:v>28.217236099676565</c:v>
                </c:pt>
                <c:pt idx="4">
                  <c:v>9.4606388964940056</c:v>
                </c:pt>
                <c:pt idx="5">
                  <c:v>5.1821133501967616</c:v>
                </c:pt>
              </c:numCache>
            </c:numRef>
          </c:yVal>
          <c:smooth val="0"/>
          <c:extLst>
            <c:ext xmlns:c16="http://schemas.microsoft.com/office/drawing/2014/chart" uri="{C3380CC4-5D6E-409C-BE32-E72D297353CC}">
              <c16:uniqueId val="{00000001-A3FC-4016-931B-7AE73A0B9D89}"/>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ETCA'!$AD$49:$AI$49</c:f>
              <c:numCache>
                <c:formatCode>0</c:formatCode>
                <c:ptCount val="6"/>
                <c:pt idx="0">
                  <c:v>61.383966689928151</c:v>
                </c:pt>
                <c:pt idx="1">
                  <c:v>69.051487253473809</c:v>
                </c:pt>
                <c:pt idx="2">
                  <c:v>45.207099581012045</c:v>
                </c:pt>
                <c:pt idx="3">
                  <c:v>15.302925678071459</c:v>
                </c:pt>
                <c:pt idx="4">
                  <c:v>4.2489675667535316</c:v>
                </c:pt>
                <c:pt idx="5">
                  <c:v>3.2307179130655848</c:v>
                </c:pt>
              </c:numCache>
            </c:numRef>
          </c:yVal>
          <c:smooth val="0"/>
          <c:extLst>
            <c:ext xmlns:c16="http://schemas.microsoft.com/office/drawing/2014/chart" uri="{C3380CC4-5D6E-409C-BE32-E72D297353CC}">
              <c16:uniqueId val="{00000002-A3FC-4016-931B-7AE73A0B9D89}"/>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ETCA'!$C$49:$H$49</c:f>
              <c:numCache>
                <c:formatCode>0</c:formatCode>
                <c:ptCount val="6"/>
                <c:pt idx="0">
                  <c:v>198.47715736040607</c:v>
                </c:pt>
                <c:pt idx="1">
                  <c:v>123.33333333333333</c:v>
                </c:pt>
                <c:pt idx="2">
                  <c:v>57.742782152230973</c:v>
                </c:pt>
                <c:pt idx="3">
                  <c:v>20.081135902636916</c:v>
                </c:pt>
                <c:pt idx="4">
                  <c:v>10.76923076923077</c:v>
                </c:pt>
                <c:pt idx="5">
                  <c:v>11.380597014925373</c:v>
                </c:pt>
              </c:numCache>
            </c:numRef>
          </c:yVal>
          <c:smooth val="0"/>
          <c:extLst>
            <c:ext xmlns:c16="http://schemas.microsoft.com/office/drawing/2014/chart" uri="{C3380CC4-5D6E-409C-BE32-E72D297353CC}">
              <c16:uniqueId val="{00000003-A3FC-4016-931B-7AE73A0B9D89}"/>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(i-C8),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ETCA'!$O$43:$T$43</c:f>
              <c:numCache>
                <c:formatCode>0</c:formatCode>
                <c:ptCount val="6"/>
                <c:pt idx="0">
                  <c:v>1.7098389567100802</c:v>
                </c:pt>
                <c:pt idx="1">
                  <c:v>1.5504050798417812</c:v>
                </c:pt>
                <c:pt idx="2">
                  <c:v>2.2075912430139448</c:v>
                </c:pt>
                <c:pt idx="3">
                  <c:v>3.190621010849521</c:v>
                </c:pt>
                <c:pt idx="4">
                  <c:v>4.8858141984349244</c:v>
                </c:pt>
                <c:pt idx="5">
                  <c:v>6.2548207181447335</c:v>
                </c:pt>
              </c:numCache>
            </c:numRef>
          </c:yVal>
          <c:smooth val="0"/>
          <c:extLst>
            <c:ext xmlns:c16="http://schemas.microsoft.com/office/drawing/2014/chart" uri="{C3380CC4-5D6E-409C-BE32-E72D297353CC}">
              <c16:uniqueId val="{00000000-C300-4663-A739-FECA62A484FA}"/>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ETCA'!$W$43:$AB$43</c:f>
              <c:numCache>
                <c:formatCode>0</c:formatCode>
                <c:ptCount val="6"/>
                <c:pt idx="0">
                  <c:v>2.1524716725191051</c:v>
                </c:pt>
                <c:pt idx="1">
                  <c:v>1.7052287688738936</c:v>
                </c:pt>
                <c:pt idx="2">
                  <c:v>2.3811623256374199</c:v>
                </c:pt>
                <c:pt idx="3">
                  <c:v>3.3867131322739716</c:v>
                </c:pt>
                <c:pt idx="4">
                  <c:v>4.8383565470659384</c:v>
                </c:pt>
                <c:pt idx="5">
                  <c:v>5.9279914259269173</c:v>
                </c:pt>
              </c:numCache>
            </c:numRef>
          </c:yVal>
          <c:smooth val="0"/>
          <c:extLst>
            <c:ext xmlns:c16="http://schemas.microsoft.com/office/drawing/2014/chart" uri="{C3380CC4-5D6E-409C-BE32-E72D297353CC}">
              <c16:uniqueId val="{00000001-C300-4663-A739-FECA62A484FA}"/>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ETCA'!$AD$43:$AI$43</c:f>
              <c:numCache>
                <c:formatCode>0</c:formatCode>
                <c:ptCount val="6"/>
                <c:pt idx="0">
                  <c:v>1.4341856527946042</c:v>
                </c:pt>
                <c:pt idx="1">
                  <c:v>1.5999408580002876</c:v>
                </c:pt>
                <c:pt idx="2">
                  <c:v>2.3196555279137518</c:v>
                </c:pt>
                <c:pt idx="3">
                  <c:v>3.7743792223207375</c:v>
                </c:pt>
                <c:pt idx="4">
                  <c:v>6.0534548520658404</c:v>
                </c:pt>
                <c:pt idx="5">
                  <c:v>7.917016995655989</c:v>
                </c:pt>
              </c:numCache>
            </c:numRef>
          </c:yVal>
          <c:smooth val="0"/>
          <c:extLst>
            <c:ext xmlns:c16="http://schemas.microsoft.com/office/drawing/2014/chart" uri="{C3380CC4-5D6E-409C-BE32-E72D297353CC}">
              <c16:uniqueId val="{00000002-C300-4663-A739-FECA62A484FA}"/>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ETCA'!$C$43:$H$43</c:f>
              <c:numCache>
                <c:formatCode>0</c:formatCode>
                <c:ptCount val="6"/>
                <c:pt idx="0">
                  <c:v>2.3399014778325111</c:v>
                </c:pt>
                <c:pt idx="1">
                  <c:v>2.4975024975024964</c:v>
                </c:pt>
                <c:pt idx="2">
                  <c:v>3.3033033033033017</c:v>
                </c:pt>
                <c:pt idx="3">
                  <c:v>3.4941131788834023</c:v>
                </c:pt>
                <c:pt idx="4">
                  <c:v>4.3630487476434139</c:v>
                </c:pt>
                <c:pt idx="5">
                  <c:v>4.7564861174328623</c:v>
                </c:pt>
              </c:numCache>
            </c:numRef>
          </c:yVal>
          <c:smooth val="0"/>
          <c:extLst>
            <c:ext xmlns:c16="http://schemas.microsoft.com/office/drawing/2014/chart" uri="{C3380CC4-5D6E-409C-BE32-E72D297353CC}">
              <c16:uniqueId val="{00000003-C300-4663-A739-FECA62A484FA}"/>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(2,2-dimeC4), wt%</a:t>
                </a:r>
                <a:endParaRPr lang="en-IN" sz="1100">
                  <a:solidFill>
                    <a:sysClr val="windowText" lastClr="000000"/>
                  </a:solidFill>
                </a:endParaRPr>
              </a:p>
            </c:rich>
          </c:tx>
          <c:layout>
            <c:manualLayout>
              <c:xMode val="edge"/>
              <c:yMode val="edge"/>
              <c:x val="1.2636527196399253E-2"/>
              <c:y val="0.2193501426238463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ETCA'!$O$44:$T$44</c:f>
              <c:numCache>
                <c:formatCode>0</c:formatCode>
                <c:ptCount val="6"/>
                <c:pt idx="0">
                  <c:v>9.320521006810873</c:v>
                </c:pt>
                <c:pt idx="1">
                  <c:v>7.1842551482281394</c:v>
                </c:pt>
                <c:pt idx="2">
                  <c:v>8.331138363176402</c:v>
                </c:pt>
                <c:pt idx="3">
                  <c:v>9.5546611777786623</c:v>
                </c:pt>
                <c:pt idx="4">
                  <c:v>10.729784050394651</c:v>
                </c:pt>
                <c:pt idx="5">
                  <c:v>11.450710829586125</c:v>
                </c:pt>
              </c:numCache>
            </c:numRef>
          </c:yVal>
          <c:smooth val="0"/>
          <c:extLst>
            <c:ext xmlns:c16="http://schemas.microsoft.com/office/drawing/2014/chart" uri="{C3380CC4-5D6E-409C-BE32-E72D297353CC}">
              <c16:uniqueId val="{00000000-61F5-4484-9A74-75472B5E37BF}"/>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ETCA'!$W$44:$AB$44</c:f>
              <c:numCache>
                <c:formatCode>0</c:formatCode>
                <c:ptCount val="6"/>
                <c:pt idx="0">
                  <c:v>11.849137234310472</c:v>
                </c:pt>
                <c:pt idx="1">
                  <c:v>7.7045929888260281</c:v>
                </c:pt>
                <c:pt idx="2">
                  <c:v>8.859610601968539</c:v>
                </c:pt>
                <c:pt idx="3">
                  <c:v>9.9440172473281176</c:v>
                </c:pt>
                <c:pt idx="4">
                  <c:v>11.049284383307594</c:v>
                </c:pt>
                <c:pt idx="5">
                  <c:v>11.598133775848625</c:v>
                </c:pt>
              </c:numCache>
            </c:numRef>
          </c:yVal>
          <c:smooth val="0"/>
          <c:extLst>
            <c:ext xmlns:c16="http://schemas.microsoft.com/office/drawing/2014/chart" uri="{C3380CC4-5D6E-409C-BE32-E72D297353CC}">
              <c16:uniqueId val="{00000001-61F5-4484-9A74-75472B5E37BF}"/>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ETCA'!$AD$44:$AI$44</c:f>
              <c:numCache>
                <c:formatCode>0</c:formatCode>
                <c:ptCount val="6"/>
                <c:pt idx="0">
                  <c:v>8.0102814223156518</c:v>
                </c:pt>
                <c:pt idx="1">
                  <c:v>7.6137833754334849</c:v>
                </c:pt>
                <c:pt idx="2">
                  <c:v>9.0284570683856042</c:v>
                </c:pt>
                <c:pt idx="3">
                  <c:v>10.767061583067076</c:v>
                </c:pt>
                <c:pt idx="4">
                  <c:v>11.934239040792843</c:v>
                </c:pt>
                <c:pt idx="5">
                  <c:v>12.233041962702492</c:v>
                </c:pt>
              </c:numCache>
            </c:numRef>
          </c:yVal>
          <c:smooth val="0"/>
          <c:extLst>
            <c:ext xmlns:c16="http://schemas.microsoft.com/office/drawing/2014/chart" uri="{C3380CC4-5D6E-409C-BE32-E72D297353CC}">
              <c16:uniqueId val="{00000002-61F5-4484-9A74-75472B5E37BF}"/>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ETCA'!$C$44:$H$44</c:f>
              <c:numCache>
                <c:formatCode>0</c:formatCode>
                <c:ptCount val="6"/>
                <c:pt idx="0">
                  <c:v>9.852216748768468</c:v>
                </c:pt>
                <c:pt idx="1">
                  <c:v>10.389610389610384</c:v>
                </c:pt>
                <c:pt idx="2">
                  <c:v>13.813813813813805</c:v>
                </c:pt>
                <c:pt idx="3">
                  <c:v>12.571211545765284</c:v>
                </c:pt>
                <c:pt idx="4">
                  <c:v>14.112577430649067</c:v>
                </c:pt>
                <c:pt idx="5">
                  <c:v>14.45152480655439</c:v>
                </c:pt>
              </c:numCache>
            </c:numRef>
          </c:yVal>
          <c:smooth val="0"/>
          <c:extLst>
            <c:ext xmlns:c16="http://schemas.microsoft.com/office/drawing/2014/chart" uri="{C3380CC4-5D6E-409C-BE32-E72D297353CC}">
              <c16:uniqueId val="{00000003-61F5-4484-9A74-75472B5E37BF}"/>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(2,3-dimeC4), wt%</a:t>
                </a:r>
                <a:endParaRPr lang="en-IN" sz="1100">
                  <a:solidFill>
                    <a:sysClr val="windowText" lastClr="000000"/>
                  </a:solidFill>
                </a:endParaRPr>
              </a:p>
            </c:rich>
          </c:tx>
          <c:layout>
            <c:manualLayout>
              <c:xMode val="edge"/>
              <c:yMode val="edge"/>
              <c:x val="1.2636527196399253E-2"/>
              <c:y val="0.2193501426238463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ETCA'!$O$45:$T$45</c:f>
              <c:numCache>
                <c:formatCode>0</c:formatCode>
                <c:ptCount val="6"/>
                <c:pt idx="0">
                  <c:v>86.221294536913675</c:v>
                </c:pt>
                <c:pt idx="1">
                  <c:v>56.962357904741971</c:v>
                </c:pt>
                <c:pt idx="2">
                  <c:v>54.934986457272913</c:v>
                </c:pt>
                <c:pt idx="3">
                  <c:v>52.827285604110379</c:v>
                </c:pt>
                <c:pt idx="4">
                  <c:v>50.369906750698682</c:v>
                </c:pt>
                <c:pt idx="5">
                  <c:v>49.233557072052868</c:v>
                </c:pt>
              </c:numCache>
            </c:numRef>
          </c:yVal>
          <c:smooth val="0"/>
          <c:extLst>
            <c:ext xmlns:c16="http://schemas.microsoft.com/office/drawing/2014/chart" uri="{C3380CC4-5D6E-409C-BE32-E72D297353CC}">
              <c16:uniqueId val="{00000000-F785-4664-ABD9-C37B6F6CDB7F}"/>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ETCA'!$W$45:$AB$45</c:f>
              <c:numCache>
                <c:formatCode>0</c:formatCode>
                <c:ptCount val="6"/>
                <c:pt idx="0">
                  <c:v>107.78481087305506</c:v>
                </c:pt>
                <c:pt idx="1">
                  <c:v>57.134912760288302</c:v>
                </c:pt>
                <c:pt idx="2">
                  <c:v>54.701552871318462</c:v>
                </c:pt>
                <c:pt idx="3">
                  <c:v>52.38534295345692</c:v>
                </c:pt>
                <c:pt idx="4">
                  <c:v>50.554461648288715</c:v>
                </c:pt>
                <c:pt idx="5">
                  <c:v>48.973456835477457</c:v>
                </c:pt>
              </c:numCache>
            </c:numRef>
          </c:yVal>
          <c:smooth val="0"/>
          <c:extLst>
            <c:ext xmlns:c16="http://schemas.microsoft.com/office/drawing/2014/chart" uri="{C3380CC4-5D6E-409C-BE32-E72D297353CC}">
              <c16:uniqueId val="{00000001-F785-4664-ABD9-C37B6F6CDB7F}"/>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ETCA'!$AD$45:$AI$45</c:f>
              <c:numCache>
                <c:formatCode>0</c:formatCode>
                <c:ptCount val="6"/>
                <c:pt idx="0">
                  <c:v>74.763587761382468</c:v>
                </c:pt>
                <c:pt idx="1">
                  <c:v>56.019535137757501</c:v>
                </c:pt>
                <c:pt idx="2">
                  <c:v>54.17435216193946</c:v>
                </c:pt>
                <c:pt idx="3">
                  <c:v>51.585152727924665</c:v>
                </c:pt>
                <c:pt idx="4">
                  <c:v>49.314628113617843</c:v>
                </c:pt>
                <c:pt idx="5">
                  <c:v>47.558992658801643</c:v>
                </c:pt>
              </c:numCache>
            </c:numRef>
          </c:yVal>
          <c:smooth val="0"/>
          <c:extLst>
            <c:ext xmlns:c16="http://schemas.microsoft.com/office/drawing/2014/chart" uri="{C3380CC4-5D6E-409C-BE32-E72D297353CC}">
              <c16:uniqueId val="{00000002-F785-4664-ABD9-C37B6F6CDB7F}"/>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ETCA'!$C$45:$H$45</c:f>
              <c:numCache>
                <c:formatCode>0</c:formatCode>
                <c:ptCount val="6"/>
                <c:pt idx="0">
                  <c:v>32.758620689655153</c:v>
                </c:pt>
                <c:pt idx="1">
                  <c:v>38.261738261738245</c:v>
                </c:pt>
                <c:pt idx="2">
                  <c:v>45.345345345345322</c:v>
                </c:pt>
                <c:pt idx="3">
                  <c:v>43.904291682491447</c:v>
                </c:pt>
                <c:pt idx="4">
                  <c:v>47.858874225693498</c:v>
                </c:pt>
                <c:pt idx="5">
                  <c:v>48.111060537096037</c:v>
                </c:pt>
              </c:numCache>
            </c:numRef>
          </c:yVal>
          <c:smooth val="0"/>
          <c:extLst>
            <c:ext xmlns:c16="http://schemas.microsoft.com/office/drawing/2014/chart" uri="{C3380CC4-5D6E-409C-BE32-E72D297353CC}">
              <c16:uniqueId val="{00000003-F785-4664-ABD9-C37B6F6CDB7F}"/>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(2-meC5), wt%</a:t>
                </a:r>
                <a:endParaRPr lang="en-IN" sz="1100">
                  <a:solidFill>
                    <a:sysClr val="windowText" lastClr="000000"/>
                  </a:solidFill>
                </a:endParaRPr>
              </a:p>
            </c:rich>
          </c:tx>
          <c:layout>
            <c:manualLayout>
              <c:xMode val="edge"/>
              <c:yMode val="edge"/>
              <c:x val="1.2636527196399253E-2"/>
              <c:y val="0.2193501426238463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ETCA'!$O$46:$T$46</c:f>
              <c:numCache>
                <c:formatCode>0</c:formatCode>
                <c:ptCount val="6"/>
                <c:pt idx="0">
                  <c:v>67.20482882537847</c:v>
                </c:pt>
                <c:pt idx="1">
                  <c:v>37.884738983769473</c:v>
                </c:pt>
                <c:pt idx="2">
                  <c:v>34.241120712898123</c:v>
                </c:pt>
                <c:pt idx="3">
                  <c:v>33.007121711429953</c:v>
                </c:pt>
                <c:pt idx="4">
                  <c:v>31.967666057666861</c:v>
                </c:pt>
                <c:pt idx="5">
                  <c:v>31.160938143664815</c:v>
                </c:pt>
              </c:numCache>
            </c:numRef>
          </c:yVal>
          <c:smooth val="0"/>
          <c:extLst>
            <c:ext xmlns:c16="http://schemas.microsoft.com/office/drawing/2014/chart" uri="{C3380CC4-5D6E-409C-BE32-E72D297353CC}">
              <c16:uniqueId val="{00000000-2DC7-458F-BB03-877F91580E99}"/>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ETCA'!$W$46:$AB$46</c:f>
              <c:numCache>
                <c:formatCode>0</c:formatCode>
                <c:ptCount val="6"/>
                <c:pt idx="0">
                  <c:v>84.877541939612655</c:v>
                </c:pt>
                <c:pt idx="1">
                  <c:v>38.017001153944527</c:v>
                </c:pt>
                <c:pt idx="2">
                  <c:v>33.72121211209457</c:v>
                </c:pt>
                <c:pt idx="3">
                  <c:v>32.469809666434358</c:v>
                </c:pt>
                <c:pt idx="4">
                  <c:v>31.949014008735663</c:v>
                </c:pt>
                <c:pt idx="5">
                  <c:v>30.902264188751353</c:v>
                </c:pt>
              </c:numCache>
            </c:numRef>
          </c:yVal>
          <c:smooth val="0"/>
          <c:extLst>
            <c:ext xmlns:c16="http://schemas.microsoft.com/office/drawing/2014/chart" uri="{C3380CC4-5D6E-409C-BE32-E72D297353CC}">
              <c16:uniqueId val="{00000001-2DC7-458F-BB03-877F91580E99}"/>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ETCA'!$AD$46:$AI$46</c:f>
              <c:numCache>
                <c:formatCode>0</c:formatCode>
                <c:ptCount val="6"/>
                <c:pt idx="0">
                  <c:v>52.135457957242828</c:v>
                </c:pt>
                <c:pt idx="1">
                  <c:v>35.565030724933173</c:v>
                </c:pt>
                <c:pt idx="2">
                  <c:v>33.76039660533619</c:v>
                </c:pt>
                <c:pt idx="3">
                  <c:v>32.456518841432171</c:v>
                </c:pt>
                <c:pt idx="4">
                  <c:v>31.411937549845923</c:v>
                </c:pt>
                <c:pt idx="5">
                  <c:v>30.252677990433462</c:v>
                </c:pt>
              </c:numCache>
            </c:numRef>
          </c:yVal>
          <c:smooth val="0"/>
          <c:extLst>
            <c:ext xmlns:c16="http://schemas.microsoft.com/office/drawing/2014/chart" uri="{C3380CC4-5D6E-409C-BE32-E72D297353CC}">
              <c16:uniqueId val="{00000002-2DC7-458F-BB03-877F91580E99}"/>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ETCA'!$C$46:$H$46</c:f>
              <c:numCache>
                <c:formatCode>0</c:formatCode>
                <c:ptCount val="6"/>
                <c:pt idx="0">
                  <c:v>22.906403940886687</c:v>
                </c:pt>
                <c:pt idx="1">
                  <c:v>23.576423576423565</c:v>
                </c:pt>
                <c:pt idx="2">
                  <c:v>27.252252252252237</c:v>
                </c:pt>
                <c:pt idx="3">
                  <c:v>26.281807823775157</c:v>
                </c:pt>
                <c:pt idx="4">
                  <c:v>29.760301642876371</c:v>
                </c:pt>
                <c:pt idx="5">
                  <c:v>30.24578971324533</c:v>
                </c:pt>
              </c:numCache>
            </c:numRef>
          </c:yVal>
          <c:smooth val="0"/>
          <c:extLst>
            <c:ext xmlns:c16="http://schemas.microsoft.com/office/drawing/2014/chart" uri="{C3380CC4-5D6E-409C-BE32-E72D297353CC}">
              <c16:uniqueId val="{00000003-2DC7-458F-BB03-877F91580E99}"/>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Selectivity (3-meC5), wt%</a:t>
                </a:r>
                <a:endParaRPr lang="en-IN" sz="1100">
                  <a:solidFill>
                    <a:sysClr val="windowText" lastClr="000000"/>
                  </a:solidFill>
                </a:endParaRPr>
              </a:p>
            </c:rich>
          </c:tx>
          <c:layout>
            <c:manualLayout>
              <c:xMode val="edge"/>
              <c:yMode val="edge"/>
              <c:x val="1.2636527196399253E-2"/>
              <c:y val="0.2193501426238463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ETCA'!$O$40:$T$40</c:f>
              <c:numCache>
                <c:formatCode>0.00</c:formatCode>
                <c:ptCount val="6"/>
                <c:pt idx="0">
                  <c:v>0.26881319563333328</c:v>
                </c:pt>
                <c:pt idx="1">
                  <c:v>0.70032380137500005</c:v>
                </c:pt>
                <c:pt idx="2">
                  <c:v>2.0818033595666665</c:v>
                </c:pt>
                <c:pt idx="3">
                  <c:v>4.7911162987999996</c:v>
                </c:pt>
                <c:pt idx="4">
                  <c:v>8.2725184416666657</c:v>
                </c:pt>
                <c:pt idx="5">
                  <c:v>10.927920001014286</c:v>
                </c:pt>
              </c:numCache>
            </c:numRef>
          </c:yVal>
          <c:smooth val="0"/>
          <c:extLst>
            <c:ext xmlns:c16="http://schemas.microsoft.com/office/drawing/2014/chart" uri="{C3380CC4-5D6E-409C-BE32-E72D297353CC}">
              <c16:uniqueId val="{00000000-D49B-470A-BCB3-A0676F343B6D}"/>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ETCA'!$W$40:$AB$40</c:f>
              <c:numCache>
                <c:formatCode>0.00</c:formatCode>
                <c:ptCount val="6"/>
                <c:pt idx="0">
                  <c:v>0.20531879586000001</c:v>
                </c:pt>
                <c:pt idx="1">
                  <c:v>0.68540417465000003</c:v>
                </c:pt>
                <c:pt idx="2">
                  <c:v>2.1787515872199998</c:v>
                </c:pt>
                <c:pt idx="3">
                  <c:v>5.1061802402249992</c:v>
                </c:pt>
                <c:pt idx="4">
                  <c:v>8.6266752938</c:v>
                </c:pt>
                <c:pt idx="5">
                  <c:v>11.2117676513375</c:v>
                </c:pt>
              </c:numCache>
            </c:numRef>
          </c:yVal>
          <c:smooth val="0"/>
          <c:extLst>
            <c:ext xmlns:c16="http://schemas.microsoft.com/office/drawing/2014/chart" uri="{C3380CC4-5D6E-409C-BE32-E72D297353CC}">
              <c16:uniqueId val="{00000001-D49B-470A-BCB3-A0676F343B6D}"/>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ETCA'!$AD$40:$AI$40</c:f>
              <c:numCache>
                <c:formatCode>0.00</c:formatCode>
                <c:ptCount val="6"/>
                <c:pt idx="0">
                  <c:v>0.36160017312000003</c:v>
                </c:pt>
                <c:pt idx="1">
                  <c:v>1.2321143053400001</c:v>
                </c:pt>
                <c:pt idx="2">
                  <c:v>3.0572212738166664</c:v>
                </c:pt>
                <c:pt idx="3">
                  <c:v>6.8158906819749996</c:v>
                </c:pt>
                <c:pt idx="4">
                  <c:v>10.54440389945</c:v>
                </c:pt>
                <c:pt idx="5">
                  <c:v>12.892023223842855</c:v>
                </c:pt>
              </c:numCache>
            </c:numRef>
          </c:yVal>
          <c:smooth val="0"/>
          <c:extLst>
            <c:ext xmlns:c16="http://schemas.microsoft.com/office/drawing/2014/chart" uri="{C3380CC4-5D6E-409C-BE32-E72D297353CC}">
              <c16:uniqueId val="{00000002-D49B-470A-BCB3-A0676F343B6D}"/>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ETCA'!$C$40:$H$40</c:f>
              <c:numCache>
                <c:formatCode>General</c:formatCode>
                <c:ptCount val="6"/>
                <c:pt idx="0">
                  <c:v>1.91</c:v>
                </c:pt>
                <c:pt idx="1">
                  <c:v>2.98</c:v>
                </c:pt>
                <c:pt idx="2">
                  <c:v>4.8499999999999996</c:v>
                </c:pt>
                <c:pt idx="3">
                  <c:v>9.25</c:v>
                </c:pt>
                <c:pt idx="4">
                  <c:v>11.55</c:v>
                </c:pt>
                <c:pt idx="5">
                  <c:v>12.490000000000002</c:v>
                </c:pt>
              </c:numCache>
            </c:numRef>
          </c:yVal>
          <c:smooth val="0"/>
          <c:extLst>
            <c:ext xmlns:c16="http://schemas.microsoft.com/office/drawing/2014/chart" uri="{C3380CC4-5D6E-409C-BE32-E72D297353CC}">
              <c16:uniqueId val="{00000003-D49B-470A-BCB3-A0676F343B6D}"/>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2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Gas Yield (C1-C4), wt%</a:t>
                </a:r>
                <a:endParaRPr lang="en-IN" sz="1100">
                  <a:solidFill>
                    <a:sysClr val="windowText" lastClr="000000"/>
                  </a:solidFill>
                </a:endParaRPr>
              </a:p>
            </c:rich>
          </c:tx>
          <c:layout>
            <c:manualLayout>
              <c:xMode val="edge"/>
              <c:yMode val="edge"/>
              <c:x val="2.0081648837331455E-2"/>
              <c:y val="0.2962329678364264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ETCA'!$O$41:$T$41</c:f>
              <c:numCache>
                <c:formatCode>0.00</c:formatCode>
                <c:ptCount val="6"/>
                <c:pt idx="0">
                  <c:v>99.731186804366672</c:v>
                </c:pt>
                <c:pt idx="1">
                  <c:v>99.299676198624994</c:v>
                </c:pt>
                <c:pt idx="2">
                  <c:v>97.918196640433337</c:v>
                </c:pt>
                <c:pt idx="3">
                  <c:v>95.208883701199994</c:v>
                </c:pt>
                <c:pt idx="4">
                  <c:v>91.727481558333338</c:v>
                </c:pt>
                <c:pt idx="5">
                  <c:v>89.072079998985714</c:v>
                </c:pt>
              </c:numCache>
            </c:numRef>
          </c:yVal>
          <c:smooth val="0"/>
          <c:extLst>
            <c:ext xmlns:c16="http://schemas.microsoft.com/office/drawing/2014/chart" uri="{C3380CC4-5D6E-409C-BE32-E72D297353CC}">
              <c16:uniqueId val="{00000000-BDAA-47DD-B091-077A005C01C1}"/>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ETCA'!$W$41:$AB$41</c:f>
              <c:numCache>
                <c:formatCode>0.00</c:formatCode>
                <c:ptCount val="6"/>
                <c:pt idx="0">
                  <c:v>99.794681204140005</c:v>
                </c:pt>
                <c:pt idx="1">
                  <c:v>99.314595825349997</c:v>
                </c:pt>
                <c:pt idx="2">
                  <c:v>97.821248412779994</c:v>
                </c:pt>
                <c:pt idx="3">
                  <c:v>94.893819759774999</c:v>
                </c:pt>
                <c:pt idx="4">
                  <c:v>91.373324706199995</c:v>
                </c:pt>
                <c:pt idx="5">
                  <c:v>88.788232348662504</c:v>
                </c:pt>
              </c:numCache>
            </c:numRef>
          </c:yVal>
          <c:smooth val="0"/>
          <c:extLst>
            <c:ext xmlns:c16="http://schemas.microsoft.com/office/drawing/2014/chart" uri="{C3380CC4-5D6E-409C-BE32-E72D297353CC}">
              <c16:uniqueId val="{00000001-BDAA-47DD-B091-077A005C01C1}"/>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ETCA'!$AD$41:$AI$41</c:f>
              <c:numCache>
                <c:formatCode>0.00</c:formatCode>
                <c:ptCount val="6"/>
                <c:pt idx="0">
                  <c:v>99.638399826880004</c:v>
                </c:pt>
                <c:pt idx="1">
                  <c:v>98.767885694659995</c:v>
                </c:pt>
                <c:pt idx="2">
                  <c:v>96.942778726183334</c:v>
                </c:pt>
                <c:pt idx="3">
                  <c:v>93.184109318024994</c:v>
                </c:pt>
                <c:pt idx="4">
                  <c:v>89.455596100549997</c:v>
                </c:pt>
                <c:pt idx="5">
                  <c:v>87.107976776157145</c:v>
                </c:pt>
              </c:numCache>
            </c:numRef>
          </c:yVal>
          <c:smooth val="0"/>
          <c:extLst>
            <c:ext xmlns:c16="http://schemas.microsoft.com/office/drawing/2014/chart" uri="{C3380CC4-5D6E-409C-BE32-E72D297353CC}">
              <c16:uniqueId val="{00000002-BDAA-47DD-B091-077A005C01C1}"/>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ETCA'!$C$41:$H$41</c:f>
              <c:numCache>
                <c:formatCode>General</c:formatCode>
                <c:ptCount val="6"/>
                <c:pt idx="0">
                  <c:v>98.09</c:v>
                </c:pt>
                <c:pt idx="1">
                  <c:v>97.02</c:v>
                </c:pt>
                <c:pt idx="2">
                  <c:v>95.15</c:v>
                </c:pt>
                <c:pt idx="3">
                  <c:v>90.75</c:v>
                </c:pt>
                <c:pt idx="4">
                  <c:v>88.45</c:v>
                </c:pt>
                <c:pt idx="5">
                  <c:v>87.509999999999991</c:v>
                </c:pt>
              </c:numCache>
            </c:numRef>
          </c:yVal>
          <c:smooth val="0"/>
          <c:extLst>
            <c:ext xmlns:c16="http://schemas.microsoft.com/office/drawing/2014/chart" uri="{C3380CC4-5D6E-409C-BE32-E72D297353CC}">
              <c16:uniqueId val="{00000003-BDAA-47DD-B091-077A005C01C1}"/>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100"/>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C5+, wt%</a:t>
                </a:r>
                <a:endParaRPr lang="en-IN" sz="1100">
                  <a:solidFill>
                    <a:sysClr val="windowText" lastClr="000000"/>
                  </a:solidFill>
                </a:endParaRPr>
              </a:p>
            </c:rich>
          </c:tx>
          <c:layout>
            <c:manualLayout>
              <c:xMode val="edge"/>
              <c:yMode val="edge"/>
              <c:x val="2.0081733118874921E-2"/>
              <c:y val="0.4170488466854909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ETCA'!$O$35:$T$35</c:f>
              <c:numCache>
                <c:formatCode>0</c:formatCode>
                <c:ptCount val="6"/>
                <c:pt idx="0">
                  <c:v>26.112238248166665</c:v>
                </c:pt>
                <c:pt idx="1">
                  <c:v>28.15927124025</c:v>
                </c:pt>
                <c:pt idx="2">
                  <c:v>33.817487080833338</c:v>
                </c:pt>
                <c:pt idx="3">
                  <c:v>44.258527119999997</c:v>
                </c:pt>
                <c:pt idx="4">
                  <c:v>56.964440663666664</c:v>
                </c:pt>
                <c:pt idx="5">
                  <c:v>65.034539358857145</c:v>
                </c:pt>
              </c:numCache>
            </c:numRef>
          </c:yVal>
          <c:smooth val="0"/>
          <c:extLst>
            <c:ext xmlns:c16="http://schemas.microsoft.com/office/drawing/2014/chart" uri="{C3380CC4-5D6E-409C-BE32-E72D297353CC}">
              <c16:uniqueId val="{00000000-1028-4CBF-A1BC-30DB859B4C28}"/>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ETCA'!$W$35:$AB$35</c:f>
              <c:numCache>
                <c:formatCode>0</c:formatCode>
                <c:ptCount val="6"/>
                <c:pt idx="0">
                  <c:v>26.108101272600003</c:v>
                </c:pt>
                <c:pt idx="1">
                  <c:v>27.798239708166665</c:v>
                </c:pt>
                <c:pt idx="2">
                  <c:v>33.513809203999998</c:v>
                </c:pt>
                <c:pt idx="3">
                  <c:v>44.046316146999999</c:v>
                </c:pt>
                <c:pt idx="4">
                  <c:v>57.47286351533333</c:v>
                </c:pt>
                <c:pt idx="5">
                  <c:v>64.331581115749998</c:v>
                </c:pt>
              </c:numCache>
            </c:numRef>
          </c:yVal>
          <c:smooth val="0"/>
          <c:extLst>
            <c:ext xmlns:c16="http://schemas.microsoft.com/office/drawing/2014/chart" uri="{C3380CC4-5D6E-409C-BE32-E72D297353CC}">
              <c16:uniqueId val="{00000001-1028-4CBF-A1BC-30DB859B4C28}"/>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ETCA'!$AD$35:$AI$35</c:f>
              <c:numCache>
                <c:formatCode>0</c:formatCode>
                <c:ptCount val="6"/>
                <c:pt idx="0">
                  <c:v>27.514020156999997</c:v>
                </c:pt>
                <c:pt idx="1">
                  <c:v>31.1140022278</c:v>
                </c:pt>
                <c:pt idx="2">
                  <c:v>38.380099932166665</c:v>
                </c:pt>
                <c:pt idx="3">
                  <c:v>52.913563728500002</c:v>
                </c:pt>
                <c:pt idx="4">
                  <c:v>66.392776488999999</c:v>
                </c:pt>
                <c:pt idx="5">
                  <c:v>72.092614310142864</c:v>
                </c:pt>
              </c:numCache>
            </c:numRef>
          </c:yVal>
          <c:smooth val="0"/>
          <c:extLst>
            <c:ext xmlns:c16="http://schemas.microsoft.com/office/drawing/2014/chart" uri="{C3380CC4-5D6E-409C-BE32-E72D297353CC}">
              <c16:uniqueId val="{00000002-1028-4CBF-A1BC-30DB859B4C28}"/>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ETCA'!$C$35:$H$35</c:f>
              <c:numCache>
                <c:formatCode>0</c:formatCode>
                <c:ptCount val="6"/>
                <c:pt idx="0">
                  <c:v>29.2</c:v>
                </c:pt>
                <c:pt idx="1">
                  <c:v>31.1</c:v>
                </c:pt>
                <c:pt idx="2">
                  <c:v>34.799999999999997</c:v>
                </c:pt>
                <c:pt idx="3">
                  <c:v>43.9</c:v>
                </c:pt>
                <c:pt idx="4">
                  <c:v>51.9</c:v>
                </c:pt>
                <c:pt idx="5">
                  <c:v>56.7</c:v>
                </c:pt>
              </c:numCache>
            </c:numRef>
          </c:yVal>
          <c:smooth val="0"/>
          <c:extLst>
            <c:ext xmlns:c16="http://schemas.microsoft.com/office/drawing/2014/chart" uri="{C3380CC4-5D6E-409C-BE32-E72D297353CC}">
              <c16:uniqueId val="{00000003-1028-4CBF-A1BC-30DB859B4C28}"/>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Conditions</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RON</a:t>
                </a:r>
                <a:endParaRPr lang="en-IN" sz="1100">
                  <a:solidFill>
                    <a:sysClr val="windowText" lastClr="000000"/>
                  </a:solidFill>
                </a:endParaRPr>
              </a:p>
            </c:rich>
          </c:tx>
          <c:layout>
            <c:manualLayout>
              <c:xMode val="edge"/>
              <c:yMode val="edge"/>
              <c:x val="2.0081733118874921E-2"/>
              <c:y val="0.4573208049202703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ETCA'!$O$41:$T$41</c:f>
              <c:numCache>
                <c:formatCode>0.00</c:formatCode>
                <c:ptCount val="6"/>
                <c:pt idx="0">
                  <c:v>99.731186804366672</c:v>
                </c:pt>
                <c:pt idx="1">
                  <c:v>99.299676198624994</c:v>
                </c:pt>
                <c:pt idx="2">
                  <c:v>97.918196640433337</c:v>
                </c:pt>
                <c:pt idx="3">
                  <c:v>95.208883701199994</c:v>
                </c:pt>
                <c:pt idx="4">
                  <c:v>91.727481558333338</c:v>
                </c:pt>
                <c:pt idx="5">
                  <c:v>89.072079998985714</c:v>
                </c:pt>
              </c:numCache>
            </c:numRef>
          </c:xVal>
          <c:yVal>
            <c:numRef>
              <c:f>'STCB vs ETCA'!$O$35:$T$35</c:f>
              <c:numCache>
                <c:formatCode>0</c:formatCode>
                <c:ptCount val="6"/>
                <c:pt idx="0">
                  <c:v>26.112238248166665</c:v>
                </c:pt>
                <c:pt idx="1">
                  <c:v>28.15927124025</c:v>
                </c:pt>
                <c:pt idx="2">
                  <c:v>33.817487080833338</c:v>
                </c:pt>
                <c:pt idx="3">
                  <c:v>44.258527119999997</c:v>
                </c:pt>
                <c:pt idx="4">
                  <c:v>56.964440663666664</c:v>
                </c:pt>
                <c:pt idx="5">
                  <c:v>65.034539358857145</c:v>
                </c:pt>
              </c:numCache>
            </c:numRef>
          </c:yVal>
          <c:smooth val="0"/>
          <c:extLst>
            <c:ext xmlns:c16="http://schemas.microsoft.com/office/drawing/2014/chart" uri="{C3380CC4-5D6E-409C-BE32-E72D297353CC}">
              <c16:uniqueId val="{00000000-85A6-45CF-8345-D6418D6BE1DF}"/>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ETCA'!$W$41:$AB$41</c:f>
              <c:numCache>
                <c:formatCode>0.00</c:formatCode>
                <c:ptCount val="6"/>
                <c:pt idx="0">
                  <c:v>99.794681204140005</c:v>
                </c:pt>
                <c:pt idx="1">
                  <c:v>99.314595825349997</c:v>
                </c:pt>
                <c:pt idx="2">
                  <c:v>97.821248412779994</c:v>
                </c:pt>
                <c:pt idx="3">
                  <c:v>94.893819759774999</c:v>
                </c:pt>
                <c:pt idx="4">
                  <c:v>91.373324706199995</c:v>
                </c:pt>
                <c:pt idx="5">
                  <c:v>88.788232348662504</c:v>
                </c:pt>
              </c:numCache>
            </c:numRef>
          </c:xVal>
          <c:yVal>
            <c:numRef>
              <c:f>'STCB vs ETCA'!$W$35:$AB$35</c:f>
              <c:numCache>
                <c:formatCode>0</c:formatCode>
                <c:ptCount val="6"/>
                <c:pt idx="0">
                  <c:v>26.108101272600003</c:v>
                </c:pt>
                <c:pt idx="1">
                  <c:v>27.798239708166665</c:v>
                </c:pt>
                <c:pt idx="2">
                  <c:v>33.513809203999998</c:v>
                </c:pt>
                <c:pt idx="3">
                  <c:v>44.046316146999999</c:v>
                </c:pt>
                <c:pt idx="4">
                  <c:v>57.47286351533333</c:v>
                </c:pt>
                <c:pt idx="5">
                  <c:v>64.331581115749998</c:v>
                </c:pt>
              </c:numCache>
            </c:numRef>
          </c:yVal>
          <c:smooth val="0"/>
          <c:extLst>
            <c:ext xmlns:c16="http://schemas.microsoft.com/office/drawing/2014/chart" uri="{C3380CC4-5D6E-409C-BE32-E72D297353CC}">
              <c16:uniqueId val="{00000001-85A6-45CF-8345-D6418D6BE1DF}"/>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ETCA'!$AD$41:$AI$41</c:f>
              <c:numCache>
                <c:formatCode>0.00</c:formatCode>
                <c:ptCount val="6"/>
                <c:pt idx="0">
                  <c:v>99.638399826880004</c:v>
                </c:pt>
                <c:pt idx="1">
                  <c:v>98.767885694659995</c:v>
                </c:pt>
                <c:pt idx="2">
                  <c:v>96.942778726183334</c:v>
                </c:pt>
                <c:pt idx="3">
                  <c:v>93.184109318024994</c:v>
                </c:pt>
                <c:pt idx="4">
                  <c:v>89.455596100549997</c:v>
                </c:pt>
                <c:pt idx="5">
                  <c:v>87.107976776157145</c:v>
                </c:pt>
              </c:numCache>
            </c:numRef>
          </c:xVal>
          <c:yVal>
            <c:numRef>
              <c:f>'STCB vs ETCA'!$AD$35:$AI$35</c:f>
              <c:numCache>
                <c:formatCode>0</c:formatCode>
                <c:ptCount val="6"/>
                <c:pt idx="0">
                  <c:v>27.514020156999997</c:v>
                </c:pt>
                <c:pt idx="1">
                  <c:v>31.1140022278</c:v>
                </c:pt>
                <c:pt idx="2">
                  <c:v>38.380099932166665</c:v>
                </c:pt>
                <c:pt idx="3">
                  <c:v>52.913563728500002</c:v>
                </c:pt>
                <c:pt idx="4">
                  <c:v>66.392776488999999</c:v>
                </c:pt>
                <c:pt idx="5">
                  <c:v>72.092614310142864</c:v>
                </c:pt>
              </c:numCache>
            </c:numRef>
          </c:yVal>
          <c:smooth val="0"/>
          <c:extLst>
            <c:ext xmlns:c16="http://schemas.microsoft.com/office/drawing/2014/chart" uri="{C3380CC4-5D6E-409C-BE32-E72D297353CC}">
              <c16:uniqueId val="{00000002-85A6-45CF-8345-D6418D6BE1DF}"/>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ETCA'!$C$41:$H$41</c:f>
              <c:numCache>
                <c:formatCode>General</c:formatCode>
                <c:ptCount val="6"/>
                <c:pt idx="0">
                  <c:v>98.09</c:v>
                </c:pt>
                <c:pt idx="1">
                  <c:v>97.02</c:v>
                </c:pt>
                <c:pt idx="2">
                  <c:v>95.15</c:v>
                </c:pt>
                <c:pt idx="3">
                  <c:v>90.75</c:v>
                </c:pt>
                <c:pt idx="4">
                  <c:v>88.45</c:v>
                </c:pt>
                <c:pt idx="5">
                  <c:v>87.509999999999991</c:v>
                </c:pt>
              </c:numCache>
            </c:numRef>
          </c:xVal>
          <c:yVal>
            <c:numRef>
              <c:f>'STCB vs ETCA'!$C$35:$H$35</c:f>
              <c:numCache>
                <c:formatCode>0</c:formatCode>
                <c:ptCount val="6"/>
                <c:pt idx="0">
                  <c:v>29.2</c:v>
                </c:pt>
                <c:pt idx="1">
                  <c:v>31.1</c:v>
                </c:pt>
                <c:pt idx="2">
                  <c:v>34.799999999999997</c:v>
                </c:pt>
                <c:pt idx="3">
                  <c:v>43.9</c:v>
                </c:pt>
                <c:pt idx="4">
                  <c:v>51.9</c:v>
                </c:pt>
                <c:pt idx="5">
                  <c:v>56.7</c:v>
                </c:pt>
              </c:numCache>
            </c:numRef>
          </c:yVal>
          <c:smooth val="0"/>
          <c:extLst>
            <c:ext xmlns:c16="http://schemas.microsoft.com/office/drawing/2014/chart" uri="{C3380CC4-5D6E-409C-BE32-E72D297353CC}">
              <c16:uniqueId val="{00000003-85A6-45CF-8345-D6418D6BE1DF}"/>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C5+ Yield,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RON</a:t>
                </a:r>
                <a:endParaRPr lang="en-IN" sz="1100">
                  <a:solidFill>
                    <a:sysClr val="windowText" lastClr="000000"/>
                  </a:solidFill>
                </a:endParaRPr>
              </a:p>
            </c:rich>
          </c:tx>
          <c:layout>
            <c:manualLayout>
              <c:xMode val="edge"/>
              <c:yMode val="edge"/>
              <c:x val="2.0081733118874921E-2"/>
              <c:y val="0.4573208049202703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xVal>
          <c:yVal>
            <c:numRef>
              <c:f>'STCB vs ETCA'!$O$41:$T$41</c:f>
              <c:numCache>
                <c:formatCode>0.00</c:formatCode>
                <c:ptCount val="6"/>
                <c:pt idx="0">
                  <c:v>99.731186804366672</c:v>
                </c:pt>
                <c:pt idx="1">
                  <c:v>99.299676198624994</c:v>
                </c:pt>
                <c:pt idx="2">
                  <c:v>97.918196640433337</c:v>
                </c:pt>
                <c:pt idx="3">
                  <c:v>95.208883701199994</c:v>
                </c:pt>
                <c:pt idx="4">
                  <c:v>91.727481558333338</c:v>
                </c:pt>
                <c:pt idx="5">
                  <c:v>89.072079998985714</c:v>
                </c:pt>
              </c:numCache>
            </c:numRef>
          </c:yVal>
          <c:smooth val="0"/>
          <c:extLst>
            <c:ext xmlns:c16="http://schemas.microsoft.com/office/drawing/2014/chart" uri="{C3380CC4-5D6E-409C-BE32-E72D297353CC}">
              <c16:uniqueId val="{00000000-E95C-45AC-BE18-10DDAF5A5829}"/>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xVal>
          <c:yVal>
            <c:numRef>
              <c:f>'STCB vs ETCA'!$W$41:$AB$41</c:f>
              <c:numCache>
                <c:formatCode>0.00</c:formatCode>
                <c:ptCount val="6"/>
                <c:pt idx="0">
                  <c:v>99.794681204140005</c:v>
                </c:pt>
                <c:pt idx="1">
                  <c:v>99.314595825349997</c:v>
                </c:pt>
                <c:pt idx="2">
                  <c:v>97.821248412779994</c:v>
                </c:pt>
                <c:pt idx="3">
                  <c:v>94.893819759774999</c:v>
                </c:pt>
                <c:pt idx="4">
                  <c:v>91.373324706199995</c:v>
                </c:pt>
                <c:pt idx="5">
                  <c:v>88.788232348662504</c:v>
                </c:pt>
              </c:numCache>
            </c:numRef>
          </c:yVal>
          <c:smooth val="0"/>
          <c:extLst>
            <c:ext xmlns:c16="http://schemas.microsoft.com/office/drawing/2014/chart" uri="{C3380CC4-5D6E-409C-BE32-E72D297353CC}">
              <c16:uniqueId val="{00000001-E95C-45AC-BE18-10DDAF5A5829}"/>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ETCA'!$AD$51:$AI$51</c:f>
              <c:numCache>
                <c:formatCode>0</c:formatCode>
                <c:ptCount val="6"/>
                <c:pt idx="0">
                  <c:v>4.369625272434325</c:v>
                </c:pt>
                <c:pt idx="1">
                  <c:v>11.702978790063549</c:v>
                </c:pt>
                <c:pt idx="2">
                  <c:v>22.611352364194982</c:v>
                </c:pt>
                <c:pt idx="3">
                  <c:v>44.736948727827823</c:v>
                </c:pt>
                <c:pt idx="4">
                  <c:v>65.544110373969801</c:v>
                </c:pt>
                <c:pt idx="5">
                  <c:v>73.394673621446586</c:v>
                </c:pt>
              </c:numCache>
            </c:numRef>
          </c:xVal>
          <c:yVal>
            <c:numRef>
              <c:f>'STCB vs ETCA'!$AD$41:$AI$41</c:f>
              <c:numCache>
                <c:formatCode>0.00</c:formatCode>
                <c:ptCount val="6"/>
                <c:pt idx="0">
                  <c:v>99.638399826880004</c:v>
                </c:pt>
                <c:pt idx="1">
                  <c:v>98.767885694659995</c:v>
                </c:pt>
                <c:pt idx="2">
                  <c:v>96.942778726183334</c:v>
                </c:pt>
                <c:pt idx="3">
                  <c:v>93.184109318024994</c:v>
                </c:pt>
                <c:pt idx="4">
                  <c:v>89.455596100549997</c:v>
                </c:pt>
                <c:pt idx="5">
                  <c:v>87.107976776157145</c:v>
                </c:pt>
              </c:numCache>
            </c:numRef>
          </c:yVal>
          <c:smooth val="0"/>
          <c:extLst>
            <c:ext xmlns:c16="http://schemas.microsoft.com/office/drawing/2014/chart" uri="{C3380CC4-5D6E-409C-BE32-E72D297353CC}">
              <c16:uniqueId val="{00000002-E95C-45AC-BE18-10DDAF5A5829}"/>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xVal>
          <c:yVal>
            <c:numRef>
              <c:f>'STCB vs ETCA'!$C$41:$H$41</c:f>
              <c:numCache>
                <c:formatCode>General</c:formatCode>
                <c:ptCount val="6"/>
                <c:pt idx="0">
                  <c:v>98.09</c:v>
                </c:pt>
                <c:pt idx="1">
                  <c:v>97.02</c:v>
                </c:pt>
                <c:pt idx="2">
                  <c:v>95.15</c:v>
                </c:pt>
                <c:pt idx="3">
                  <c:v>90.75</c:v>
                </c:pt>
                <c:pt idx="4">
                  <c:v>88.45</c:v>
                </c:pt>
                <c:pt idx="5">
                  <c:v>87.509999999999991</c:v>
                </c:pt>
              </c:numCache>
            </c:numRef>
          </c:yVal>
          <c:smooth val="0"/>
          <c:extLst>
            <c:ext xmlns:c16="http://schemas.microsoft.com/office/drawing/2014/chart" uri="{C3380CC4-5D6E-409C-BE32-E72D297353CC}">
              <c16:uniqueId val="{00000003-E95C-45AC-BE18-10DDAF5A5829}"/>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(n-C6)</a:t>
                </a:r>
                <a:r>
                  <a:rPr lang="en-IN" sz="1100">
                    <a:solidFill>
                      <a:sysClr val="windowText" lastClr="000000"/>
                    </a:solidFill>
                  </a:rPr>
                  <a:t>,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Yield (C5+), wt%</a:t>
                </a:r>
                <a:endParaRPr lang="en-IN" sz="1100">
                  <a:solidFill>
                    <a:sysClr val="windowText" lastClr="000000"/>
                  </a:solidFill>
                </a:endParaRPr>
              </a:p>
            </c:rich>
          </c:tx>
          <c:layout>
            <c:manualLayout>
              <c:xMode val="edge"/>
              <c:yMode val="edge"/>
              <c:x val="2.245773744920513E-2"/>
              <c:y val="0.3474881915526901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xVal>
          <c:yVal>
            <c:numRef>
              <c:f>'STCB vs ETCA'!$O$47:$T$47</c:f>
              <c:numCache>
                <c:formatCode>0</c:formatCode>
                <c:ptCount val="6"/>
                <c:pt idx="0">
                  <c:v>164.45648332581311</c:v>
                </c:pt>
                <c:pt idx="1">
                  <c:v>103.58175711658137</c:v>
                </c:pt>
                <c:pt idx="2">
                  <c:v>99.714836776361381</c:v>
                </c:pt>
                <c:pt idx="3" formatCode="0.0">
                  <c:v>98.579689504168527</c:v>
                </c:pt>
                <c:pt idx="4" formatCode="0.0">
                  <c:v>97.953171057195121</c:v>
                </c:pt>
                <c:pt idx="5" formatCode="0.0">
                  <c:v>98.10002676344854</c:v>
                </c:pt>
              </c:numCache>
            </c:numRef>
          </c:yVal>
          <c:smooth val="0"/>
          <c:extLst>
            <c:ext xmlns:c16="http://schemas.microsoft.com/office/drawing/2014/chart" uri="{C3380CC4-5D6E-409C-BE32-E72D297353CC}">
              <c16:uniqueId val="{00000000-238A-40D8-A622-688D7522BF74}"/>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xVal>
          <c:yVal>
            <c:numRef>
              <c:f>'STCB vs ETCA'!$W$47:$AB$47</c:f>
              <c:numCache>
                <c:formatCode>0</c:formatCode>
                <c:ptCount val="6"/>
                <c:pt idx="0">
                  <c:v>206.66396171949731</c:v>
                </c:pt>
                <c:pt idx="1">
                  <c:v>104.56173567193275</c:v>
                </c:pt>
                <c:pt idx="2">
                  <c:v>99.663537911019006</c:v>
                </c:pt>
                <c:pt idx="3">
                  <c:v>98.185882999493373</c:v>
                </c:pt>
                <c:pt idx="4">
                  <c:v>98.391116587397903</c:v>
                </c:pt>
                <c:pt idx="5">
                  <c:v>97.401846226004352</c:v>
                </c:pt>
              </c:numCache>
            </c:numRef>
          </c:yVal>
          <c:smooth val="0"/>
          <c:extLst>
            <c:ext xmlns:c16="http://schemas.microsoft.com/office/drawing/2014/chart" uri="{C3380CC4-5D6E-409C-BE32-E72D297353CC}">
              <c16:uniqueId val="{00000001-238A-40D8-A622-688D7522BF74}"/>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ETCA'!$AD$516:$AI$516</c:f>
              <c:numCache>
                <c:formatCode>General</c:formatCode>
                <c:ptCount val="6"/>
              </c:numCache>
            </c:numRef>
          </c:xVal>
          <c:yVal>
            <c:numRef>
              <c:f>'STCB vs ETCA'!$AD$47:$AI$47</c:f>
              <c:numCache>
                <c:formatCode>0</c:formatCode>
                <c:ptCount val="6"/>
                <c:pt idx="0">
                  <c:v>136.34351279373556</c:v>
                </c:pt>
                <c:pt idx="1">
                  <c:v>100.79829009612445</c:v>
                </c:pt>
                <c:pt idx="2">
                  <c:v>99.282861363574995</c:v>
                </c:pt>
                <c:pt idx="3">
                  <c:v>98.583112374744644</c:v>
                </c:pt>
                <c:pt idx="4">
                  <c:v>98.714259556322446</c:v>
                </c:pt>
                <c:pt idx="5">
                  <c:v>97.961729607593583</c:v>
                </c:pt>
              </c:numCache>
            </c:numRef>
          </c:yVal>
          <c:smooth val="0"/>
          <c:extLst>
            <c:ext xmlns:c16="http://schemas.microsoft.com/office/drawing/2014/chart" uri="{C3380CC4-5D6E-409C-BE32-E72D297353CC}">
              <c16:uniqueId val="{00000002-238A-40D8-A622-688D7522BF74}"/>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xVal>
          <c:yVal>
            <c:numRef>
              <c:f>'STCB vs ETCA'!$C$47:$H$47</c:f>
              <c:numCache>
                <c:formatCode>0</c:formatCode>
                <c:ptCount val="6"/>
                <c:pt idx="0">
                  <c:v>67.857142857142819</c:v>
                </c:pt>
                <c:pt idx="1">
                  <c:v>74.725274725274687</c:v>
                </c:pt>
                <c:pt idx="2">
                  <c:v>89.71471471471466</c:v>
                </c:pt>
                <c:pt idx="3">
                  <c:v>86.251424230915291</c:v>
                </c:pt>
                <c:pt idx="4">
                  <c:v>96.094802046862341</c:v>
                </c:pt>
                <c:pt idx="5">
                  <c:v>97.564861174328627</c:v>
                </c:pt>
              </c:numCache>
            </c:numRef>
          </c:yVal>
          <c:smooth val="0"/>
          <c:extLst>
            <c:ext xmlns:c16="http://schemas.microsoft.com/office/drawing/2014/chart" uri="{C3380CC4-5D6E-409C-BE32-E72D297353CC}">
              <c16:uniqueId val="{00000003-238A-40D8-A622-688D7522BF74}"/>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a:t>
                </a:r>
                <a:r>
                  <a:rPr lang="en-IN" sz="1100">
                    <a:solidFill>
                      <a:sysClr val="windowText" lastClr="000000"/>
                    </a:solidFill>
                  </a:rPr>
                  <a:t>C6),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Selectivity</a:t>
                </a:r>
                <a:r>
                  <a:rPr lang="en-IN" sz="1100" baseline="0">
                    <a:solidFill>
                      <a:sysClr val="windowText" lastClr="000000"/>
                    </a:solidFill>
                  </a:rPr>
                  <a:t> (i-C6), wt%</a:t>
                </a:r>
                <a:endParaRPr lang="en-IN" sz="1100">
                  <a:solidFill>
                    <a:sysClr val="windowText" lastClr="000000"/>
                  </a:solidFill>
                </a:endParaRPr>
              </a:p>
            </c:rich>
          </c:tx>
          <c:layout>
            <c:manualLayout>
              <c:xMode val="edge"/>
              <c:yMode val="edge"/>
              <c:x val="1.7599997811383033E-2"/>
              <c:y val="0.28158862353214187"/>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ETCA'!$O$54:$T$54</c:f>
              <c:numCache>
                <c:formatCode>0.00</c:formatCode>
                <c:ptCount val="6"/>
                <c:pt idx="0">
                  <c:v>31.201575326454506</c:v>
                </c:pt>
                <c:pt idx="1">
                  <c:v>31.291704641385273</c:v>
                </c:pt>
                <c:pt idx="2">
                  <c:v>31.815414005572986</c:v>
                </c:pt>
                <c:pt idx="3">
                  <c:v>32.511637041771507</c:v>
                </c:pt>
                <c:pt idx="4">
                  <c:v>32.806053681407768</c:v>
                </c:pt>
                <c:pt idx="5">
                  <c:v>33.837402314458686</c:v>
                </c:pt>
              </c:numCache>
            </c:numRef>
          </c:yVal>
          <c:smooth val="0"/>
          <c:extLst>
            <c:ext xmlns:c16="http://schemas.microsoft.com/office/drawing/2014/chart" uri="{C3380CC4-5D6E-409C-BE32-E72D297353CC}">
              <c16:uniqueId val="{00000000-1419-4730-B40C-51BEC6C65AB5}"/>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ETCA'!$W$54:$AB$54</c:f>
              <c:numCache>
                <c:formatCode>0.00</c:formatCode>
                <c:ptCount val="6"/>
                <c:pt idx="0">
                  <c:v>36.235056259543867</c:v>
                </c:pt>
                <c:pt idx="1">
                  <c:v>36.316451190579187</c:v>
                </c:pt>
                <c:pt idx="2">
                  <c:v>37.665846306815304</c:v>
                </c:pt>
                <c:pt idx="3">
                  <c:v>38.194547202645907</c:v>
                </c:pt>
                <c:pt idx="4">
                  <c:v>38.644571302702531</c:v>
                </c:pt>
                <c:pt idx="5">
                  <c:v>40.099888007272909</c:v>
                </c:pt>
              </c:numCache>
            </c:numRef>
          </c:yVal>
          <c:smooth val="0"/>
          <c:extLst>
            <c:ext xmlns:c16="http://schemas.microsoft.com/office/drawing/2014/chart" uri="{C3380CC4-5D6E-409C-BE32-E72D297353CC}">
              <c16:uniqueId val="{00000001-1419-4730-B40C-51BEC6C65AB5}"/>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ETCA'!$AD$54:$AI$54</c:f>
              <c:numCache>
                <c:formatCode>0.00</c:formatCode>
                <c:ptCount val="6"/>
                <c:pt idx="0">
                  <c:v>35.35040742211136</c:v>
                </c:pt>
                <c:pt idx="1">
                  <c:v>36.265259677095557</c:v>
                </c:pt>
                <c:pt idx="2">
                  <c:v>36.823562290941588</c:v>
                </c:pt>
                <c:pt idx="3">
                  <c:v>38.099509004003707</c:v>
                </c:pt>
                <c:pt idx="4">
                  <c:v>38.66396647266086</c:v>
                </c:pt>
                <c:pt idx="5">
                  <c:v>39.623870110897734</c:v>
                </c:pt>
              </c:numCache>
            </c:numRef>
          </c:yVal>
          <c:smooth val="0"/>
          <c:extLst>
            <c:ext xmlns:c16="http://schemas.microsoft.com/office/drawing/2014/chart" uri="{C3380CC4-5D6E-409C-BE32-E72D297353CC}">
              <c16:uniqueId val="{00000002-1419-4730-B40C-51BEC6C65AB5}"/>
            </c:ext>
          </c:extLst>
        </c:ser>
        <c:ser>
          <c:idx val="4"/>
          <c:order val="4"/>
          <c:tx>
            <c:v>R5</c:v>
          </c:tx>
          <c:spPr>
            <a:ln w="19050" cap="rnd">
              <a:solidFill>
                <a:schemeClr val="accent5"/>
              </a:solidFill>
              <a:round/>
            </a:ln>
            <a:effectLst/>
          </c:spPr>
          <c:marker>
            <c:symbol val="circle"/>
            <c:size val="5"/>
            <c:spPr>
              <a:solidFill>
                <a:schemeClr val="accent5"/>
              </a:solidFill>
              <a:ln w="9525">
                <a:solidFill>
                  <a:schemeClr val="accent5"/>
                </a:solidFill>
              </a:ln>
              <a:effectLst/>
            </c:spPr>
          </c:marker>
          <c:xVal>
            <c:numRef>
              <c:f>'STCB vs ETCA'!$AL$11:$AQ$12</c:f>
            </c:numRef>
          </c:xVal>
          <c:yVal>
            <c:numRef>
              <c:f>'STCB vs ETCA'!$AK$54:$AP$54</c:f>
              <c:numCache>
                <c:formatCode>0.00</c:formatCode>
                <c:ptCount val="6"/>
                <c:pt idx="0">
                  <c:v>34.445775474853725</c:v>
                </c:pt>
                <c:pt idx="1">
                  <c:v>34.617091956593946</c:v>
                </c:pt>
                <c:pt idx="2">
                  <c:v>34.632438214418222</c:v>
                </c:pt>
                <c:pt idx="3">
                  <c:v>34.872493929890794</c:v>
                </c:pt>
                <c:pt idx="4">
                  <c:v>35.396884246177166</c:v>
                </c:pt>
                <c:pt idx="5">
                  <c:v>36.488651666537116</c:v>
                </c:pt>
              </c:numCache>
            </c:numRef>
          </c:yVal>
          <c:smooth val="0"/>
          <c:extLst>
            <c:ext xmlns:c16="http://schemas.microsoft.com/office/drawing/2014/chart" uri="{C3380CC4-5D6E-409C-BE32-E72D297353CC}">
              <c16:uniqueId val="{00000004-1419-4730-B40C-51BEC6C65AB5}"/>
            </c:ext>
          </c:extLst>
        </c:ser>
        <c:dLbls>
          <c:showLegendKey val="0"/>
          <c:showVal val="0"/>
          <c:showCatName val="0"/>
          <c:showSerName val="0"/>
          <c:showPercent val="0"/>
          <c:showBubbleSize val="0"/>
        </c:dLbls>
        <c:axId val="637486335"/>
        <c:axId val="637487775"/>
        <c:extLst>
          <c:ext xmlns:c15="http://schemas.microsoft.com/office/drawing/2012/chart" uri="{02D57815-91ED-43cb-92C2-25804820EDAC}">
            <c15:filteredScatterSeries>
              <c15: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extLst>
                      <c:ext uri="{02D57815-91ED-43cb-92C2-25804820EDAC}">
                        <c15:formulaRef>
                          <c15:sqref>'STCB vs ETCA'!$C$41:$H$41</c15:sqref>
                        </c15:formulaRef>
                      </c:ext>
                    </c:extLst>
                    <c:numCache>
                      <c:formatCode>General</c:formatCode>
                      <c:ptCount val="6"/>
                      <c:pt idx="0">
                        <c:v>98.09</c:v>
                      </c:pt>
                      <c:pt idx="1">
                        <c:v>97.02</c:v>
                      </c:pt>
                      <c:pt idx="2">
                        <c:v>95.15</c:v>
                      </c:pt>
                      <c:pt idx="3">
                        <c:v>90.75</c:v>
                      </c:pt>
                      <c:pt idx="4">
                        <c:v>88.45</c:v>
                      </c:pt>
                      <c:pt idx="5">
                        <c:v>87.509999999999991</c:v>
                      </c:pt>
                    </c:numCache>
                  </c:numRef>
                </c:xVal>
                <c:yVal>
                  <c:numRef>
                    <c:extLst>
                      <c:ext uri="{02D57815-91ED-43cb-92C2-25804820EDAC}">
                        <c15:formulaRef>
                          <c15:sqref>'STCB vs ETCA'!$C$40:$H$40</c15:sqref>
                        </c15:formulaRef>
                      </c:ext>
                    </c:extLst>
                    <c:numCache>
                      <c:formatCode>General</c:formatCode>
                      <c:ptCount val="6"/>
                      <c:pt idx="0">
                        <c:v>1.91</c:v>
                      </c:pt>
                      <c:pt idx="1">
                        <c:v>2.98</c:v>
                      </c:pt>
                      <c:pt idx="2">
                        <c:v>4.8499999999999996</c:v>
                      </c:pt>
                      <c:pt idx="3">
                        <c:v>9.25</c:v>
                      </c:pt>
                      <c:pt idx="4">
                        <c:v>11.55</c:v>
                      </c:pt>
                      <c:pt idx="5">
                        <c:v>12.490000000000002</c:v>
                      </c:pt>
                    </c:numCache>
                  </c:numRef>
                </c:yVal>
                <c:smooth val="0"/>
                <c:extLst>
                  <c:ext xmlns:c16="http://schemas.microsoft.com/office/drawing/2014/chart" uri="{C3380CC4-5D6E-409C-BE32-E72D297353CC}">
                    <c16:uniqueId val="{00000003-1419-4730-B40C-51BEC6C65AB5}"/>
                  </c:ext>
                </c:extLst>
              </c15:ser>
            </c15:filteredScatterSeries>
          </c:ext>
        </c:extLst>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Naphtha/H2,</a:t>
                </a:r>
                <a:r>
                  <a:rPr lang="en-IN" sz="1100" baseline="0">
                    <a:solidFill>
                      <a:sysClr val="windowText" lastClr="000000"/>
                    </a:solidFill>
                  </a:rPr>
                  <a:t> mass basis</a:t>
                </a:r>
                <a:endParaRPr lang="en-IN" sz="1100">
                  <a:solidFill>
                    <a:sysClr val="windowText" lastClr="000000"/>
                  </a:solidFill>
                </a:endParaRPr>
              </a:p>
            </c:rich>
          </c:tx>
          <c:layout>
            <c:manualLayout>
              <c:xMode val="edge"/>
              <c:yMode val="edge"/>
              <c:x val="1.0282023136192701E-2"/>
              <c:y val="0.2486388395218678"/>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ETCA'!$O$14:$T$14</c:f>
              <c:numCache>
                <c:formatCode>0.00</c:formatCode>
                <c:ptCount val="6"/>
                <c:pt idx="0">
                  <c:v>2.3250650679299265</c:v>
                </c:pt>
                <c:pt idx="1">
                  <c:v>2.3503433370790447</c:v>
                </c:pt>
                <c:pt idx="2">
                  <c:v>2.3553253779183017</c:v>
                </c:pt>
                <c:pt idx="3">
                  <c:v>2.3654084638282016</c:v>
                </c:pt>
                <c:pt idx="4">
                  <c:v>2.3511005810520231</c:v>
                </c:pt>
                <c:pt idx="5">
                  <c:v>2.3685363204846106</c:v>
                </c:pt>
              </c:numCache>
            </c:numRef>
          </c:yVal>
          <c:smooth val="0"/>
          <c:extLst>
            <c:ext xmlns:c16="http://schemas.microsoft.com/office/drawing/2014/chart" uri="{C3380CC4-5D6E-409C-BE32-E72D297353CC}">
              <c16:uniqueId val="{00000000-B48A-4E70-B78B-3B8BE644BB2D}"/>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ETCA'!$W$14:$AB$14</c:f>
              <c:numCache>
                <c:formatCode>0.00</c:formatCode>
                <c:ptCount val="6"/>
                <c:pt idx="0">
                  <c:v>2.415449833915349</c:v>
                </c:pt>
                <c:pt idx="1">
                  <c:v>2.4261544815873068</c:v>
                </c:pt>
                <c:pt idx="2">
                  <c:v>2.4574169989012331</c:v>
                </c:pt>
                <c:pt idx="3">
                  <c:v>2.4657836257968668</c:v>
                </c:pt>
                <c:pt idx="4">
                  <c:v>2.439850765700172</c:v>
                </c:pt>
                <c:pt idx="5">
                  <c:v>2.4605255927513152</c:v>
                </c:pt>
              </c:numCache>
            </c:numRef>
          </c:yVal>
          <c:smooth val="0"/>
          <c:extLst>
            <c:ext xmlns:c16="http://schemas.microsoft.com/office/drawing/2014/chart" uri="{C3380CC4-5D6E-409C-BE32-E72D297353CC}">
              <c16:uniqueId val="{00000001-B48A-4E70-B78B-3B8BE644BB2D}"/>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ETCA'!$AD$14:$AI$14</c:f>
              <c:numCache>
                <c:formatCode>0.00</c:formatCode>
                <c:ptCount val="6"/>
                <c:pt idx="0">
                  <c:v>2.4031697713996278</c:v>
                </c:pt>
                <c:pt idx="1">
                  <c:v>2.4676124441561855</c:v>
                </c:pt>
                <c:pt idx="2">
                  <c:v>2.4717634595882623</c:v>
                </c:pt>
                <c:pt idx="3">
                  <c:v>2.4993004771340792</c:v>
                </c:pt>
                <c:pt idx="4">
                  <c:v>2.4393345132591109</c:v>
                </c:pt>
                <c:pt idx="5">
                  <c:v>2.4785903940219476</c:v>
                </c:pt>
              </c:numCache>
            </c:numRef>
          </c:yVal>
          <c:smooth val="0"/>
          <c:extLst>
            <c:ext xmlns:c16="http://schemas.microsoft.com/office/drawing/2014/chart" uri="{C3380CC4-5D6E-409C-BE32-E72D297353CC}">
              <c16:uniqueId val="{00000002-B48A-4E70-B78B-3B8BE644BB2D}"/>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ETCA'!$C$14:$H$14</c:f>
              <c:numCache>
                <c:formatCode>General</c:formatCode>
                <c:ptCount val="6"/>
                <c:pt idx="0">
                  <c:v>1.7</c:v>
                </c:pt>
                <c:pt idx="1">
                  <c:v>1.7</c:v>
                </c:pt>
                <c:pt idx="2">
                  <c:v>1.7</c:v>
                </c:pt>
                <c:pt idx="3">
                  <c:v>1.7</c:v>
                </c:pt>
                <c:pt idx="4">
                  <c:v>1.7</c:v>
                </c:pt>
                <c:pt idx="5">
                  <c:v>1.7</c:v>
                </c:pt>
              </c:numCache>
            </c:numRef>
          </c:yVal>
          <c:smooth val="0"/>
          <c:extLst xmlns:c15="http://schemas.microsoft.com/office/drawing/2012/chart">
            <c:ext xmlns:c16="http://schemas.microsoft.com/office/drawing/2014/chart" uri="{C3380CC4-5D6E-409C-BE32-E72D297353CC}">
              <c16:uniqueId val="{00000004-B48A-4E70-B78B-3B8BE644BB2D}"/>
            </c:ext>
          </c:extLst>
        </c:ser>
        <c:dLbls>
          <c:showLegendKey val="0"/>
          <c:showVal val="0"/>
          <c:showCatName val="0"/>
          <c:showSerName val="0"/>
          <c:showPercent val="0"/>
          <c:showBubbleSize val="0"/>
        </c:dLbls>
        <c:axId val="637486335"/>
        <c:axId val="637487775"/>
        <c:extLst/>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WHSV, h</a:t>
                </a:r>
                <a:r>
                  <a:rPr lang="en-IN" sz="1100" baseline="30000">
                    <a:solidFill>
                      <a:sysClr val="windowText" lastClr="000000"/>
                    </a:solidFill>
                  </a:rPr>
                  <a:t>-1</a:t>
                </a:r>
              </a:p>
            </c:rich>
          </c:tx>
          <c:layout>
            <c:manualLayout>
              <c:xMode val="edge"/>
              <c:yMode val="edge"/>
              <c:x val="1.2733340835266239E-2"/>
              <c:y val="0.3731158013384587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ETCA'!$O$11:$T$11</c:f>
              <c:numCache>
                <c:formatCode>General</c:formatCode>
                <c:ptCount val="6"/>
                <c:pt idx="0">
                  <c:v>1</c:v>
                </c:pt>
                <c:pt idx="1">
                  <c:v>2</c:v>
                </c:pt>
                <c:pt idx="2">
                  <c:v>3</c:v>
                </c:pt>
                <c:pt idx="3">
                  <c:v>4</c:v>
                </c:pt>
                <c:pt idx="4">
                  <c:v>5</c:v>
                </c:pt>
                <c:pt idx="5">
                  <c:v>6</c:v>
                </c:pt>
              </c:numCache>
            </c:numRef>
          </c:xVal>
          <c:yVal>
            <c:numRef>
              <c:f>'STCB vs ETCA'!$O$15:$T$15</c:f>
              <c:numCache>
                <c:formatCode>0.00</c:formatCode>
                <c:ptCount val="6"/>
                <c:pt idx="0">
                  <c:v>1.4160758195541856</c:v>
                </c:pt>
                <c:pt idx="1">
                  <c:v>1.4003491626387714</c:v>
                </c:pt>
                <c:pt idx="2">
                  <c:v>1.3974339736863837</c:v>
                </c:pt>
                <c:pt idx="3">
                  <c:v>1.3913548535294329</c:v>
                </c:pt>
                <c:pt idx="4">
                  <c:v>1.3999276685484923</c:v>
                </c:pt>
                <c:pt idx="5">
                  <c:v>1.3894957318810826</c:v>
                </c:pt>
              </c:numCache>
            </c:numRef>
          </c:yVal>
          <c:smooth val="0"/>
          <c:extLst>
            <c:ext xmlns:c16="http://schemas.microsoft.com/office/drawing/2014/chart" uri="{C3380CC4-5D6E-409C-BE32-E72D297353CC}">
              <c16:uniqueId val="{00000000-41DF-478F-924A-1BA9466A3529}"/>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ETCA'!$W$11:$AB$11</c:f>
              <c:numCache>
                <c:formatCode>General</c:formatCode>
                <c:ptCount val="6"/>
                <c:pt idx="0">
                  <c:v>1</c:v>
                </c:pt>
                <c:pt idx="1">
                  <c:v>2</c:v>
                </c:pt>
                <c:pt idx="2">
                  <c:v>3</c:v>
                </c:pt>
                <c:pt idx="3">
                  <c:v>4</c:v>
                </c:pt>
                <c:pt idx="4">
                  <c:v>5</c:v>
                </c:pt>
                <c:pt idx="5">
                  <c:v>6</c:v>
                </c:pt>
              </c:numCache>
            </c:numRef>
          </c:xVal>
          <c:yVal>
            <c:numRef>
              <c:f>'STCB vs ETCA'!$W$15:$AB$15</c:f>
              <c:numCache>
                <c:formatCode>0.00</c:formatCode>
                <c:ptCount val="6"/>
                <c:pt idx="0">
                  <c:v>1.2089848123020288</c:v>
                </c:pt>
                <c:pt idx="1">
                  <c:v>1.203218692860621</c:v>
                </c:pt>
                <c:pt idx="2">
                  <c:v>1.1878456413741576</c:v>
                </c:pt>
                <c:pt idx="3">
                  <c:v>1.1837605667805315</c:v>
                </c:pt>
                <c:pt idx="4">
                  <c:v>1.196382553576671</c:v>
                </c:pt>
                <c:pt idx="5">
                  <c:v>1.1863582018652779</c:v>
                </c:pt>
              </c:numCache>
            </c:numRef>
          </c:yVal>
          <c:smooth val="0"/>
          <c:extLst>
            <c:ext xmlns:c16="http://schemas.microsoft.com/office/drawing/2014/chart" uri="{C3380CC4-5D6E-409C-BE32-E72D297353CC}">
              <c16:uniqueId val="{00000001-41DF-478F-924A-1BA9466A3529}"/>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ETCA'!$AD$11:$AI$11</c:f>
              <c:numCache>
                <c:formatCode>General</c:formatCode>
                <c:ptCount val="6"/>
                <c:pt idx="0">
                  <c:v>1</c:v>
                </c:pt>
                <c:pt idx="1">
                  <c:v>2</c:v>
                </c:pt>
                <c:pt idx="2">
                  <c:v>3</c:v>
                </c:pt>
                <c:pt idx="3">
                  <c:v>4</c:v>
                </c:pt>
                <c:pt idx="4">
                  <c:v>5</c:v>
                </c:pt>
                <c:pt idx="5">
                  <c:v>6</c:v>
                </c:pt>
              </c:numCache>
            </c:numRef>
          </c:xVal>
          <c:yVal>
            <c:numRef>
              <c:f>'STCB vs ETCA'!$AD$15:$AI$15</c:f>
              <c:numCache>
                <c:formatCode>0.00</c:formatCode>
                <c:ptCount val="6"/>
                <c:pt idx="0">
                  <c:v>1.2525628540111053</c:v>
                </c:pt>
                <c:pt idx="1">
                  <c:v>1.218317269573109</c:v>
                </c:pt>
                <c:pt idx="2">
                  <c:v>1.2162838271513146</c:v>
                </c:pt>
                <c:pt idx="3">
                  <c:v>1.2029811719828647</c:v>
                </c:pt>
                <c:pt idx="4">
                  <c:v>1.2323663110838652</c:v>
                </c:pt>
                <c:pt idx="5">
                  <c:v>1.2129046221424711</c:v>
                </c:pt>
              </c:numCache>
            </c:numRef>
          </c:yVal>
          <c:smooth val="0"/>
          <c:extLst>
            <c:ext xmlns:c16="http://schemas.microsoft.com/office/drawing/2014/chart" uri="{C3380CC4-5D6E-409C-BE32-E72D297353CC}">
              <c16:uniqueId val="{00000002-41DF-478F-924A-1BA9466A3529}"/>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ETCA'!$C$11:$H$11</c:f>
              <c:numCache>
                <c:formatCode>General</c:formatCode>
                <c:ptCount val="6"/>
                <c:pt idx="0">
                  <c:v>1</c:v>
                </c:pt>
                <c:pt idx="1">
                  <c:v>2</c:v>
                </c:pt>
                <c:pt idx="2">
                  <c:v>3</c:v>
                </c:pt>
                <c:pt idx="3">
                  <c:v>4</c:v>
                </c:pt>
                <c:pt idx="4">
                  <c:v>5</c:v>
                </c:pt>
                <c:pt idx="5">
                  <c:v>6</c:v>
                </c:pt>
              </c:numCache>
            </c:numRef>
          </c:xVal>
          <c:yVal>
            <c:numRef>
              <c:f>'STCB vs ETCA'!$C$15:$H$15</c:f>
              <c:numCache>
                <c:formatCode>General</c:formatCode>
                <c:ptCount val="6"/>
                <c:pt idx="0">
                  <c:v>1.5</c:v>
                </c:pt>
                <c:pt idx="1">
                  <c:v>1.5</c:v>
                </c:pt>
                <c:pt idx="2">
                  <c:v>1.5</c:v>
                </c:pt>
                <c:pt idx="3">
                  <c:v>1.5</c:v>
                </c:pt>
                <c:pt idx="4">
                  <c:v>1.5</c:v>
                </c:pt>
                <c:pt idx="5">
                  <c:v>1.5</c:v>
                </c:pt>
              </c:numCache>
            </c:numRef>
          </c:yVal>
          <c:smooth val="0"/>
          <c:extLst xmlns:c15="http://schemas.microsoft.com/office/drawing/2012/chart">
            <c:ext xmlns:c16="http://schemas.microsoft.com/office/drawing/2014/chart" uri="{C3380CC4-5D6E-409C-BE32-E72D297353CC}">
              <c16:uniqueId val="{00000003-41DF-478F-924A-1BA9466A3529}"/>
            </c:ext>
          </c:extLst>
        </c:ser>
        <c:dLbls>
          <c:showLegendKey val="0"/>
          <c:showVal val="0"/>
          <c:showCatName val="0"/>
          <c:showSerName val="0"/>
          <c:showPercent val="0"/>
          <c:showBubbleSize val="0"/>
        </c:dLbls>
        <c:axId val="637486335"/>
        <c:axId val="637487775"/>
        <c:extLst/>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Condition</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H2/Naphtha, mole.</a:t>
                </a:r>
                <a:r>
                  <a:rPr lang="en-IN" sz="1100" baseline="0">
                    <a:solidFill>
                      <a:sysClr val="windowText" lastClr="000000"/>
                    </a:solidFill>
                  </a:rPr>
                  <a:t> basis</a:t>
                </a:r>
                <a:endParaRPr lang="en-IN" sz="1100" baseline="30000">
                  <a:solidFill>
                    <a:sysClr val="windowText" lastClr="000000"/>
                  </a:solidFill>
                </a:endParaRPr>
              </a:p>
            </c:rich>
          </c:tx>
          <c:layout>
            <c:manualLayout>
              <c:xMode val="edge"/>
              <c:yMode val="edge"/>
              <c:x val="7.8307054371191658E-3"/>
              <c:y val="0.25596101374637309"/>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xVal>
          <c:yVal>
            <c:numRef>
              <c:f>'STCB vs ETCA'!$O$40:$T$40</c:f>
              <c:numCache>
                <c:formatCode>0.00</c:formatCode>
                <c:ptCount val="6"/>
                <c:pt idx="0">
                  <c:v>0.26881319563333328</c:v>
                </c:pt>
                <c:pt idx="1">
                  <c:v>0.70032380137500005</c:v>
                </c:pt>
                <c:pt idx="2">
                  <c:v>2.0818033595666665</c:v>
                </c:pt>
                <c:pt idx="3">
                  <c:v>4.7911162987999996</c:v>
                </c:pt>
                <c:pt idx="4">
                  <c:v>8.2725184416666657</c:v>
                </c:pt>
                <c:pt idx="5">
                  <c:v>10.927920001014286</c:v>
                </c:pt>
              </c:numCache>
            </c:numRef>
          </c:yVal>
          <c:smooth val="0"/>
          <c:extLst>
            <c:ext xmlns:c16="http://schemas.microsoft.com/office/drawing/2014/chart" uri="{C3380CC4-5D6E-409C-BE32-E72D297353CC}">
              <c16:uniqueId val="{00000000-8E81-4244-8D27-1831691924B2}"/>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xVal>
          <c:yVal>
            <c:numRef>
              <c:f>'STCB vs ETCA'!$W$40:$AB$40</c:f>
              <c:numCache>
                <c:formatCode>0.00</c:formatCode>
                <c:ptCount val="6"/>
                <c:pt idx="0">
                  <c:v>0.20531879586000001</c:v>
                </c:pt>
                <c:pt idx="1">
                  <c:v>0.68540417465000003</c:v>
                </c:pt>
                <c:pt idx="2">
                  <c:v>2.1787515872199998</c:v>
                </c:pt>
                <c:pt idx="3">
                  <c:v>5.1061802402249992</c:v>
                </c:pt>
                <c:pt idx="4">
                  <c:v>8.6266752938</c:v>
                </c:pt>
                <c:pt idx="5">
                  <c:v>11.2117676513375</c:v>
                </c:pt>
              </c:numCache>
            </c:numRef>
          </c:yVal>
          <c:smooth val="0"/>
          <c:extLst>
            <c:ext xmlns:c16="http://schemas.microsoft.com/office/drawing/2014/chart" uri="{C3380CC4-5D6E-409C-BE32-E72D297353CC}">
              <c16:uniqueId val="{00000001-8E81-4244-8D27-1831691924B2}"/>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ETCA'!$AD$51:$AI$51</c:f>
              <c:numCache>
                <c:formatCode>0</c:formatCode>
                <c:ptCount val="6"/>
                <c:pt idx="0">
                  <c:v>4.369625272434325</c:v>
                </c:pt>
                <c:pt idx="1">
                  <c:v>11.702978790063549</c:v>
                </c:pt>
                <c:pt idx="2">
                  <c:v>22.611352364194982</c:v>
                </c:pt>
                <c:pt idx="3">
                  <c:v>44.736948727827823</c:v>
                </c:pt>
                <c:pt idx="4">
                  <c:v>65.544110373969801</c:v>
                </c:pt>
                <c:pt idx="5">
                  <c:v>73.394673621446586</c:v>
                </c:pt>
              </c:numCache>
            </c:numRef>
          </c:xVal>
          <c:yVal>
            <c:numRef>
              <c:f>'STCB vs ETCA'!$AD$40:$AI$40</c:f>
              <c:numCache>
                <c:formatCode>0.00</c:formatCode>
                <c:ptCount val="6"/>
                <c:pt idx="0">
                  <c:v>0.36160017312000003</c:v>
                </c:pt>
                <c:pt idx="1">
                  <c:v>1.2321143053400001</c:v>
                </c:pt>
                <c:pt idx="2">
                  <c:v>3.0572212738166664</c:v>
                </c:pt>
                <c:pt idx="3">
                  <c:v>6.8158906819749996</c:v>
                </c:pt>
                <c:pt idx="4">
                  <c:v>10.54440389945</c:v>
                </c:pt>
                <c:pt idx="5">
                  <c:v>12.892023223842855</c:v>
                </c:pt>
              </c:numCache>
            </c:numRef>
          </c:yVal>
          <c:smooth val="0"/>
          <c:extLst>
            <c:ext xmlns:c16="http://schemas.microsoft.com/office/drawing/2014/chart" uri="{C3380CC4-5D6E-409C-BE32-E72D297353CC}">
              <c16:uniqueId val="{00000002-8E81-4244-8D27-1831691924B2}"/>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xVal>
          <c:yVal>
            <c:numRef>
              <c:f>'STCB vs ETCA'!$C$40:$H$40</c:f>
              <c:numCache>
                <c:formatCode>General</c:formatCode>
                <c:ptCount val="6"/>
                <c:pt idx="0">
                  <c:v>1.91</c:v>
                </c:pt>
                <c:pt idx="1">
                  <c:v>2.98</c:v>
                </c:pt>
                <c:pt idx="2">
                  <c:v>4.8499999999999996</c:v>
                </c:pt>
                <c:pt idx="3">
                  <c:v>9.25</c:v>
                </c:pt>
                <c:pt idx="4">
                  <c:v>11.55</c:v>
                </c:pt>
                <c:pt idx="5">
                  <c:v>12.490000000000002</c:v>
                </c:pt>
              </c:numCache>
            </c:numRef>
          </c:yVal>
          <c:smooth val="0"/>
          <c:extLst>
            <c:ext xmlns:c16="http://schemas.microsoft.com/office/drawing/2014/chart" uri="{C3380CC4-5D6E-409C-BE32-E72D297353CC}">
              <c16:uniqueId val="{00000003-8E81-4244-8D27-1831691924B2}"/>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(n-C6)</a:t>
                </a:r>
                <a:r>
                  <a:rPr lang="en-IN" sz="1100">
                    <a:solidFill>
                      <a:sysClr val="windowText" lastClr="000000"/>
                    </a:solidFill>
                  </a:rPr>
                  <a:t>,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Gas Yield (C1-C4), wt%</a:t>
                </a:r>
                <a:endParaRPr lang="en-IN" sz="1100">
                  <a:solidFill>
                    <a:sysClr val="windowText" lastClr="000000"/>
                  </a:solidFill>
                </a:endParaRPr>
              </a:p>
            </c:rich>
          </c:tx>
          <c:layout>
            <c:manualLayout>
              <c:xMode val="edge"/>
              <c:yMode val="edge"/>
              <c:x val="2.73603728473522E-2"/>
              <c:y val="0.2632831879708784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736071068039569"/>
          <c:y val="0.12859260377903589"/>
          <c:w val="0.81199822329901072"/>
          <c:h val="0.70030077549410186"/>
        </c:manualLayout>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Reactor1!$E$48:$AL$48</c:f>
              <c:numCache>
                <c:formatCode>0</c:formatCode>
                <c:ptCount val="34"/>
                <c:pt idx="0">
                  <c:v>0</c:v>
                </c:pt>
                <c:pt idx="1">
                  <c:v>8.2777777778101154</c:v>
                </c:pt>
                <c:pt idx="2">
                  <c:v>16.555833333288319</c:v>
                </c:pt>
                <c:pt idx="3">
                  <c:v>49.671111111121718</c:v>
                </c:pt>
                <c:pt idx="4">
                  <c:v>57.949722222285345</c:v>
                </c:pt>
                <c:pt idx="5">
                  <c:v>66.228888888959773</c:v>
                </c:pt>
                <c:pt idx="6">
                  <c:v>74.507222222280689</c:v>
                </c:pt>
                <c:pt idx="7">
                  <c:v>99.343333333439659</c:v>
                </c:pt>
                <c:pt idx="8">
                  <c:v>107.62138888891786</c:v>
                </c:pt>
                <c:pt idx="9">
                  <c:v>115.90000000008149</c:v>
                </c:pt>
                <c:pt idx="10">
                  <c:v>124.1786111110705</c:v>
                </c:pt>
                <c:pt idx="11">
                  <c:v>132.45694444456603</c:v>
                </c:pt>
                <c:pt idx="12">
                  <c:v>140.73555555555504</c:v>
                </c:pt>
                <c:pt idx="13">
                  <c:v>149.01416666671867</c:v>
                </c:pt>
                <c:pt idx="14">
                  <c:v>157.29277777788229</c:v>
                </c:pt>
                <c:pt idx="15">
                  <c:v>165.57166666671401</c:v>
                </c:pt>
                <c:pt idx="16">
                  <c:v>173.85055555554572</c:v>
                </c:pt>
                <c:pt idx="17">
                  <c:v>182.12916666670935</c:v>
                </c:pt>
                <c:pt idx="18">
                  <c:v>190.40777777787298</c:v>
                </c:pt>
                <c:pt idx="19">
                  <c:v>198.6866666667047</c:v>
                </c:pt>
                <c:pt idx="20">
                  <c:v>206.96555555553641</c:v>
                </c:pt>
                <c:pt idx="21">
                  <c:v>215.24416666670004</c:v>
                </c:pt>
                <c:pt idx="22">
                  <c:v>231.80138888885267</c:v>
                </c:pt>
                <c:pt idx="23">
                  <c:v>240.0805555555271</c:v>
                </c:pt>
                <c:pt idx="24">
                  <c:v>248.35944444453344</c:v>
                </c:pt>
                <c:pt idx="25">
                  <c:v>256.63750000001164</c:v>
                </c:pt>
                <c:pt idx="26">
                  <c:v>264.91638888884336</c:v>
                </c:pt>
                <c:pt idx="27">
                  <c:v>273.19500000000698</c:v>
                </c:pt>
                <c:pt idx="28">
                  <c:v>281.4733333333279</c:v>
                </c:pt>
                <c:pt idx="29">
                  <c:v>298.02999999996973</c:v>
                </c:pt>
                <c:pt idx="30">
                  <c:v>306.30833333329065</c:v>
                </c:pt>
                <c:pt idx="31">
                  <c:v>314.58722222229699</c:v>
                </c:pt>
                <c:pt idx="32">
                  <c:v>322.8655555556179</c:v>
                </c:pt>
                <c:pt idx="33">
                  <c:v>331.14416666678153</c:v>
                </c:pt>
              </c:numCache>
            </c:numRef>
          </c:xVal>
          <c:yVal>
            <c:numRef>
              <c:f>Reactor1!$E$65:$AL$65</c:f>
              <c:numCache>
                <c:formatCode>0.00</c:formatCode>
                <c:ptCount val="34"/>
                <c:pt idx="0">
                  <c:v>33.357291291585341</c:v>
                </c:pt>
                <c:pt idx="1">
                  <c:v>31.359185415368707</c:v>
                </c:pt>
                <c:pt idx="2">
                  <c:v>30.421933356277354</c:v>
                </c:pt>
                <c:pt idx="3">
                  <c:v>30.693775377829244</c:v>
                </c:pt>
                <c:pt idx="4">
                  <c:v>30.371117223510112</c:v>
                </c:pt>
                <c:pt idx="5">
                  <c:v>31.006149294156302</c:v>
                </c:pt>
                <c:pt idx="6">
                  <c:v>30.960176016228843</c:v>
                </c:pt>
                <c:pt idx="7">
                  <c:v>31.34788353614676</c:v>
                </c:pt>
                <c:pt idx="8">
                  <c:v>32.073589527374374</c:v>
                </c:pt>
                <c:pt idx="9">
                  <c:v>30.785169485791112</c:v>
                </c:pt>
                <c:pt idx="10">
                  <c:v>31.401778432938684</c:v>
                </c:pt>
                <c:pt idx="11">
                  <c:v>31.732034723551102</c:v>
                </c:pt>
                <c:pt idx="12">
                  <c:v>31.080842332344051</c:v>
                </c:pt>
                <c:pt idx="13">
                  <c:v>32.862751360367312</c:v>
                </c:pt>
                <c:pt idx="14">
                  <c:v>32.212039134208737</c:v>
                </c:pt>
                <c:pt idx="15">
                  <c:v>31.603038050027994</c:v>
                </c:pt>
                <c:pt idx="16">
                  <c:v>33.059896574036301</c:v>
                </c:pt>
                <c:pt idx="17">
                  <c:v>32.178540956541475</c:v>
                </c:pt>
                <c:pt idx="18">
                  <c:v>32.296473594736732</c:v>
                </c:pt>
                <c:pt idx="19">
                  <c:v>33.301429370927359</c:v>
                </c:pt>
                <c:pt idx="20">
                  <c:v>32.772068305613296</c:v>
                </c:pt>
                <c:pt idx="21">
                  <c:v>32.344663367682656</c:v>
                </c:pt>
                <c:pt idx="22">
                  <c:v>33.452350415186189</c:v>
                </c:pt>
                <c:pt idx="23">
                  <c:v>34.024571407254214</c:v>
                </c:pt>
                <c:pt idx="24">
                  <c:v>34.607060499755086</c:v>
                </c:pt>
                <c:pt idx="25">
                  <c:v>33.080937439475761</c:v>
                </c:pt>
                <c:pt idx="26">
                  <c:v>33.331538244774649</c:v>
                </c:pt>
                <c:pt idx="27">
                  <c:v>34.106526491476913</c:v>
                </c:pt>
                <c:pt idx="28">
                  <c:v>34.258831703287989</c:v>
                </c:pt>
                <c:pt idx="29">
                  <c:v>33.809455147645266</c:v>
                </c:pt>
                <c:pt idx="30">
                  <c:v>31.6203042047281</c:v>
                </c:pt>
                <c:pt idx="31">
                  <c:v>32.47369718285006</c:v>
                </c:pt>
                <c:pt idx="32">
                  <c:v>34.012566922035994</c:v>
                </c:pt>
                <c:pt idx="33">
                  <c:v>32.408252648381804</c:v>
                </c:pt>
              </c:numCache>
            </c:numRef>
          </c:yVal>
          <c:smooth val="0"/>
          <c:extLst>
            <c:ext xmlns:c16="http://schemas.microsoft.com/office/drawing/2014/chart" uri="{C3380CC4-5D6E-409C-BE32-E72D297353CC}">
              <c16:uniqueId val="{00000000-FDC4-40D4-90C5-5196AF9E05F7}"/>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Reactor2!$E$48:$AN$48</c:f>
              <c:numCache>
                <c:formatCode>0</c:formatCode>
                <c:ptCount val="36"/>
                <c:pt idx="0">
                  <c:v>2</c:v>
                </c:pt>
                <c:pt idx="1">
                  <c:v>10.277777777810115</c:v>
                </c:pt>
                <c:pt idx="2">
                  <c:v>18.55638888879912</c:v>
                </c:pt>
                <c:pt idx="3">
                  <c:v>51.671388888789807</c:v>
                </c:pt>
                <c:pt idx="4">
                  <c:v>59.950277777796146</c:v>
                </c:pt>
                <c:pt idx="5">
                  <c:v>68.22833333327435</c:v>
                </c:pt>
                <c:pt idx="6">
                  <c:v>76.507777777791489</c:v>
                </c:pt>
                <c:pt idx="7">
                  <c:v>93.064722222276032</c:v>
                </c:pt>
                <c:pt idx="8">
                  <c:v>101.34333333326504</c:v>
                </c:pt>
                <c:pt idx="9">
                  <c:v>109.62166666658595</c:v>
                </c:pt>
                <c:pt idx="10">
                  <c:v>117.89999999990687</c:v>
                </c:pt>
                <c:pt idx="11">
                  <c:v>126.1786111110705</c:v>
                </c:pt>
                <c:pt idx="12">
                  <c:v>134.45722222223412</c:v>
                </c:pt>
                <c:pt idx="13">
                  <c:v>142.73555555555504</c:v>
                </c:pt>
                <c:pt idx="14">
                  <c:v>151.01416666671867</c:v>
                </c:pt>
                <c:pt idx="15">
                  <c:v>159.29305555555038</c:v>
                </c:pt>
                <c:pt idx="16">
                  <c:v>167.5719444443821</c:v>
                </c:pt>
                <c:pt idx="17">
                  <c:v>175.85055555554572</c:v>
                </c:pt>
                <c:pt idx="18">
                  <c:v>184.12916666670935</c:v>
                </c:pt>
                <c:pt idx="19">
                  <c:v>192.40833333338378</c:v>
                </c:pt>
                <c:pt idx="20">
                  <c:v>200.6872222222155</c:v>
                </c:pt>
                <c:pt idx="21">
                  <c:v>208.96583333337912</c:v>
                </c:pt>
                <c:pt idx="22">
                  <c:v>217.24472222221084</c:v>
                </c:pt>
                <c:pt idx="23">
                  <c:v>225.52305555553176</c:v>
                </c:pt>
                <c:pt idx="24">
                  <c:v>233.80166666669538</c:v>
                </c:pt>
                <c:pt idx="25">
                  <c:v>242.08083333336981</c:v>
                </c:pt>
                <c:pt idx="26">
                  <c:v>250.35944444435881</c:v>
                </c:pt>
                <c:pt idx="27">
                  <c:v>258.63777777767973</c:v>
                </c:pt>
                <c:pt idx="28">
                  <c:v>266.91666666668607</c:v>
                </c:pt>
                <c:pt idx="29">
                  <c:v>275.19500000000698</c:v>
                </c:pt>
                <c:pt idx="30">
                  <c:v>283.47361111117061</c:v>
                </c:pt>
                <c:pt idx="31">
                  <c:v>300.02999999996973</c:v>
                </c:pt>
                <c:pt idx="32">
                  <c:v>308.30888888880145</c:v>
                </c:pt>
                <c:pt idx="33">
                  <c:v>316.58722222212236</c:v>
                </c:pt>
                <c:pt idx="34">
                  <c:v>324.8655555556179</c:v>
                </c:pt>
                <c:pt idx="35">
                  <c:v>333.14444444444962</c:v>
                </c:pt>
              </c:numCache>
            </c:numRef>
          </c:xVal>
          <c:yVal>
            <c:numRef>
              <c:f>Reactor2!$E$65:$AN$65</c:f>
              <c:numCache>
                <c:formatCode>0.00</c:formatCode>
                <c:ptCount val="36"/>
                <c:pt idx="0">
                  <c:v>36.928246678464873</c:v>
                </c:pt>
                <c:pt idx="1">
                  <c:v>36.769311177669543</c:v>
                </c:pt>
                <c:pt idx="2">
                  <c:v>35.884976729034278</c:v>
                </c:pt>
                <c:pt idx="3">
                  <c:v>35.706568116767698</c:v>
                </c:pt>
                <c:pt idx="4">
                  <c:v>35.88617859578298</c:v>
                </c:pt>
                <c:pt idx="5">
                  <c:v>36.337944723212416</c:v>
                </c:pt>
                <c:pt idx="6">
                  <c:v>36.246475134803966</c:v>
                </c:pt>
                <c:pt idx="7">
                  <c:v>36.245875550712285</c:v>
                </c:pt>
                <c:pt idx="8">
                  <c:v>36.041476903933066</c:v>
                </c:pt>
                <c:pt idx="9">
                  <c:v>37.192705893645481</c:v>
                </c:pt>
                <c:pt idx="10">
                  <c:v>35.834228937167886</c:v>
                </c:pt>
                <c:pt idx="11">
                  <c:v>37.913943256544833</c:v>
                </c:pt>
                <c:pt idx="12">
                  <c:v>37.754569388497416</c:v>
                </c:pt>
                <c:pt idx="13">
                  <c:v>36.708669744777168</c:v>
                </c:pt>
                <c:pt idx="14">
                  <c:v>38.910778616372539</c:v>
                </c:pt>
                <c:pt idx="15">
                  <c:v>37.041270527884556</c:v>
                </c:pt>
                <c:pt idx="16">
                  <c:v>38.788823705860892</c:v>
                </c:pt>
                <c:pt idx="17">
                  <c:v>37.879015299201534</c:v>
                </c:pt>
                <c:pt idx="18">
                  <c:v>37.876795894496432</c:v>
                </c:pt>
                <c:pt idx="19">
                  <c:v>38.233553911024757</c:v>
                </c:pt>
                <c:pt idx="20">
                  <c:v>38.296565402611442</c:v>
                </c:pt>
                <c:pt idx="21">
                  <c:v>38.453383078353134</c:v>
                </c:pt>
                <c:pt idx="22">
                  <c:v>39.183765427143022</c:v>
                </c:pt>
                <c:pt idx="23">
                  <c:v>40.735738287844214</c:v>
                </c:pt>
                <c:pt idx="24">
                  <c:v>39.783311897956629</c:v>
                </c:pt>
                <c:pt idx="25">
                  <c:v>39.732143024563051</c:v>
                </c:pt>
                <c:pt idx="26">
                  <c:v>40.816747900821234</c:v>
                </c:pt>
                <c:pt idx="27">
                  <c:v>39.407731284524417</c:v>
                </c:pt>
                <c:pt idx="28">
                  <c:v>40.151967744466226</c:v>
                </c:pt>
                <c:pt idx="29">
                  <c:v>39.931842657050339</c:v>
                </c:pt>
                <c:pt idx="30">
                  <c:v>40.239621260957158</c:v>
                </c:pt>
                <c:pt idx="31">
                  <c:v>38.635464957600242</c:v>
                </c:pt>
                <c:pt idx="32">
                  <c:v>37.228132453536148</c:v>
                </c:pt>
                <c:pt idx="33">
                  <c:v>39.149529434556555</c:v>
                </c:pt>
                <c:pt idx="34">
                  <c:v>38.969049702851173</c:v>
                </c:pt>
                <c:pt idx="35">
                  <c:v>37.624952451046987</c:v>
                </c:pt>
              </c:numCache>
            </c:numRef>
          </c:yVal>
          <c:smooth val="0"/>
          <c:extLst>
            <c:ext xmlns:c16="http://schemas.microsoft.com/office/drawing/2014/chart" uri="{C3380CC4-5D6E-409C-BE32-E72D297353CC}">
              <c16:uniqueId val="{00000001-FDC4-40D4-90C5-5196AF9E05F7}"/>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Reactor6!$E$48:$AM$48</c:f>
              <c:numCache>
                <c:formatCode>0</c:formatCode>
                <c:ptCount val="35"/>
                <c:pt idx="0">
                  <c:v>6</c:v>
                </c:pt>
                <c:pt idx="1">
                  <c:v>14.278055555652827</c:v>
                </c:pt>
                <c:pt idx="2">
                  <c:v>47.393055555643514</c:v>
                </c:pt>
                <c:pt idx="3">
                  <c:v>55.671666666807141</c:v>
                </c:pt>
                <c:pt idx="4">
                  <c:v>63.950555555638857</c:v>
                </c:pt>
                <c:pt idx="5">
                  <c:v>72.229166666802485</c:v>
                </c:pt>
                <c:pt idx="6">
                  <c:v>80.507777777791489</c:v>
                </c:pt>
                <c:pt idx="7">
                  <c:v>97.065277777786832</c:v>
                </c:pt>
                <c:pt idx="8">
                  <c:v>105.34361111110775</c:v>
                </c:pt>
                <c:pt idx="9">
                  <c:v>113.62194444442866</c:v>
                </c:pt>
                <c:pt idx="10">
                  <c:v>121.90055555559229</c:v>
                </c:pt>
                <c:pt idx="11">
                  <c:v>130.17888888891321</c:v>
                </c:pt>
                <c:pt idx="12">
                  <c:v>138.45722222223412</c:v>
                </c:pt>
                <c:pt idx="13">
                  <c:v>146.73583333339775</c:v>
                </c:pt>
                <c:pt idx="14">
                  <c:v>155.01444444456138</c:v>
                </c:pt>
                <c:pt idx="15">
                  <c:v>163.2936111112358</c:v>
                </c:pt>
                <c:pt idx="16">
                  <c:v>171.57277777791023</c:v>
                </c:pt>
                <c:pt idx="17">
                  <c:v>179.85111111123115</c:v>
                </c:pt>
                <c:pt idx="18">
                  <c:v>188.12972222222015</c:v>
                </c:pt>
                <c:pt idx="19">
                  <c:v>196.40861111122649</c:v>
                </c:pt>
                <c:pt idx="20">
                  <c:v>204.68750000005821</c:v>
                </c:pt>
                <c:pt idx="21">
                  <c:v>212.96611111122184</c:v>
                </c:pt>
                <c:pt idx="22">
                  <c:v>229.52333333337447</c:v>
                </c:pt>
                <c:pt idx="23">
                  <c:v>237.80250000004889</c:v>
                </c:pt>
                <c:pt idx="24">
                  <c:v>246.08138888888061</c:v>
                </c:pt>
                <c:pt idx="25">
                  <c:v>254.35944444453344</c:v>
                </c:pt>
                <c:pt idx="26">
                  <c:v>262.63833333336515</c:v>
                </c:pt>
                <c:pt idx="27">
                  <c:v>270.91694444452878</c:v>
                </c:pt>
                <c:pt idx="28">
                  <c:v>279.1952777778497</c:v>
                </c:pt>
                <c:pt idx="29">
                  <c:v>295.75222222233424</c:v>
                </c:pt>
                <c:pt idx="30">
                  <c:v>304.03027777781244</c:v>
                </c:pt>
                <c:pt idx="31">
                  <c:v>312.30888888897607</c:v>
                </c:pt>
                <c:pt idx="32">
                  <c:v>320.5875000001397</c:v>
                </c:pt>
                <c:pt idx="33">
                  <c:v>328.8661111111287</c:v>
                </c:pt>
                <c:pt idx="34">
                  <c:v>337.14444444444962</c:v>
                </c:pt>
              </c:numCache>
            </c:numRef>
          </c:xVal>
          <c:yVal>
            <c:numRef>
              <c:f>Reactor6!$E$65:$AM$65</c:f>
              <c:numCache>
                <c:formatCode>0.00</c:formatCode>
                <c:ptCount val="35"/>
                <c:pt idx="0">
                  <c:v>36.483144820562629</c:v>
                </c:pt>
                <c:pt idx="1">
                  <c:v>35.642148259226808</c:v>
                </c:pt>
                <c:pt idx="2">
                  <c:v>32.477738667924442</c:v>
                </c:pt>
                <c:pt idx="3">
                  <c:v>36.045902801267488</c:v>
                </c:pt>
                <c:pt idx="4">
                  <c:v>36.103102561575447</c:v>
                </c:pt>
                <c:pt idx="5">
                  <c:v>35.858538743412453</c:v>
                </c:pt>
                <c:pt idx="6">
                  <c:v>35.779287126119357</c:v>
                </c:pt>
                <c:pt idx="7">
                  <c:v>36.154674187000474</c:v>
                </c:pt>
                <c:pt idx="8">
                  <c:v>36.740548017699197</c:v>
                </c:pt>
                <c:pt idx="9">
                  <c:v>36.79325031124629</c:v>
                </c:pt>
                <c:pt idx="10">
                  <c:v>36.25851812243458</c:v>
                </c:pt>
                <c:pt idx="11">
                  <c:v>37.115764927587335</c:v>
                </c:pt>
                <c:pt idx="12">
                  <c:v>36.447019027297166</c:v>
                </c:pt>
                <c:pt idx="13">
                  <c:v>36.981576103205896</c:v>
                </c:pt>
                <c:pt idx="14">
                  <c:v>38.001289374066722</c:v>
                </c:pt>
                <c:pt idx="15">
                  <c:v>36.137206191057828</c:v>
                </c:pt>
                <c:pt idx="16">
                  <c:v>38.282410956516337</c:v>
                </c:pt>
                <c:pt idx="17">
                  <c:v>37.840095207489775</c:v>
                </c:pt>
                <c:pt idx="18">
                  <c:v>37.884437580204676</c:v>
                </c:pt>
                <c:pt idx="19">
                  <c:v>38.391092271804055</c:v>
                </c:pt>
                <c:pt idx="20">
                  <c:v>38.793024781003822</c:v>
                </c:pt>
                <c:pt idx="21">
                  <c:v>38.534908164317905</c:v>
                </c:pt>
                <c:pt idx="22">
                  <c:v>39.319135986257621</c:v>
                </c:pt>
                <c:pt idx="23">
                  <c:v>38.97064724592277</c:v>
                </c:pt>
                <c:pt idx="24">
                  <c:v>40.495922368838386</c:v>
                </c:pt>
                <c:pt idx="25">
                  <c:v>38.866169532507676</c:v>
                </c:pt>
                <c:pt idx="26">
                  <c:v>39.844785111384176</c:v>
                </c:pt>
                <c:pt idx="27">
                  <c:v>40.755128939858217</c:v>
                </c:pt>
                <c:pt idx="28">
                  <c:v>39.115301591515333</c:v>
                </c:pt>
                <c:pt idx="29">
                  <c:v>37.868286194679911</c:v>
                </c:pt>
                <c:pt idx="30">
                  <c:v>36.814716732194171</c:v>
                </c:pt>
                <c:pt idx="31">
                  <c:v>36.892204099062468</c:v>
                </c:pt>
                <c:pt idx="32">
                  <c:v>38.483421862155289</c:v>
                </c:pt>
                <c:pt idx="33">
                  <c:v>37.141621041732151</c:v>
                </c:pt>
                <c:pt idx="34">
                  <c:v>38.1878195754053</c:v>
                </c:pt>
              </c:numCache>
            </c:numRef>
          </c:yVal>
          <c:smooth val="0"/>
          <c:extLst>
            <c:ext xmlns:c16="http://schemas.microsoft.com/office/drawing/2014/chart" uri="{C3380CC4-5D6E-409C-BE32-E72D297353CC}">
              <c16:uniqueId val="{00000002-FDC4-40D4-90C5-5196AF9E05F7}"/>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Run Length, hrs</a:t>
                </a:r>
              </a:p>
            </c:rich>
          </c:tx>
          <c:layout>
            <c:manualLayout>
              <c:xMode val="edge"/>
              <c:yMode val="edge"/>
              <c:x val="0.46527777104784984"/>
              <c:y val="0.92206730214175991"/>
            </c:manualLayout>
          </c:layout>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max val="45"/>
          <c:min val="25"/>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Naphtha/H2, mass ratio</a:t>
                </a:r>
                <a:endParaRPr lang="en-IN" sz="1100">
                  <a:solidFill>
                    <a:sysClr val="windowText" lastClr="000000"/>
                  </a:solidFill>
                </a:endParaRPr>
              </a:p>
            </c:rich>
          </c:tx>
          <c:layout>
            <c:manualLayout>
              <c:xMode val="edge"/>
              <c:yMode val="edge"/>
              <c:x val="2.73603728473522E-2"/>
              <c:y val="0.26328318797087846"/>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majorUnit val="2"/>
      </c:valAx>
      <c:spPr>
        <a:noFill/>
        <a:ln w="15875">
          <a:solidFill>
            <a:schemeClr val="tx1"/>
          </a:solidFill>
        </a:ln>
        <a:effectLst/>
      </c:spPr>
    </c:plotArea>
    <c:legend>
      <c:legendPos val="t"/>
      <c:layout>
        <c:manualLayout>
          <c:xMode val="edge"/>
          <c:yMode val="edge"/>
          <c:x val="0.40600977726684406"/>
          <c:y val="2.7795879753273266E-2"/>
          <c:w val="0.27011773303873798"/>
          <c:h val="6.7042239341128212E-2"/>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xVal>
          <c:yVal>
            <c:numRef>
              <c:f>'STCB vs ETCA'!$W$52:$AB$52</c:f>
              <c:numCache>
                <c:formatCode>0</c:formatCode>
                <c:ptCount val="6"/>
                <c:pt idx="0">
                  <c:v>12.184566052089775</c:v>
                </c:pt>
                <c:pt idx="1">
                  <c:v>20.412071517923085</c:v>
                </c:pt>
                <c:pt idx="2">
                  <c:v>40.543575783156392</c:v>
                </c:pt>
                <c:pt idx="3">
                  <c:v>66.053155483073823</c:v>
                </c:pt>
                <c:pt idx="4">
                  <c:v>86.450576840980148</c:v>
                </c:pt>
                <c:pt idx="5">
                  <c:v>92.850442054087253</c:v>
                </c:pt>
              </c:numCache>
            </c:numRef>
          </c:yVal>
          <c:smooth val="0"/>
          <c:extLst>
            <c:ext xmlns:c16="http://schemas.microsoft.com/office/drawing/2014/chart" uri="{C3380CC4-5D6E-409C-BE32-E72D297353CC}">
              <c16:uniqueId val="{00000000-9B58-495D-B87B-90253A30825F}"/>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xVal>
          <c:yVal>
            <c:numRef>
              <c:f>'STCB vs ETCA'!$W$52:$AB$52</c:f>
              <c:numCache>
                <c:formatCode>0</c:formatCode>
                <c:ptCount val="6"/>
                <c:pt idx="0">
                  <c:v>12.184566052089775</c:v>
                </c:pt>
                <c:pt idx="1">
                  <c:v>20.412071517923085</c:v>
                </c:pt>
                <c:pt idx="2">
                  <c:v>40.543575783156392</c:v>
                </c:pt>
                <c:pt idx="3">
                  <c:v>66.053155483073823</c:v>
                </c:pt>
                <c:pt idx="4">
                  <c:v>86.450576840980148</c:v>
                </c:pt>
                <c:pt idx="5">
                  <c:v>92.850442054087253</c:v>
                </c:pt>
              </c:numCache>
            </c:numRef>
          </c:yVal>
          <c:smooth val="0"/>
          <c:extLst>
            <c:ext xmlns:c16="http://schemas.microsoft.com/office/drawing/2014/chart" uri="{C3380CC4-5D6E-409C-BE32-E72D297353CC}">
              <c16:uniqueId val="{00000001-9B58-495D-B87B-90253A30825F}"/>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ETCA'!$AD$51:$AI$51</c:f>
              <c:numCache>
                <c:formatCode>0</c:formatCode>
                <c:ptCount val="6"/>
                <c:pt idx="0">
                  <c:v>4.369625272434325</c:v>
                </c:pt>
                <c:pt idx="1">
                  <c:v>11.702978790063549</c:v>
                </c:pt>
                <c:pt idx="2">
                  <c:v>22.611352364194982</c:v>
                </c:pt>
                <c:pt idx="3">
                  <c:v>44.736948727827823</c:v>
                </c:pt>
                <c:pt idx="4">
                  <c:v>65.544110373969801</c:v>
                </c:pt>
                <c:pt idx="5">
                  <c:v>73.394673621446586</c:v>
                </c:pt>
              </c:numCache>
            </c:numRef>
          </c:xVal>
          <c:yVal>
            <c:numRef>
              <c:f>'STCB vs ETCA'!$AD$52:$AI$52</c:f>
              <c:numCache>
                <c:formatCode>0</c:formatCode>
                <c:ptCount val="6"/>
                <c:pt idx="0">
                  <c:v>20.579488515501275</c:v>
                </c:pt>
                <c:pt idx="1">
                  <c:v>35.252642051610898</c:v>
                </c:pt>
                <c:pt idx="2">
                  <c:v>55.366607528690274</c:v>
                </c:pt>
                <c:pt idx="3">
                  <c:v>81.316017356226936</c:v>
                </c:pt>
                <c:pt idx="4">
                  <c:v>93.518211124356725</c:v>
                </c:pt>
                <c:pt idx="5">
                  <c:v>97.206321922466671</c:v>
                </c:pt>
              </c:numCache>
            </c:numRef>
          </c:yVal>
          <c:smooth val="0"/>
          <c:extLst>
            <c:ext xmlns:c16="http://schemas.microsoft.com/office/drawing/2014/chart" uri="{C3380CC4-5D6E-409C-BE32-E72D297353CC}">
              <c16:uniqueId val="{00000002-9B58-495D-B87B-90253A30825F}"/>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xVal>
          <c:yVal>
            <c:numRef>
              <c:f>'STCB vs ETCA'!$C$52:$H$52</c:f>
              <c:numCache>
                <c:formatCode>0</c:formatCode>
                <c:ptCount val="6"/>
                <c:pt idx="0">
                  <c:v>18.707810993249755</c:v>
                </c:pt>
                <c:pt idx="1">
                  <c:v>25.554484088717452</c:v>
                </c:pt>
                <c:pt idx="2">
                  <c:v>38.572806171648978</c:v>
                </c:pt>
                <c:pt idx="3">
                  <c:v>64.513018322082942</c:v>
                </c:pt>
                <c:pt idx="4">
                  <c:v>81.967213114754102</c:v>
                </c:pt>
                <c:pt idx="5">
                  <c:v>89.488910318225649</c:v>
                </c:pt>
              </c:numCache>
            </c:numRef>
          </c:yVal>
          <c:smooth val="0"/>
          <c:extLst>
            <c:ext xmlns:c16="http://schemas.microsoft.com/office/drawing/2014/chart" uri="{C3380CC4-5D6E-409C-BE32-E72D297353CC}">
              <c16:uniqueId val="{00000003-9B58-495D-B87B-90253A30825F}"/>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(n-C6)</a:t>
                </a:r>
                <a:r>
                  <a:rPr lang="en-IN" sz="1100">
                    <a:solidFill>
                      <a:sysClr val="windowText" lastClr="000000"/>
                    </a:solidFill>
                  </a:rPr>
                  <a:t>,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Conversion (n-C7), wt%</a:t>
                </a:r>
                <a:endParaRPr lang="en-IN" sz="1100">
                  <a:solidFill>
                    <a:sysClr val="windowText" lastClr="000000"/>
                  </a:solidFill>
                </a:endParaRPr>
              </a:p>
            </c:rich>
          </c:tx>
          <c:layout>
            <c:manualLayout>
              <c:xMode val="edge"/>
              <c:yMode val="edge"/>
              <c:x val="2.2457826685134529E-2"/>
              <c:y val="0.2889107977566472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ETCA'!$O$51:$T$51</c:f>
              <c:numCache>
                <c:formatCode>0</c:formatCode>
                <c:ptCount val="6"/>
                <c:pt idx="0">
                  <c:v>2.457032143210955</c:v>
                </c:pt>
                <c:pt idx="1">
                  <c:v>6.8457715616663917</c:v>
                </c:pt>
                <c:pt idx="2">
                  <c:v>15.402905793184848</c:v>
                </c:pt>
                <c:pt idx="3">
                  <c:v>31.043782179428192</c:v>
                </c:pt>
                <c:pt idx="4">
                  <c:v>50.723220977357556</c:v>
                </c:pt>
                <c:pt idx="5">
                  <c:v>62.246513879302654</c:v>
                </c:pt>
              </c:numCache>
            </c:numRef>
          </c:xVal>
          <c:yVal>
            <c:numRef>
              <c:f>'STCB vs ETCA'!$W$53:$AB$53</c:f>
              <c:numCache>
                <c:formatCode>0</c:formatCode>
                <c:ptCount val="6"/>
                <c:pt idx="0">
                  <c:v>38.765659855247158</c:v>
                </c:pt>
                <c:pt idx="1">
                  <c:v>42.662343168110652</c:v>
                </c:pt>
                <c:pt idx="2">
                  <c:v>70.767069974355906</c:v>
                </c:pt>
                <c:pt idx="3">
                  <c:v>90.952652037537803</c:v>
                </c:pt>
                <c:pt idx="4">
                  <c:v>98.739970118052568</c:v>
                </c:pt>
                <c:pt idx="5">
                  <c:v>99.699630103106969</c:v>
                </c:pt>
              </c:numCache>
            </c:numRef>
          </c:yVal>
          <c:smooth val="0"/>
          <c:extLst>
            <c:ext xmlns:c16="http://schemas.microsoft.com/office/drawing/2014/chart" uri="{C3380CC4-5D6E-409C-BE32-E72D297353CC}">
              <c16:uniqueId val="{00000000-F079-47F3-87AC-348EB145B265}"/>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ETCA'!$W$51:$AB$51</c:f>
              <c:numCache>
                <c:formatCode>0</c:formatCode>
                <c:ptCount val="6"/>
                <c:pt idx="0">
                  <c:v>1.8593477236726716</c:v>
                </c:pt>
                <c:pt idx="1">
                  <c:v>6.1802872087024232</c:v>
                </c:pt>
                <c:pt idx="2">
                  <c:v>14.625753656758841</c:v>
                </c:pt>
                <c:pt idx="3">
                  <c:v>30.069212902118842</c:v>
                </c:pt>
                <c:pt idx="4">
                  <c:v>50.636810555985164</c:v>
                </c:pt>
                <c:pt idx="5">
                  <c:v>60.473260988679876</c:v>
                </c:pt>
              </c:numCache>
            </c:numRef>
          </c:xVal>
          <c:yVal>
            <c:numRef>
              <c:f>'STCB vs ETCA'!$W$53:$AB$53</c:f>
              <c:numCache>
                <c:formatCode>0</c:formatCode>
                <c:ptCount val="6"/>
                <c:pt idx="0">
                  <c:v>38.765659855247158</c:v>
                </c:pt>
                <c:pt idx="1">
                  <c:v>42.662343168110652</c:v>
                </c:pt>
                <c:pt idx="2">
                  <c:v>70.767069974355906</c:v>
                </c:pt>
                <c:pt idx="3">
                  <c:v>90.952652037537803</c:v>
                </c:pt>
                <c:pt idx="4">
                  <c:v>98.739970118052568</c:v>
                </c:pt>
                <c:pt idx="5">
                  <c:v>99.699630103106969</c:v>
                </c:pt>
              </c:numCache>
            </c:numRef>
          </c:yVal>
          <c:smooth val="0"/>
          <c:extLst>
            <c:ext xmlns:c16="http://schemas.microsoft.com/office/drawing/2014/chart" uri="{C3380CC4-5D6E-409C-BE32-E72D297353CC}">
              <c16:uniqueId val="{00000001-F079-47F3-87AC-348EB145B265}"/>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ETCA'!$AD$51:$AI$51</c:f>
              <c:numCache>
                <c:formatCode>0</c:formatCode>
                <c:ptCount val="6"/>
                <c:pt idx="0">
                  <c:v>4.369625272434325</c:v>
                </c:pt>
                <c:pt idx="1">
                  <c:v>11.702978790063549</c:v>
                </c:pt>
                <c:pt idx="2">
                  <c:v>22.611352364194982</c:v>
                </c:pt>
                <c:pt idx="3">
                  <c:v>44.736948727827823</c:v>
                </c:pt>
                <c:pt idx="4">
                  <c:v>65.544110373969801</c:v>
                </c:pt>
                <c:pt idx="5">
                  <c:v>73.394673621446586</c:v>
                </c:pt>
              </c:numCache>
            </c:numRef>
          </c:xVal>
          <c:yVal>
            <c:numRef>
              <c:f>'STCB vs ETCA'!$AD$53:$AI$53</c:f>
              <c:numCache>
                <c:formatCode>0</c:formatCode>
                <c:ptCount val="6"/>
                <c:pt idx="0">
                  <c:v>52.167188225254037</c:v>
                </c:pt>
                <c:pt idx="1">
                  <c:v>64.884867549988911</c:v>
                </c:pt>
                <c:pt idx="2">
                  <c:v>83.468153735056163</c:v>
                </c:pt>
                <c:pt idx="3">
                  <c:v>97.452695616643808</c:v>
                </c:pt>
                <c:pt idx="4">
                  <c:v>99.716359201725894</c:v>
                </c:pt>
                <c:pt idx="5">
                  <c:v>99.907645196554526</c:v>
                </c:pt>
              </c:numCache>
            </c:numRef>
          </c:yVal>
          <c:smooth val="0"/>
          <c:extLst>
            <c:ext xmlns:c16="http://schemas.microsoft.com/office/drawing/2014/chart" uri="{C3380CC4-5D6E-409C-BE32-E72D297353CC}">
              <c16:uniqueId val="{00000002-F079-47F3-87AC-348EB145B265}"/>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ETCA'!$C$51:$H$51</c:f>
              <c:numCache>
                <c:formatCode>0</c:formatCode>
                <c:ptCount val="6"/>
                <c:pt idx="0">
                  <c:v>9.7327100563346569</c:v>
                </c:pt>
                <c:pt idx="1">
                  <c:v>11.998082224619447</c:v>
                </c:pt>
                <c:pt idx="2">
                  <c:v>15.965480043149952</c:v>
                </c:pt>
                <c:pt idx="3">
                  <c:v>31.559391106316674</c:v>
                </c:pt>
                <c:pt idx="4">
                  <c:v>44.504374925086907</c:v>
                </c:pt>
                <c:pt idx="5">
                  <c:v>52.66690638858924</c:v>
                </c:pt>
              </c:numCache>
            </c:numRef>
          </c:xVal>
          <c:yVal>
            <c:numRef>
              <c:f>'STCB vs ETCA'!$C$53:$H$53</c:f>
              <c:numCache>
                <c:formatCode>0</c:formatCode>
                <c:ptCount val="6"/>
                <c:pt idx="0">
                  <c:v>36.753731343283583</c:v>
                </c:pt>
                <c:pt idx="1">
                  <c:v>50.373134328358205</c:v>
                </c:pt>
                <c:pt idx="2">
                  <c:v>71.082089552238813</c:v>
                </c:pt>
                <c:pt idx="3">
                  <c:v>91.977611940298516</c:v>
                </c:pt>
                <c:pt idx="4">
                  <c:v>97.014925373134318</c:v>
                </c:pt>
                <c:pt idx="5">
                  <c:v>100</c:v>
                </c:pt>
              </c:numCache>
            </c:numRef>
          </c:yVal>
          <c:smooth val="0"/>
          <c:extLst>
            <c:ext xmlns:c16="http://schemas.microsoft.com/office/drawing/2014/chart" uri="{C3380CC4-5D6E-409C-BE32-E72D297353CC}">
              <c16:uniqueId val="{00000003-F079-47F3-87AC-348EB145B265}"/>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(n-C6)</a:t>
                </a:r>
                <a:r>
                  <a:rPr lang="en-IN" sz="1100">
                    <a:solidFill>
                      <a:sysClr val="windowText" lastClr="000000"/>
                    </a:solidFill>
                  </a:rPr>
                  <a:t>,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Conversion (n-C8), wt%</a:t>
                </a:r>
                <a:endParaRPr lang="en-IN" sz="1100">
                  <a:solidFill>
                    <a:sysClr val="windowText" lastClr="000000"/>
                  </a:solidFill>
                </a:endParaRPr>
              </a:p>
            </c:rich>
          </c:tx>
          <c:layout>
            <c:manualLayout>
              <c:xMode val="edge"/>
              <c:yMode val="edge"/>
              <c:x val="2.2457826685134529E-2"/>
              <c:y val="0.2889107977566472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v>R1</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'STCB vs ETCA'!$W$52:$AB$52</c:f>
              <c:numCache>
                <c:formatCode>0</c:formatCode>
                <c:ptCount val="6"/>
                <c:pt idx="0">
                  <c:v>12.184566052089775</c:v>
                </c:pt>
                <c:pt idx="1">
                  <c:v>20.412071517923085</c:v>
                </c:pt>
                <c:pt idx="2">
                  <c:v>40.543575783156392</c:v>
                </c:pt>
                <c:pt idx="3">
                  <c:v>66.053155483073823</c:v>
                </c:pt>
                <c:pt idx="4">
                  <c:v>86.450576840980148</c:v>
                </c:pt>
                <c:pt idx="5">
                  <c:v>92.850442054087253</c:v>
                </c:pt>
              </c:numCache>
            </c:numRef>
          </c:xVal>
          <c:yVal>
            <c:numRef>
              <c:f>'STCB vs ETCA'!$W$53:$AB$53</c:f>
              <c:numCache>
                <c:formatCode>0</c:formatCode>
                <c:ptCount val="6"/>
                <c:pt idx="0">
                  <c:v>38.765659855247158</c:v>
                </c:pt>
                <c:pt idx="1">
                  <c:v>42.662343168110652</c:v>
                </c:pt>
                <c:pt idx="2">
                  <c:v>70.767069974355906</c:v>
                </c:pt>
                <c:pt idx="3">
                  <c:v>90.952652037537803</c:v>
                </c:pt>
                <c:pt idx="4">
                  <c:v>98.739970118052568</c:v>
                </c:pt>
                <c:pt idx="5">
                  <c:v>99.699630103106969</c:v>
                </c:pt>
              </c:numCache>
            </c:numRef>
          </c:yVal>
          <c:smooth val="0"/>
          <c:extLst>
            <c:ext xmlns:c16="http://schemas.microsoft.com/office/drawing/2014/chart" uri="{C3380CC4-5D6E-409C-BE32-E72D297353CC}">
              <c16:uniqueId val="{00000000-0F06-49DB-95ED-D5071F0637CA}"/>
            </c:ext>
          </c:extLst>
        </c:ser>
        <c:ser>
          <c:idx val="1"/>
          <c:order val="1"/>
          <c:tx>
            <c:v>R2</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'STCB vs ETCA'!$W$52:$AB$52</c:f>
              <c:numCache>
                <c:formatCode>0</c:formatCode>
                <c:ptCount val="6"/>
                <c:pt idx="0">
                  <c:v>12.184566052089775</c:v>
                </c:pt>
                <c:pt idx="1">
                  <c:v>20.412071517923085</c:v>
                </c:pt>
                <c:pt idx="2">
                  <c:v>40.543575783156392</c:v>
                </c:pt>
                <c:pt idx="3">
                  <c:v>66.053155483073823</c:v>
                </c:pt>
                <c:pt idx="4">
                  <c:v>86.450576840980148</c:v>
                </c:pt>
                <c:pt idx="5">
                  <c:v>92.850442054087253</c:v>
                </c:pt>
              </c:numCache>
            </c:numRef>
          </c:xVal>
          <c:yVal>
            <c:numRef>
              <c:f>'STCB vs ETCA'!$W$53:$AB$53</c:f>
              <c:numCache>
                <c:formatCode>0</c:formatCode>
                <c:ptCount val="6"/>
                <c:pt idx="0">
                  <c:v>38.765659855247158</c:v>
                </c:pt>
                <c:pt idx="1">
                  <c:v>42.662343168110652</c:v>
                </c:pt>
                <c:pt idx="2">
                  <c:v>70.767069974355906</c:v>
                </c:pt>
                <c:pt idx="3">
                  <c:v>90.952652037537803</c:v>
                </c:pt>
                <c:pt idx="4">
                  <c:v>98.739970118052568</c:v>
                </c:pt>
                <c:pt idx="5">
                  <c:v>99.699630103106969</c:v>
                </c:pt>
              </c:numCache>
            </c:numRef>
          </c:yVal>
          <c:smooth val="0"/>
          <c:extLst>
            <c:ext xmlns:c16="http://schemas.microsoft.com/office/drawing/2014/chart" uri="{C3380CC4-5D6E-409C-BE32-E72D297353CC}">
              <c16:uniqueId val="{00000001-0F06-49DB-95ED-D5071F0637CA}"/>
            </c:ext>
          </c:extLst>
        </c:ser>
        <c:ser>
          <c:idx val="2"/>
          <c:order val="2"/>
          <c:tx>
            <c:v>R6</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'STCB vs ETCA'!$AD$52:$AI$52</c:f>
              <c:numCache>
                <c:formatCode>0</c:formatCode>
                <c:ptCount val="6"/>
                <c:pt idx="0">
                  <c:v>20.579488515501275</c:v>
                </c:pt>
                <c:pt idx="1">
                  <c:v>35.252642051610898</c:v>
                </c:pt>
                <c:pt idx="2">
                  <c:v>55.366607528690274</c:v>
                </c:pt>
                <c:pt idx="3">
                  <c:v>81.316017356226936</c:v>
                </c:pt>
                <c:pt idx="4">
                  <c:v>93.518211124356725</c:v>
                </c:pt>
                <c:pt idx="5">
                  <c:v>97.206321922466671</c:v>
                </c:pt>
              </c:numCache>
            </c:numRef>
          </c:xVal>
          <c:yVal>
            <c:numRef>
              <c:f>'STCB vs ETCA'!$AD$53:$AI$53</c:f>
              <c:numCache>
                <c:formatCode>0</c:formatCode>
                <c:ptCount val="6"/>
                <c:pt idx="0">
                  <c:v>52.167188225254037</c:v>
                </c:pt>
                <c:pt idx="1">
                  <c:v>64.884867549988911</c:v>
                </c:pt>
                <c:pt idx="2">
                  <c:v>83.468153735056163</c:v>
                </c:pt>
                <c:pt idx="3">
                  <c:v>97.452695616643808</c:v>
                </c:pt>
                <c:pt idx="4">
                  <c:v>99.716359201725894</c:v>
                </c:pt>
                <c:pt idx="5">
                  <c:v>99.907645196554526</c:v>
                </c:pt>
              </c:numCache>
            </c:numRef>
          </c:yVal>
          <c:smooth val="0"/>
          <c:extLst>
            <c:ext xmlns:c16="http://schemas.microsoft.com/office/drawing/2014/chart" uri="{C3380CC4-5D6E-409C-BE32-E72D297353CC}">
              <c16:uniqueId val="{00000002-0F06-49DB-95ED-D5071F0637CA}"/>
            </c:ext>
          </c:extLst>
        </c:ser>
        <c:ser>
          <c:idx val="3"/>
          <c:order val="3"/>
          <c:tx>
            <c:v>ETCA</c:v>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'STCB vs ETCA'!$C$52:$H$52</c:f>
              <c:numCache>
                <c:formatCode>0</c:formatCode>
                <c:ptCount val="6"/>
                <c:pt idx="0">
                  <c:v>18.707810993249755</c:v>
                </c:pt>
                <c:pt idx="1">
                  <c:v>25.554484088717452</c:v>
                </c:pt>
                <c:pt idx="2">
                  <c:v>38.572806171648978</c:v>
                </c:pt>
                <c:pt idx="3">
                  <c:v>64.513018322082942</c:v>
                </c:pt>
                <c:pt idx="4">
                  <c:v>81.967213114754102</c:v>
                </c:pt>
                <c:pt idx="5">
                  <c:v>89.488910318225649</c:v>
                </c:pt>
              </c:numCache>
            </c:numRef>
          </c:xVal>
          <c:yVal>
            <c:numRef>
              <c:f>'STCB vs ETCA'!$C$53:$H$53</c:f>
              <c:numCache>
                <c:formatCode>0</c:formatCode>
                <c:ptCount val="6"/>
                <c:pt idx="0">
                  <c:v>36.753731343283583</c:v>
                </c:pt>
                <c:pt idx="1">
                  <c:v>50.373134328358205</c:v>
                </c:pt>
                <c:pt idx="2">
                  <c:v>71.082089552238813</c:v>
                </c:pt>
                <c:pt idx="3">
                  <c:v>91.977611940298516</c:v>
                </c:pt>
                <c:pt idx="4">
                  <c:v>97.014925373134318</c:v>
                </c:pt>
                <c:pt idx="5">
                  <c:v>100</c:v>
                </c:pt>
              </c:numCache>
            </c:numRef>
          </c:yVal>
          <c:smooth val="0"/>
          <c:extLst>
            <c:ext xmlns:c16="http://schemas.microsoft.com/office/drawing/2014/chart" uri="{C3380CC4-5D6E-409C-BE32-E72D297353CC}">
              <c16:uniqueId val="{00000003-0F06-49DB-95ED-D5071F0637CA}"/>
            </c:ext>
          </c:extLst>
        </c:ser>
        <c:dLbls>
          <c:showLegendKey val="0"/>
          <c:showVal val="0"/>
          <c:showCatName val="0"/>
          <c:showSerName val="0"/>
          <c:showPercent val="0"/>
          <c:showBubbleSize val="0"/>
        </c:dLbls>
        <c:axId val="637486335"/>
        <c:axId val="637487775"/>
      </c:scatterChart>
      <c:valAx>
        <c:axId val="637486335"/>
        <c:scaling>
          <c:orientation val="minMax"/>
        </c:scaling>
        <c:delete val="0"/>
        <c:axPos val="b"/>
        <c:majorGridlines>
          <c:spPr>
            <a:ln w="9525" cap="flat" cmpd="sng" algn="ctr">
              <a:solidFill>
                <a:schemeClr val="tx1">
                  <a:lumMod val="15000"/>
                  <a:lumOff val="85000"/>
                </a:schemeClr>
              </a:solidFill>
              <a:prstDash val="sysDash"/>
              <a:round/>
            </a:ln>
            <a:effectLst/>
          </c:spPr>
        </c:majorGridlines>
        <c:title>
          <c:tx>
            <c:rich>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a:solidFill>
                      <a:sysClr val="windowText" lastClr="000000"/>
                    </a:solidFill>
                  </a:rPr>
                  <a:t>Conversion</a:t>
                </a:r>
                <a:r>
                  <a:rPr lang="en-IN" sz="1100" baseline="0">
                    <a:solidFill>
                      <a:sysClr val="windowText" lastClr="000000"/>
                    </a:solidFill>
                  </a:rPr>
                  <a:t> (n-C7)</a:t>
                </a:r>
                <a:r>
                  <a:rPr lang="en-IN" sz="1100">
                    <a:solidFill>
                      <a:sysClr val="windowText" lastClr="000000"/>
                    </a:solidFill>
                  </a:rPr>
                  <a:t>, wt%</a:t>
                </a:r>
              </a:p>
            </c:rich>
          </c:tx>
          <c:overlay val="0"/>
          <c:spPr>
            <a:noFill/>
            <a:ln>
              <a:noFill/>
            </a:ln>
            <a:effectLst/>
          </c:spPr>
          <c:txPr>
            <a:bodyPr rot="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7775"/>
        <c:crosses val="autoZero"/>
        <c:crossBetween val="midCat"/>
      </c:valAx>
      <c:valAx>
        <c:axId val="637487775"/>
        <c:scaling>
          <c:orientation val="minMax"/>
        </c:scaling>
        <c:delete val="0"/>
        <c:axPos val="l"/>
        <c:majorGridlines>
          <c:spPr>
            <a:ln w="9525" cap="flat" cmpd="sng" algn="ctr">
              <a:solidFill>
                <a:schemeClr val="tx1">
                  <a:lumMod val="15000"/>
                  <a:lumOff val="85000"/>
                </a:schemeClr>
              </a:solidFill>
              <a:prstDash val="sysDash"/>
              <a:round/>
            </a:ln>
            <a:effectLst/>
          </c:spPr>
        </c:majorGridlines>
        <c:title>
          <c:tx>
            <c:rich>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r>
                  <a:rPr lang="en-IN" sz="1100" baseline="0">
                    <a:solidFill>
                      <a:sysClr val="windowText" lastClr="000000"/>
                    </a:solidFill>
                  </a:rPr>
                  <a:t>Conversion (n-C8), wt%</a:t>
                </a:r>
                <a:endParaRPr lang="en-IN" sz="1100">
                  <a:solidFill>
                    <a:sysClr val="windowText" lastClr="000000"/>
                  </a:solidFill>
                </a:endParaRPr>
              </a:p>
            </c:rich>
          </c:tx>
          <c:layout>
            <c:manualLayout>
              <c:xMode val="edge"/>
              <c:yMode val="edge"/>
              <c:x val="2.2457826685134529E-2"/>
              <c:y val="0.28891079775664724"/>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IN"/>
            </a:p>
          </c:txPr>
        </c:title>
        <c:numFmt formatCode="0" sourceLinked="0"/>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Aptos" panose="020B0004020202020204" pitchFamily="34" charset="0"/>
                <a:ea typeface="+mn-ea"/>
                <a:cs typeface="+mn-cs"/>
              </a:defRPr>
            </a:pPr>
            <a:endParaRPr lang="en-US"/>
          </a:p>
        </c:txPr>
        <c:crossAx val="637486335"/>
        <c:crosses val="autoZero"/>
        <c:crossBetween val="midCat"/>
      </c:valAx>
      <c:spPr>
        <a:noFill/>
        <a:ln w="15875">
          <a:solidFill>
            <a:schemeClr val="tx1"/>
          </a:solid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5.xml"/><Relationship Id="rId1" Type="http://schemas.openxmlformats.org/officeDocument/2006/relationships/chart" Target="../charts/chart14.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6.xml"/><Relationship Id="rId18" Type="http://schemas.openxmlformats.org/officeDocument/2006/relationships/chart" Target="../charts/chart31.xml"/><Relationship Id="rId26" Type="http://schemas.openxmlformats.org/officeDocument/2006/relationships/chart" Target="../charts/chart39.xml"/><Relationship Id="rId3" Type="http://schemas.openxmlformats.org/officeDocument/2006/relationships/chart" Target="../charts/chart16.xml"/><Relationship Id="rId21" Type="http://schemas.openxmlformats.org/officeDocument/2006/relationships/chart" Target="../charts/chart34.xml"/><Relationship Id="rId7" Type="http://schemas.openxmlformats.org/officeDocument/2006/relationships/chart" Target="../charts/chart20.xml"/><Relationship Id="rId12" Type="http://schemas.openxmlformats.org/officeDocument/2006/relationships/chart" Target="../charts/chart25.xml"/><Relationship Id="rId17" Type="http://schemas.openxmlformats.org/officeDocument/2006/relationships/chart" Target="../charts/chart30.xml"/><Relationship Id="rId25" Type="http://schemas.openxmlformats.org/officeDocument/2006/relationships/chart" Target="../charts/chart38.xml"/><Relationship Id="rId2" Type="http://schemas.openxmlformats.org/officeDocument/2006/relationships/image" Target="../media/image9.png"/><Relationship Id="rId16" Type="http://schemas.openxmlformats.org/officeDocument/2006/relationships/chart" Target="../charts/chart29.xml"/><Relationship Id="rId20" Type="http://schemas.openxmlformats.org/officeDocument/2006/relationships/chart" Target="../charts/chart33.xml"/><Relationship Id="rId1" Type="http://schemas.openxmlformats.org/officeDocument/2006/relationships/image" Target="../media/image8.png"/><Relationship Id="rId6" Type="http://schemas.openxmlformats.org/officeDocument/2006/relationships/chart" Target="../charts/chart19.xml"/><Relationship Id="rId11" Type="http://schemas.openxmlformats.org/officeDocument/2006/relationships/chart" Target="../charts/chart24.xml"/><Relationship Id="rId24" Type="http://schemas.openxmlformats.org/officeDocument/2006/relationships/chart" Target="../charts/chart37.xml"/><Relationship Id="rId5" Type="http://schemas.openxmlformats.org/officeDocument/2006/relationships/chart" Target="../charts/chart18.xml"/><Relationship Id="rId15" Type="http://schemas.openxmlformats.org/officeDocument/2006/relationships/chart" Target="../charts/chart28.xml"/><Relationship Id="rId23" Type="http://schemas.openxmlformats.org/officeDocument/2006/relationships/chart" Target="../charts/chart36.xml"/><Relationship Id="rId10" Type="http://schemas.openxmlformats.org/officeDocument/2006/relationships/chart" Target="../charts/chart23.xml"/><Relationship Id="rId19" Type="http://schemas.openxmlformats.org/officeDocument/2006/relationships/chart" Target="../charts/chart32.xml"/><Relationship Id="rId4" Type="http://schemas.openxmlformats.org/officeDocument/2006/relationships/chart" Target="../charts/chart17.xml"/><Relationship Id="rId9" Type="http://schemas.openxmlformats.org/officeDocument/2006/relationships/chart" Target="../charts/chart22.xml"/><Relationship Id="rId14" Type="http://schemas.openxmlformats.org/officeDocument/2006/relationships/chart" Target="../charts/chart27.xml"/><Relationship Id="rId22"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18</xdr:col>
      <xdr:colOff>47625</xdr:colOff>
      <xdr:row>11</xdr:row>
      <xdr:rowOff>371475</xdr:rowOff>
    </xdr:from>
    <xdr:to>
      <xdr:col>29</xdr:col>
      <xdr:colOff>276225</xdr:colOff>
      <xdr:row>27</xdr:row>
      <xdr:rowOff>119062</xdr:rowOff>
    </xdr:to>
    <xdr:graphicFrame macro="">
      <xdr:nvGraphicFramePr>
        <xdr:cNvPr id="2" name="Chart 1">
          <a:extLst>
            <a:ext uri="{FF2B5EF4-FFF2-40B4-BE49-F238E27FC236}">
              <a16:creationId xmlns:a16="http://schemas.microsoft.com/office/drawing/2014/main" id="{E9A1BE05-9185-425A-AC2F-C877917AE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174625</xdr:colOff>
      <xdr:row>33</xdr:row>
      <xdr:rowOff>1722437</xdr:rowOff>
    </xdr:from>
    <xdr:to>
      <xdr:col>16</xdr:col>
      <xdr:colOff>321469</xdr:colOff>
      <xdr:row>46</xdr:row>
      <xdr:rowOff>87312</xdr:rowOff>
    </xdr:to>
    <xdr:graphicFrame macro="">
      <xdr:nvGraphicFramePr>
        <xdr:cNvPr id="3" name="Chart 2">
          <a:extLst>
            <a:ext uri="{FF2B5EF4-FFF2-40B4-BE49-F238E27FC236}">
              <a16:creationId xmlns:a16="http://schemas.microsoft.com/office/drawing/2014/main" id="{10CF7772-BBD0-4334-96A3-8FA500151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547688</xdr:colOff>
      <xdr:row>35</xdr:row>
      <xdr:rowOff>71438</xdr:rowOff>
    </xdr:from>
    <xdr:to>
      <xdr:col>22</xdr:col>
      <xdr:colOff>464345</xdr:colOff>
      <xdr:row>56</xdr:row>
      <xdr:rowOff>1</xdr:rowOff>
    </xdr:to>
    <xdr:graphicFrame macro="">
      <xdr:nvGraphicFramePr>
        <xdr:cNvPr id="4" name="Chart 3">
          <a:extLst>
            <a:ext uri="{FF2B5EF4-FFF2-40B4-BE49-F238E27FC236}">
              <a16:creationId xmlns:a16="http://schemas.microsoft.com/office/drawing/2014/main" id="{AB30AA0F-9700-4232-8D16-E75CBEFF96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166687</xdr:colOff>
      <xdr:row>47</xdr:row>
      <xdr:rowOff>158750</xdr:rowOff>
    </xdr:from>
    <xdr:to>
      <xdr:col>16</xdr:col>
      <xdr:colOff>313531</xdr:colOff>
      <xdr:row>68</xdr:row>
      <xdr:rowOff>87313</xdr:rowOff>
    </xdr:to>
    <xdr:graphicFrame macro="">
      <xdr:nvGraphicFramePr>
        <xdr:cNvPr id="5" name="Chart 4">
          <a:extLst>
            <a:ext uri="{FF2B5EF4-FFF2-40B4-BE49-F238E27FC236}">
              <a16:creationId xmlns:a16="http://schemas.microsoft.com/office/drawing/2014/main" id="{5263EF57-3F85-4D5B-B14A-9DBCBC498B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619125</xdr:colOff>
      <xdr:row>38</xdr:row>
      <xdr:rowOff>103188</xdr:rowOff>
    </xdr:from>
    <xdr:to>
      <xdr:col>4</xdr:col>
      <xdr:colOff>857250</xdr:colOff>
      <xdr:row>47</xdr:row>
      <xdr:rowOff>79375</xdr:rowOff>
    </xdr:to>
    <xdr:cxnSp macro="">
      <xdr:nvCxnSpPr>
        <xdr:cNvPr id="6" name="Straight Arrow Connector 5">
          <a:extLst>
            <a:ext uri="{FF2B5EF4-FFF2-40B4-BE49-F238E27FC236}">
              <a16:creationId xmlns:a16="http://schemas.microsoft.com/office/drawing/2014/main" id="{99DA5A5D-B4F8-4A33-A945-386F70FD6458}"/>
            </a:ext>
          </a:extLst>
        </xdr:cNvPr>
        <xdr:cNvCxnSpPr/>
      </xdr:nvCxnSpPr>
      <xdr:spPr>
        <a:xfrm>
          <a:off x="1828800" y="7342188"/>
          <a:ext cx="1219200" cy="169068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422275</xdr:colOff>
      <xdr:row>43</xdr:row>
      <xdr:rowOff>80963</xdr:rowOff>
    </xdr:from>
    <xdr:to>
      <xdr:col>4</xdr:col>
      <xdr:colOff>660400</xdr:colOff>
      <xdr:row>52</xdr:row>
      <xdr:rowOff>57151</xdr:rowOff>
    </xdr:to>
    <xdr:cxnSp macro="">
      <xdr:nvCxnSpPr>
        <xdr:cNvPr id="7" name="Straight Arrow Connector 6">
          <a:extLst>
            <a:ext uri="{FF2B5EF4-FFF2-40B4-BE49-F238E27FC236}">
              <a16:creationId xmlns:a16="http://schemas.microsoft.com/office/drawing/2014/main" id="{503BC015-8143-42A2-AC8E-634F13254CC0}"/>
            </a:ext>
          </a:extLst>
        </xdr:cNvPr>
        <xdr:cNvCxnSpPr/>
      </xdr:nvCxnSpPr>
      <xdr:spPr>
        <a:xfrm>
          <a:off x="1641475" y="8272463"/>
          <a:ext cx="1409700" cy="169068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xdr:col>
      <xdr:colOff>409575</xdr:colOff>
      <xdr:row>0</xdr:row>
      <xdr:rowOff>0</xdr:rowOff>
    </xdr:from>
    <xdr:ext cx="9126224" cy="11793596"/>
    <xdr:pic>
      <xdr:nvPicPr>
        <xdr:cNvPr id="2" name="Picture 1">
          <a:extLst>
            <a:ext uri="{FF2B5EF4-FFF2-40B4-BE49-F238E27FC236}">
              <a16:creationId xmlns:a16="http://schemas.microsoft.com/office/drawing/2014/main" id="{EAF1B7D5-50E8-4EA4-A0DB-064F5057F542}"/>
            </a:ext>
          </a:extLst>
        </xdr:cNvPr>
        <xdr:cNvPicPr>
          <a:picLocks noChangeAspect="1"/>
        </xdr:cNvPicPr>
      </xdr:nvPicPr>
      <xdr:blipFill>
        <a:blip xmlns:r="http://schemas.openxmlformats.org/officeDocument/2006/relationships" r:embed="rId1"/>
        <a:stretch>
          <a:fillRect/>
        </a:stretch>
      </xdr:blipFill>
      <xdr:spPr>
        <a:xfrm>
          <a:off x="1019175" y="0"/>
          <a:ext cx="9126224" cy="11793596"/>
        </a:xfrm>
        <a:prstGeom prst="rect">
          <a:avLst/>
        </a:prstGeom>
      </xdr:spPr>
    </xdr:pic>
    <xdr:clientData/>
  </xdr:oneCellAnchor>
  <xdr:oneCellAnchor>
    <xdr:from>
      <xdr:col>19</xdr:col>
      <xdr:colOff>476250</xdr:colOff>
      <xdr:row>0</xdr:row>
      <xdr:rowOff>123825</xdr:rowOff>
    </xdr:from>
    <xdr:ext cx="9812892" cy="5475971"/>
    <xdr:pic>
      <xdr:nvPicPr>
        <xdr:cNvPr id="3" name="Picture 2">
          <a:extLst>
            <a:ext uri="{FF2B5EF4-FFF2-40B4-BE49-F238E27FC236}">
              <a16:creationId xmlns:a16="http://schemas.microsoft.com/office/drawing/2014/main" id="{6507FB96-3900-408B-BF95-61AC8A488373}"/>
            </a:ext>
          </a:extLst>
        </xdr:cNvPr>
        <xdr:cNvPicPr>
          <a:picLocks noChangeAspect="1"/>
        </xdr:cNvPicPr>
      </xdr:nvPicPr>
      <xdr:blipFill>
        <a:blip xmlns:r="http://schemas.openxmlformats.org/officeDocument/2006/relationships" r:embed="rId2"/>
        <a:stretch>
          <a:fillRect/>
        </a:stretch>
      </xdr:blipFill>
      <xdr:spPr>
        <a:xfrm>
          <a:off x="12058650" y="123825"/>
          <a:ext cx="9812892" cy="5475971"/>
        </a:xfrm>
        <a:prstGeom prst="rect">
          <a:avLst/>
        </a:prstGeom>
      </xdr:spPr>
    </xdr:pic>
    <xdr:clientData/>
  </xdr:oneCellAnchor>
  <xdr:oneCellAnchor>
    <xdr:from>
      <xdr:col>19</xdr:col>
      <xdr:colOff>447675</xdr:colOff>
      <xdr:row>30</xdr:row>
      <xdr:rowOff>161925</xdr:rowOff>
    </xdr:from>
    <xdr:ext cx="9677400" cy="5685278"/>
    <xdr:pic>
      <xdr:nvPicPr>
        <xdr:cNvPr id="4" name="Picture 3">
          <a:extLst>
            <a:ext uri="{FF2B5EF4-FFF2-40B4-BE49-F238E27FC236}">
              <a16:creationId xmlns:a16="http://schemas.microsoft.com/office/drawing/2014/main" id="{DE5E472F-3CCD-4CE2-8164-87B4BE2426A7}"/>
            </a:ext>
          </a:extLst>
        </xdr:cNvPr>
        <xdr:cNvPicPr>
          <a:picLocks noChangeAspect="1"/>
        </xdr:cNvPicPr>
      </xdr:nvPicPr>
      <xdr:blipFill>
        <a:blip xmlns:r="http://schemas.openxmlformats.org/officeDocument/2006/relationships" r:embed="rId3"/>
        <a:stretch>
          <a:fillRect/>
        </a:stretch>
      </xdr:blipFill>
      <xdr:spPr>
        <a:xfrm>
          <a:off x="12030075" y="5876925"/>
          <a:ext cx="9677400" cy="5685278"/>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6</xdr:col>
      <xdr:colOff>277811</xdr:colOff>
      <xdr:row>12</xdr:row>
      <xdr:rowOff>170089</xdr:rowOff>
    </xdr:from>
    <xdr:to>
      <xdr:col>8</xdr:col>
      <xdr:colOff>3510642</xdr:colOff>
      <xdr:row>30</xdr:row>
      <xdr:rowOff>10319</xdr:rowOff>
    </xdr:to>
    <xdr:graphicFrame macro="">
      <xdr:nvGraphicFramePr>
        <xdr:cNvPr id="2" name="Chart 1">
          <a:extLst>
            <a:ext uri="{FF2B5EF4-FFF2-40B4-BE49-F238E27FC236}">
              <a16:creationId xmlns:a16="http://schemas.microsoft.com/office/drawing/2014/main" id="{F9A1B607-64E6-4F98-A7B3-7F31CCB94B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399278</xdr:colOff>
      <xdr:row>24</xdr:row>
      <xdr:rowOff>33670</xdr:rowOff>
    </xdr:from>
    <xdr:ext cx="1280222" cy="201915"/>
    <xdr:sp macro="" textlink="">
      <xdr:nvSpPr>
        <xdr:cNvPr id="3" name="TextBox 2">
          <a:extLst>
            <a:ext uri="{FF2B5EF4-FFF2-40B4-BE49-F238E27FC236}">
              <a16:creationId xmlns:a16="http://schemas.microsoft.com/office/drawing/2014/main" id="{8DECA838-9949-44B8-949E-820D98B88783}"/>
            </a:ext>
          </a:extLst>
        </xdr:cNvPr>
        <xdr:cNvSpPr txBox="1"/>
      </xdr:nvSpPr>
      <xdr:spPr>
        <a:xfrm>
          <a:off x="4666478" y="4605670"/>
          <a:ext cx="1280222"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a:solidFill>
                <a:schemeClr val="tx1"/>
              </a:solidFill>
              <a:latin typeface="Aptos" panose="020B0004020202020204" pitchFamily="34" charset="0"/>
            </a:rPr>
            <a:t>@30</a:t>
          </a:r>
          <a:r>
            <a:rPr lang="en-IN" sz="700" b="0" baseline="30000">
              <a:solidFill>
                <a:schemeClr val="tx1"/>
              </a:solidFill>
              <a:latin typeface="Aptos" panose="020B0004020202020204" pitchFamily="34" charset="0"/>
            </a:rPr>
            <a:t> o</a:t>
          </a:r>
          <a:r>
            <a:rPr lang="en-IN" sz="700" b="0">
              <a:solidFill>
                <a:schemeClr val="tx1"/>
              </a:solidFill>
              <a:latin typeface="Aptos" panose="020B0004020202020204" pitchFamily="34" charset="0"/>
            </a:rPr>
            <a:t>C/hr (Heating/Cooling)</a:t>
          </a:r>
        </a:p>
      </xdr:txBody>
    </xdr:sp>
    <xdr:clientData/>
  </xdr:oneCellAnchor>
  <xdr:oneCellAnchor>
    <xdr:from>
      <xdr:col>7</xdr:col>
      <xdr:colOff>47786</xdr:colOff>
      <xdr:row>18</xdr:row>
      <xdr:rowOff>177692</xdr:rowOff>
    </xdr:from>
    <xdr:ext cx="784958" cy="201915"/>
    <xdr:sp macro="" textlink="">
      <xdr:nvSpPr>
        <xdr:cNvPr id="4" name="TextBox 3">
          <a:extLst>
            <a:ext uri="{FF2B5EF4-FFF2-40B4-BE49-F238E27FC236}">
              <a16:creationId xmlns:a16="http://schemas.microsoft.com/office/drawing/2014/main" id="{871B830A-A587-43CE-9A03-3CE283032468}"/>
            </a:ext>
          </a:extLst>
        </xdr:cNvPr>
        <xdr:cNvSpPr txBox="1"/>
      </xdr:nvSpPr>
      <xdr:spPr>
        <a:xfrm>
          <a:off x="4314986" y="3606692"/>
          <a:ext cx="784958"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1">
                  <a:lumMod val="50000"/>
                </a:schemeClr>
              </a:solidFill>
              <a:latin typeface="Aptos" panose="020B0004020202020204" pitchFamily="34" charset="0"/>
            </a:rPr>
            <a:t>180</a:t>
          </a:r>
          <a:r>
            <a:rPr lang="en-IN" sz="700" baseline="30000">
              <a:solidFill>
                <a:schemeClr val="accent1">
                  <a:lumMod val="50000"/>
                </a:schemeClr>
              </a:solidFill>
              <a:latin typeface="Aptos" panose="020B0004020202020204" pitchFamily="34" charset="0"/>
            </a:rPr>
            <a:t> o</a:t>
          </a:r>
          <a:r>
            <a:rPr lang="en-IN" sz="700">
              <a:solidFill>
                <a:schemeClr val="accent1">
                  <a:lumMod val="50000"/>
                </a:schemeClr>
              </a:solidFill>
              <a:latin typeface="Aptos" panose="020B0004020202020204" pitchFamily="34" charset="0"/>
            </a:rPr>
            <a:t>C, 30 mins</a:t>
          </a:r>
        </a:p>
      </xdr:txBody>
    </xdr:sp>
    <xdr:clientData/>
  </xdr:oneCellAnchor>
  <xdr:oneCellAnchor>
    <xdr:from>
      <xdr:col>7</xdr:col>
      <xdr:colOff>295703</xdr:colOff>
      <xdr:row>17</xdr:row>
      <xdr:rowOff>72035</xdr:rowOff>
    </xdr:from>
    <xdr:ext cx="784958" cy="201915"/>
    <xdr:sp macro="" textlink="">
      <xdr:nvSpPr>
        <xdr:cNvPr id="5" name="TextBox 4">
          <a:extLst>
            <a:ext uri="{FF2B5EF4-FFF2-40B4-BE49-F238E27FC236}">
              <a16:creationId xmlns:a16="http://schemas.microsoft.com/office/drawing/2014/main" id="{420C20A1-6ECC-4FA5-A435-838122BA04F8}"/>
            </a:ext>
          </a:extLst>
        </xdr:cNvPr>
        <xdr:cNvSpPr txBox="1"/>
      </xdr:nvSpPr>
      <xdr:spPr>
        <a:xfrm>
          <a:off x="4562903" y="3310535"/>
          <a:ext cx="784958"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1">
                  <a:lumMod val="50000"/>
                </a:schemeClr>
              </a:solidFill>
              <a:latin typeface="Aptos" panose="020B0004020202020204" pitchFamily="34" charset="0"/>
            </a:rPr>
            <a:t>220</a:t>
          </a:r>
          <a:r>
            <a:rPr lang="en-IN" sz="700" baseline="30000">
              <a:solidFill>
                <a:schemeClr val="accent1">
                  <a:lumMod val="50000"/>
                </a:schemeClr>
              </a:solidFill>
              <a:latin typeface="Aptos" panose="020B0004020202020204" pitchFamily="34" charset="0"/>
            </a:rPr>
            <a:t> o</a:t>
          </a:r>
          <a:r>
            <a:rPr lang="en-IN" sz="700">
              <a:solidFill>
                <a:schemeClr val="accent1">
                  <a:lumMod val="50000"/>
                </a:schemeClr>
              </a:solidFill>
              <a:latin typeface="Aptos" panose="020B0004020202020204" pitchFamily="34" charset="0"/>
            </a:rPr>
            <a:t>C, 30 mins</a:t>
          </a:r>
        </a:p>
      </xdr:txBody>
    </xdr:sp>
    <xdr:clientData/>
  </xdr:oneCellAnchor>
  <xdr:oneCellAnchor>
    <xdr:from>
      <xdr:col>7</xdr:col>
      <xdr:colOff>877423</xdr:colOff>
      <xdr:row>15</xdr:row>
      <xdr:rowOff>137403</xdr:rowOff>
    </xdr:from>
    <xdr:ext cx="832920" cy="201915"/>
    <xdr:sp macro="" textlink="">
      <xdr:nvSpPr>
        <xdr:cNvPr id="6" name="TextBox 5">
          <a:extLst>
            <a:ext uri="{FF2B5EF4-FFF2-40B4-BE49-F238E27FC236}">
              <a16:creationId xmlns:a16="http://schemas.microsoft.com/office/drawing/2014/main" id="{14EA984E-810D-4E74-89A5-05B82CF62D14}"/>
            </a:ext>
          </a:extLst>
        </xdr:cNvPr>
        <xdr:cNvSpPr txBox="1"/>
      </xdr:nvSpPr>
      <xdr:spPr>
        <a:xfrm>
          <a:off x="4877923" y="2994903"/>
          <a:ext cx="83292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1">
                  <a:lumMod val="50000"/>
                </a:schemeClr>
              </a:solidFill>
              <a:latin typeface="Aptos" panose="020B0004020202020204" pitchFamily="34" charset="0"/>
            </a:rPr>
            <a:t>260</a:t>
          </a:r>
          <a:r>
            <a:rPr lang="en-IN" sz="700" baseline="30000">
              <a:solidFill>
                <a:schemeClr val="accent1">
                  <a:lumMod val="50000"/>
                </a:schemeClr>
              </a:solidFill>
              <a:latin typeface="Aptos" panose="020B0004020202020204" pitchFamily="34" charset="0"/>
            </a:rPr>
            <a:t> o</a:t>
          </a:r>
          <a:r>
            <a:rPr lang="en-IN" sz="700">
              <a:solidFill>
                <a:schemeClr val="accent1">
                  <a:lumMod val="50000"/>
                </a:schemeClr>
              </a:solidFill>
              <a:latin typeface="Aptos" panose="020B0004020202020204" pitchFamily="34" charset="0"/>
            </a:rPr>
            <a:t>C, 120 mins</a:t>
          </a:r>
        </a:p>
      </xdr:txBody>
    </xdr:sp>
    <xdr:clientData/>
  </xdr:oneCellAnchor>
  <xdr:oneCellAnchor>
    <xdr:from>
      <xdr:col>8</xdr:col>
      <xdr:colOff>574090</xdr:colOff>
      <xdr:row>20</xdr:row>
      <xdr:rowOff>151837</xdr:rowOff>
    </xdr:from>
    <xdr:ext cx="784958" cy="201915"/>
    <xdr:sp macro="" textlink="">
      <xdr:nvSpPr>
        <xdr:cNvPr id="7" name="TextBox 6">
          <a:extLst>
            <a:ext uri="{FF2B5EF4-FFF2-40B4-BE49-F238E27FC236}">
              <a16:creationId xmlns:a16="http://schemas.microsoft.com/office/drawing/2014/main" id="{F6E3A639-6C26-4637-95D2-0CF1E0BF41EA}"/>
            </a:ext>
          </a:extLst>
        </xdr:cNvPr>
        <xdr:cNvSpPr txBox="1"/>
      </xdr:nvSpPr>
      <xdr:spPr>
        <a:xfrm>
          <a:off x="5450890" y="3961837"/>
          <a:ext cx="784958"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1">
                  <a:lumMod val="50000"/>
                </a:schemeClr>
              </a:solidFill>
              <a:latin typeface="Aptos" panose="020B0004020202020204" pitchFamily="34" charset="0"/>
            </a:rPr>
            <a:t>160</a:t>
          </a:r>
          <a:r>
            <a:rPr lang="en-IN" sz="700" baseline="30000">
              <a:solidFill>
                <a:schemeClr val="accent1">
                  <a:lumMod val="50000"/>
                </a:schemeClr>
              </a:solidFill>
              <a:latin typeface="Aptos" panose="020B0004020202020204" pitchFamily="34" charset="0"/>
            </a:rPr>
            <a:t> o</a:t>
          </a:r>
          <a:r>
            <a:rPr lang="en-IN" sz="700">
              <a:solidFill>
                <a:schemeClr val="accent1">
                  <a:lumMod val="50000"/>
                </a:schemeClr>
              </a:solidFill>
              <a:latin typeface="Aptos" panose="020B0004020202020204" pitchFamily="34" charset="0"/>
            </a:rPr>
            <a:t>C, 90 mins</a:t>
          </a:r>
        </a:p>
      </xdr:txBody>
    </xdr:sp>
    <xdr:clientData/>
  </xdr:oneCellAnchor>
  <xdr:oneCellAnchor>
    <xdr:from>
      <xdr:col>8</xdr:col>
      <xdr:colOff>1355593</xdr:colOff>
      <xdr:row>15</xdr:row>
      <xdr:rowOff>131879</xdr:rowOff>
    </xdr:from>
    <xdr:ext cx="832920" cy="201915"/>
    <xdr:sp macro="" textlink="">
      <xdr:nvSpPr>
        <xdr:cNvPr id="8" name="TextBox 7">
          <a:extLst>
            <a:ext uri="{FF2B5EF4-FFF2-40B4-BE49-F238E27FC236}">
              <a16:creationId xmlns:a16="http://schemas.microsoft.com/office/drawing/2014/main" id="{5851C3B7-E487-4647-87CC-FE6AD9AA3E44}"/>
            </a:ext>
          </a:extLst>
        </xdr:cNvPr>
        <xdr:cNvSpPr txBox="1"/>
      </xdr:nvSpPr>
      <xdr:spPr>
        <a:xfrm>
          <a:off x="5489443" y="2989379"/>
          <a:ext cx="83292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2"/>
              </a:solidFill>
              <a:latin typeface="Aptos" panose="020B0004020202020204" pitchFamily="34" charset="0"/>
            </a:rPr>
            <a:t>260</a:t>
          </a:r>
          <a:r>
            <a:rPr lang="en-IN" sz="700" baseline="30000">
              <a:solidFill>
                <a:schemeClr val="accent2"/>
              </a:solidFill>
              <a:latin typeface="Aptos" panose="020B0004020202020204" pitchFamily="34" charset="0"/>
            </a:rPr>
            <a:t> o</a:t>
          </a:r>
          <a:r>
            <a:rPr lang="en-IN" sz="700">
              <a:solidFill>
                <a:schemeClr val="accent2"/>
              </a:solidFill>
              <a:latin typeface="Aptos" panose="020B0004020202020204" pitchFamily="34" charset="0"/>
            </a:rPr>
            <a:t>C, 360 mins</a:t>
          </a:r>
        </a:p>
      </xdr:txBody>
    </xdr:sp>
    <xdr:clientData/>
  </xdr:oneCellAnchor>
  <xdr:oneCellAnchor>
    <xdr:from>
      <xdr:col>8</xdr:col>
      <xdr:colOff>2084936</xdr:colOff>
      <xdr:row>19</xdr:row>
      <xdr:rowOff>155465</xdr:rowOff>
    </xdr:from>
    <xdr:ext cx="784958" cy="201915"/>
    <xdr:sp macro="" textlink="">
      <xdr:nvSpPr>
        <xdr:cNvPr id="9" name="TextBox 8">
          <a:extLst>
            <a:ext uri="{FF2B5EF4-FFF2-40B4-BE49-F238E27FC236}">
              <a16:creationId xmlns:a16="http://schemas.microsoft.com/office/drawing/2014/main" id="{59E6176A-E294-46D4-AE89-BA2281AF62FE}"/>
            </a:ext>
          </a:extLst>
        </xdr:cNvPr>
        <xdr:cNvSpPr txBox="1"/>
      </xdr:nvSpPr>
      <xdr:spPr>
        <a:xfrm>
          <a:off x="5485361" y="3774965"/>
          <a:ext cx="784958"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a:solidFill>
                <a:schemeClr val="accent2"/>
              </a:solidFill>
              <a:latin typeface="Aptos" panose="020B0004020202020204" pitchFamily="34" charset="0"/>
            </a:rPr>
            <a:t>190</a:t>
          </a:r>
          <a:r>
            <a:rPr lang="en-IN" sz="700" baseline="30000">
              <a:solidFill>
                <a:schemeClr val="accent2"/>
              </a:solidFill>
              <a:latin typeface="Aptos" panose="020B0004020202020204" pitchFamily="34" charset="0"/>
            </a:rPr>
            <a:t> o</a:t>
          </a:r>
          <a:r>
            <a:rPr lang="en-IN" sz="700">
              <a:solidFill>
                <a:schemeClr val="accent2"/>
              </a:solidFill>
              <a:latin typeface="Aptos" panose="020B0004020202020204" pitchFamily="34" charset="0"/>
            </a:rPr>
            <a:t>C, 30 mins</a:t>
          </a:r>
        </a:p>
      </xdr:txBody>
    </xdr:sp>
    <xdr:clientData/>
  </xdr:oneCellAnchor>
  <xdr:oneCellAnchor>
    <xdr:from>
      <xdr:col>7</xdr:col>
      <xdr:colOff>776196</xdr:colOff>
      <xdr:row>25</xdr:row>
      <xdr:rowOff>104428</xdr:rowOff>
    </xdr:from>
    <xdr:ext cx="495970" cy="201915"/>
    <xdr:sp macro="" textlink="">
      <xdr:nvSpPr>
        <xdr:cNvPr id="10" name="TextBox 9">
          <a:extLst>
            <a:ext uri="{FF2B5EF4-FFF2-40B4-BE49-F238E27FC236}">
              <a16:creationId xmlns:a16="http://schemas.microsoft.com/office/drawing/2014/main" id="{D118D214-E1CE-4613-A68C-D1FF98A14A84}"/>
            </a:ext>
          </a:extLst>
        </xdr:cNvPr>
        <xdr:cNvSpPr txBox="1"/>
      </xdr:nvSpPr>
      <xdr:spPr>
        <a:xfrm>
          <a:off x="4881471" y="4866928"/>
          <a:ext cx="49597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baseline="0">
              <a:solidFill>
                <a:schemeClr val="tx1"/>
              </a:solidFill>
              <a:latin typeface="Aptos" panose="020B0004020202020204" pitchFamily="34" charset="0"/>
            </a:rPr>
            <a:t>1.5 barg</a:t>
          </a:r>
          <a:endParaRPr lang="en-IN" sz="700" b="0">
            <a:solidFill>
              <a:schemeClr val="tx1"/>
            </a:solidFill>
            <a:latin typeface="Aptos" panose="020B0004020202020204" pitchFamily="34" charset="0"/>
          </a:endParaRPr>
        </a:p>
      </xdr:txBody>
    </xdr:sp>
    <xdr:clientData/>
  </xdr:oneCellAnchor>
  <xdr:oneCellAnchor>
    <xdr:from>
      <xdr:col>8</xdr:col>
      <xdr:colOff>1758632</xdr:colOff>
      <xdr:row>22</xdr:row>
      <xdr:rowOff>73132</xdr:rowOff>
    </xdr:from>
    <xdr:ext cx="470322" cy="201915"/>
    <xdr:sp macro="" textlink="">
      <xdr:nvSpPr>
        <xdr:cNvPr id="11" name="TextBox 10">
          <a:extLst>
            <a:ext uri="{FF2B5EF4-FFF2-40B4-BE49-F238E27FC236}">
              <a16:creationId xmlns:a16="http://schemas.microsoft.com/office/drawing/2014/main" id="{0E8EE81C-EC56-473A-AA7A-D7A83321737F}"/>
            </a:ext>
          </a:extLst>
        </xdr:cNvPr>
        <xdr:cNvSpPr txBox="1"/>
      </xdr:nvSpPr>
      <xdr:spPr>
        <a:xfrm>
          <a:off x="5482907" y="4264132"/>
          <a:ext cx="470322"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baseline="0">
              <a:solidFill>
                <a:schemeClr val="tx1"/>
              </a:solidFill>
              <a:latin typeface="Aptos" panose="020B0004020202020204" pitchFamily="34" charset="0"/>
            </a:rPr>
            <a:t>25 barg</a:t>
          </a:r>
          <a:endParaRPr lang="en-IN" sz="700" b="0">
            <a:solidFill>
              <a:schemeClr val="tx1"/>
            </a:solidFill>
            <a:latin typeface="Aptos" panose="020B0004020202020204" pitchFamily="34" charset="0"/>
          </a:endParaRPr>
        </a:p>
      </xdr:txBody>
    </xdr:sp>
    <xdr:clientData/>
  </xdr:oneCellAnchor>
  <xdr:oneCellAnchor>
    <xdr:from>
      <xdr:col>6</xdr:col>
      <xdr:colOff>819740</xdr:colOff>
      <xdr:row>23</xdr:row>
      <xdr:rowOff>107149</xdr:rowOff>
    </xdr:from>
    <xdr:ext cx="584840" cy="201915"/>
    <xdr:sp macro="" textlink="">
      <xdr:nvSpPr>
        <xdr:cNvPr id="12" name="TextBox 11">
          <a:extLst>
            <a:ext uri="{FF2B5EF4-FFF2-40B4-BE49-F238E27FC236}">
              <a16:creationId xmlns:a16="http://schemas.microsoft.com/office/drawing/2014/main" id="{DDCCAA75-FBAE-4820-A726-EA61A602CB76}"/>
            </a:ext>
          </a:extLst>
        </xdr:cNvPr>
        <xdr:cNvSpPr txBox="1"/>
      </xdr:nvSpPr>
      <xdr:spPr>
        <a:xfrm>
          <a:off x="4267790" y="4488649"/>
          <a:ext cx="58484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baseline="0">
              <a:solidFill>
                <a:schemeClr val="accent1">
                  <a:lumMod val="50000"/>
                </a:schemeClr>
              </a:solidFill>
              <a:latin typeface="Aptos" panose="020B0004020202020204" pitchFamily="34" charset="0"/>
            </a:rPr>
            <a:t>N2 (100%)</a:t>
          </a:r>
          <a:endParaRPr lang="en-IN" sz="700" b="0">
            <a:solidFill>
              <a:schemeClr val="accent1">
                <a:lumMod val="50000"/>
              </a:schemeClr>
            </a:solidFill>
            <a:latin typeface="Aptos" panose="020B0004020202020204" pitchFamily="34" charset="0"/>
          </a:endParaRPr>
        </a:p>
      </xdr:txBody>
    </xdr:sp>
    <xdr:clientData/>
  </xdr:oneCellAnchor>
  <xdr:twoCellAnchor>
    <xdr:from>
      <xdr:col>6</xdr:col>
      <xdr:colOff>891267</xdr:colOff>
      <xdr:row>24</xdr:row>
      <xdr:rowOff>74839</xdr:rowOff>
    </xdr:from>
    <xdr:to>
      <xdr:col>7</xdr:col>
      <xdr:colOff>81642</xdr:colOff>
      <xdr:row>26</xdr:row>
      <xdr:rowOff>47625</xdr:rowOff>
    </xdr:to>
    <xdr:cxnSp macro="">
      <xdr:nvCxnSpPr>
        <xdr:cNvPr id="13" name="Straight Arrow Connector 12">
          <a:extLst>
            <a:ext uri="{FF2B5EF4-FFF2-40B4-BE49-F238E27FC236}">
              <a16:creationId xmlns:a16="http://schemas.microsoft.com/office/drawing/2014/main" id="{A45C892A-41FC-4A66-B0F8-04909BEC8DDB}"/>
            </a:ext>
          </a:extLst>
        </xdr:cNvPr>
        <xdr:cNvCxnSpPr/>
      </xdr:nvCxnSpPr>
      <xdr:spPr>
        <a:xfrm flipH="1">
          <a:off x="4263117" y="4646839"/>
          <a:ext cx="85725" cy="353786"/>
        </a:xfrm>
        <a:prstGeom prst="straightConnector1">
          <a:avLst/>
        </a:prstGeom>
        <a:ln>
          <a:tailEnd type="stealt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713604</xdr:colOff>
      <xdr:row>18</xdr:row>
      <xdr:rowOff>1014</xdr:rowOff>
    </xdr:from>
    <xdr:ext cx="584968" cy="201915"/>
    <xdr:sp macro="" textlink="">
      <xdr:nvSpPr>
        <xdr:cNvPr id="14" name="TextBox 13">
          <a:extLst>
            <a:ext uri="{FF2B5EF4-FFF2-40B4-BE49-F238E27FC236}">
              <a16:creationId xmlns:a16="http://schemas.microsoft.com/office/drawing/2014/main" id="{7A338752-62AD-47AE-9332-80052489CE5B}"/>
            </a:ext>
          </a:extLst>
        </xdr:cNvPr>
        <xdr:cNvSpPr txBox="1"/>
      </xdr:nvSpPr>
      <xdr:spPr>
        <a:xfrm>
          <a:off x="5485629" y="3430014"/>
          <a:ext cx="584968"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baseline="0">
              <a:solidFill>
                <a:schemeClr val="accent2"/>
              </a:solidFill>
              <a:latin typeface="Aptos" panose="020B0004020202020204" pitchFamily="34" charset="0"/>
            </a:rPr>
            <a:t>H</a:t>
          </a:r>
          <a:r>
            <a:rPr lang="en-IN" sz="700" b="0" baseline="-25000">
              <a:solidFill>
                <a:schemeClr val="accent2"/>
              </a:solidFill>
              <a:latin typeface="Aptos" panose="020B0004020202020204" pitchFamily="34" charset="0"/>
            </a:rPr>
            <a:t>2</a:t>
          </a:r>
          <a:r>
            <a:rPr lang="en-IN" sz="700" b="0" baseline="0">
              <a:solidFill>
                <a:schemeClr val="accent2"/>
              </a:solidFill>
              <a:latin typeface="Aptos" panose="020B0004020202020204" pitchFamily="34" charset="0"/>
            </a:rPr>
            <a:t> (100%)</a:t>
          </a:r>
          <a:endParaRPr lang="en-IN" sz="700" b="0">
            <a:solidFill>
              <a:schemeClr val="accent2"/>
            </a:solidFill>
            <a:latin typeface="Aptos" panose="020B0004020202020204" pitchFamily="34" charset="0"/>
          </a:endParaRPr>
        </a:p>
      </xdr:txBody>
    </xdr:sp>
    <xdr:clientData/>
  </xdr:oneCellAnchor>
  <xdr:twoCellAnchor>
    <xdr:from>
      <xdr:col>8</xdr:col>
      <xdr:colOff>898071</xdr:colOff>
      <xdr:row>19</xdr:row>
      <xdr:rowOff>27214</xdr:rowOff>
    </xdr:from>
    <xdr:to>
      <xdr:col>8</xdr:col>
      <xdr:colOff>907595</xdr:colOff>
      <xdr:row>20</xdr:row>
      <xdr:rowOff>111579</xdr:rowOff>
    </xdr:to>
    <xdr:cxnSp macro="">
      <xdr:nvCxnSpPr>
        <xdr:cNvPr id="15" name="Straight Arrow Connector 14">
          <a:extLst>
            <a:ext uri="{FF2B5EF4-FFF2-40B4-BE49-F238E27FC236}">
              <a16:creationId xmlns:a16="http://schemas.microsoft.com/office/drawing/2014/main" id="{727189C9-424E-41E1-9E83-67F386482DD4}"/>
            </a:ext>
          </a:extLst>
        </xdr:cNvPr>
        <xdr:cNvCxnSpPr/>
      </xdr:nvCxnSpPr>
      <xdr:spPr>
        <a:xfrm>
          <a:off x="5489121" y="3646714"/>
          <a:ext cx="0" cy="274865"/>
        </a:xfrm>
        <a:prstGeom prst="straightConnector1">
          <a:avLst/>
        </a:prstGeom>
        <a:ln>
          <a:solidFill>
            <a:schemeClr val="accent2"/>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2520043</xdr:colOff>
      <xdr:row>18</xdr:row>
      <xdr:rowOff>2722</xdr:rowOff>
    </xdr:from>
    <xdr:to>
      <xdr:col>8</xdr:col>
      <xdr:colOff>2529567</xdr:colOff>
      <xdr:row>19</xdr:row>
      <xdr:rowOff>87087</xdr:rowOff>
    </xdr:to>
    <xdr:cxnSp macro="">
      <xdr:nvCxnSpPr>
        <xdr:cNvPr id="16" name="Straight Arrow Connector 15">
          <a:extLst>
            <a:ext uri="{FF2B5EF4-FFF2-40B4-BE49-F238E27FC236}">
              <a16:creationId xmlns:a16="http://schemas.microsoft.com/office/drawing/2014/main" id="{E520A1F5-07F3-418D-914D-F4E69ADE7C32}"/>
            </a:ext>
          </a:extLst>
        </xdr:cNvPr>
        <xdr:cNvCxnSpPr/>
      </xdr:nvCxnSpPr>
      <xdr:spPr>
        <a:xfrm>
          <a:off x="5482318" y="3431722"/>
          <a:ext cx="0" cy="274865"/>
        </a:xfrm>
        <a:prstGeom prst="straightConnector1">
          <a:avLst/>
        </a:prstGeom>
        <a:ln>
          <a:solidFill>
            <a:schemeClr val="bg2">
              <a:lumMod val="75000"/>
            </a:schemeClr>
          </a:solidFill>
          <a:tailEnd type="stealt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8</xdr:col>
      <xdr:colOff>2346460</xdr:colOff>
      <xdr:row>16</xdr:row>
      <xdr:rowOff>184711</xdr:rowOff>
    </xdr:from>
    <xdr:ext cx="637675" cy="201915"/>
    <xdr:sp macro="" textlink="">
      <xdr:nvSpPr>
        <xdr:cNvPr id="17" name="TextBox 16">
          <a:extLst>
            <a:ext uri="{FF2B5EF4-FFF2-40B4-BE49-F238E27FC236}">
              <a16:creationId xmlns:a16="http://schemas.microsoft.com/office/drawing/2014/main" id="{A29BB335-EC33-4363-83F0-69E277D801BA}"/>
            </a:ext>
          </a:extLst>
        </xdr:cNvPr>
        <xdr:cNvSpPr txBox="1"/>
      </xdr:nvSpPr>
      <xdr:spPr>
        <a:xfrm>
          <a:off x="5489710" y="3232711"/>
          <a:ext cx="637675"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700" b="0" baseline="0">
              <a:solidFill>
                <a:schemeClr val="tx1"/>
              </a:solidFill>
              <a:latin typeface="Aptos" panose="020B0004020202020204" pitchFamily="34" charset="0"/>
            </a:rPr>
            <a:t>Feed Cut-in</a:t>
          </a:r>
          <a:endParaRPr lang="en-IN" sz="700" b="0">
            <a:solidFill>
              <a:schemeClr val="tx1"/>
            </a:solidFill>
            <a:latin typeface="Aptos" panose="020B0004020202020204" pitchFamily="34"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2</xdr:col>
      <xdr:colOff>131990</xdr:colOff>
      <xdr:row>5</xdr:row>
      <xdr:rowOff>178254</xdr:rowOff>
    </xdr:from>
    <xdr:to>
      <xdr:col>2</xdr:col>
      <xdr:colOff>142875</xdr:colOff>
      <xdr:row>24</xdr:row>
      <xdr:rowOff>0</xdr:rowOff>
    </xdr:to>
    <xdr:cxnSp macro="">
      <xdr:nvCxnSpPr>
        <xdr:cNvPr id="2" name="Straight Arrow Connector 1">
          <a:extLst>
            <a:ext uri="{FF2B5EF4-FFF2-40B4-BE49-F238E27FC236}">
              <a16:creationId xmlns:a16="http://schemas.microsoft.com/office/drawing/2014/main" id="{CD06E503-2C77-49ED-8F55-62B2891FFF2F}"/>
            </a:ext>
          </a:extLst>
        </xdr:cNvPr>
        <xdr:cNvCxnSpPr/>
      </xdr:nvCxnSpPr>
      <xdr:spPr>
        <a:xfrm>
          <a:off x="1351190" y="1130754"/>
          <a:ext cx="10885" cy="3441246"/>
        </a:xfrm>
        <a:prstGeom prst="straightConnector1">
          <a:avLst/>
        </a:prstGeom>
        <a:ln>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24492</xdr:colOff>
      <xdr:row>14</xdr:row>
      <xdr:rowOff>112940</xdr:rowOff>
    </xdr:from>
    <xdr:ext cx="651397" cy="264560"/>
    <xdr:sp macro="" textlink="">
      <xdr:nvSpPr>
        <xdr:cNvPr id="3" name="TextBox 2">
          <a:extLst>
            <a:ext uri="{FF2B5EF4-FFF2-40B4-BE49-F238E27FC236}">
              <a16:creationId xmlns:a16="http://schemas.microsoft.com/office/drawing/2014/main" id="{E88E1B91-D081-4D51-8EFE-9A4754F578BA}"/>
            </a:ext>
          </a:extLst>
        </xdr:cNvPr>
        <xdr:cNvSpPr txBox="1"/>
      </xdr:nvSpPr>
      <xdr:spPr>
        <a:xfrm>
          <a:off x="634092" y="2779940"/>
          <a:ext cx="6513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930mm</a:t>
          </a:r>
        </a:p>
      </xdr:txBody>
    </xdr:sp>
    <xdr:clientData/>
  </xdr:oneCellAnchor>
  <xdr:twoCellAnchor>
    <xdr:from>
      <xdr:col>4</xdr:col>
      <xdr:colOff>142875</xdr:colOff>
      <xdr:row>8</xdr:row>
      <xdr:rowOff>0</xdr:rowOff>
    </xdr:from>
    <xdr:to>
      <xdr:col>4</xdr:col>
      <xdr:colOff>142875</xdr:colOff>
      <xdr:row>11</xdr:row>
      <xdr:rowOff>183696</xdr:rowOff>
    </xdr:to>
    <xdr:cxnSp macro="">
      <xdr:nvCxnSpPr>
        <xdr:cNvPr id="4" name="Straight Arrow Connector 3">
          <a:extLst>
            <a:ext uri="{FF2B5EF4-FFF2-40B4-BE49-F238E27FC236}">
              <a16:creationId xmlns:a16="http://schemas.microsoft.com/office/drawing/2014/main" id="{67A5F78B-2D6C-4167-96E2-976782D60E24}"/>
            </a:ext>
          </a:extLst>
        </xdr:cNvPr>
        <xdr:cNvCxnSpPr/>
      </xdr:nvCxnSpPr>
      <xdr:spPr>
        <a:xfrm>
          <a:off x="2581275" y="1524000"/>
          <a:ext cx="0" cy="755196"/>
        </a:xfrm>
        <a:prstGeom prst="straightConnector1">
          <a:avLst/>
        </a:prstGeom>
        <a:ln>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138794</xdr:colOff>
      <xdr:row>11</xdr:row>
      <xdr:rowOff>189139</xdr:rowOff>
    </xdr:from>
    <xdr:to>
      <xdr:col>4</xdr:col>
      <xdr:colOff>142875</xdr:colOff>
      <xdr:row>18</xdr:row>
      <xdr:rowOff>0</xdr:rowOff>
    </xdr:to>
    <xdr:cxnSp macro="">
      <xdr:nvCxnSpPr>
        <xdr:cNvPr id="5" name="Straight Arrow Connector 4">
          <a:extLst>
            <a:ext uri="{FF2B5EF4-FFF2-40B4-BE49-F238E27FC236}">
              <a16:creationId xmlns:a16="http://schemas.microsoft.com/office/drawing/2014/main" id="{6ECFD1C6-62BD-4A68-A699-6905B4D88C9D}"/>
            </a:ext>
          </a:extLst>
        </xdr:cNvPr>
        <xdr:cNvCxnSpPr/>
      </xdr:nvCxnSpPr>
      <xdr:spPr>
        <a:xfrm>
          <a:off x="2577194" y="2284639"/>
          <a:ext cx="4081" cy="1144361"/>
        </a:xfrm>
        <a:prstGeom prst="straightConnector1">
          <a:avLst/>
        </a:prstGeom>
        <a:ln>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141515</xdr:colOff>
      <xdr:row>17</xdr:row>
      <xdr:rowOff>164646</xdr:rowOff>
    </xdr:from>
    <xdr:to>
      <xdr:col>4</xdr:col>
      <xdr:colOff>142875</xdr:colOff>
      <xdr:row>23</xdr:row>
      <xdr:rowOff>176893</xdr:rowOff>
    </xdr:to>
    <xdr:cxnSp macro="">
      <xdr:nvCxnSpPr>
        <xdr:cNvPr id="6" name="Straight Arrow Connector 5">
          <a:extLst>
            <a:ext uri="{FF2B5EF4-FFF2-40B4-BE49-F238E27FC236}">
              <a16:creationId xmlns:a16="http://schemas.microsoft.com/office/drawing/2014/main" id="{A5A3BEB0-8224-4044-9FB8-D5B586E6C010}"/>
            </a:ext>
          </a:extLst>
        </xdr:cNvPr>
        <xdr:cNvCxnSpPr/>
      </xdr:nvCxnSpPr>
      <xdr:spPr>
        <a:xfrm>
          <a:off x="2579915" y="3403146"/>
          <a:ext cx="1360" cy="1155247"/>
        </a:xfrm>
        <a:prstGeom prst="straightConnector1">
          <a:avLst/>
        </a:prstGeom>
        <a:ln>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xdr:col>
      <xdr:colOff>26092</xdr:colOff>
      <xdr:row>14</xdr:row>
      <xdr:rowOff>112940</xdr:rowOff>
    </xdr:from>
    <xdr:ext cx="651397" cy="264560"/>
    <xdr:sp macro="" textlink="">
      <xdr:nvSpPr>
        <xdr:cNvPr id="7" name="TextBox 6">
          <a:extLst>
            <a:ext uri="{FF2B5EF4-FFF2-40B4-BE49-F238E27FC236}">
              <a16:creationId xmlns:a16="http://schemas.microsoft.com/office/drawing/2014/main" id="{6674E5E9-62DA-43E7-A28A-8040A47817BE}"/>
            </a:ext>
          </a:extLst>
        </xdr:cNvPr>
        <xdr:cNvSpPr txBox="1"/>
      </xdr:nvSpPr>
      <xdr:spPr>
        <a:xfrm>
          <a:off x="635692" y="2779940"/>
          <a:ext cx="651397"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930mm</a:t>
          </a:r>
        </a:p>
      </xdr:txBody>
    </xdr:sp>
    <xdr:clientData/>
  </xdr:oneCellAnchor>
  <xdr:oneCellAnchor>
    <xdr:from>
      <xdr:col>4</xdr:col>
      <xdr:colOff>122463</xdr:colOff>
      <xdr:row>20</xdr:row>
      <xdr:rowOff>58032</xdr:rowOff>
    </xdr:from>
    <xdr:ext cx="630173" cy="256737"/>
    <xdr:sp macro="" textlink="">
      <xdr:nvSpPr>
        <xdr:cNvPr id="8" name="TextBox 7">
          <a:extLst>
            <a:ext uri="{FF2B5EF4-FFF2-40B4-BE49-F238E27FC236}">
              <a16:creationId xmlns:a16="http://schemas.microsoft.com/office/drawing/2014/main" id="{0F973261-2D8B-4D7A-B8D9-63C5EE945131}"/>
            </a:ext>
          </a:extLst>
        </xdr:cNvPr>
        <xdr:cNvSpPr txBox="1"/>
      </xdr:nvSpPr>
      <xdr:spPr>
        <a:xfrm>
          <a:off x="2560863" y="3868032"/>
          <a:ext cx="630173"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300mm</a:t>
          </a:r>
        </a:p>
      </xdr:txBody>
    </xdr:sp>
    <xdr:clientData/>
  </xdr:oneCellAnchor>
  <xdr:oneCellAnchor>
    <xdr:from>
      <xdr:col>4</xdr:col>
      <xdr:colOff>129186</xdr:colOff>
      <xdr:row>14</xdr:row>
      <xdr:rowOff>160005</xdr:rowOff>
    </xdr:from>
    <xdr:ext cx="729495" cy="256737"/>
    <xdr:sp macro="" textlink="">
      <xdr:nvSpPr>
        <xdr:cNvPr id="9" name="TextBox 8">
          <a:extLst>
            <a:ext uri="{FF2B5EF4-FFF2-40B4-BE49-F238E27FC236}">
              <a16:creationId xmlns:a16="http://schemas.microsoft.com/office/drawing/2014/main" id="{F815B29E-51A0-4597-8E36-8CBF55921378}"/>
            </a:ext>
          </a:extLst>
        </xdr:cNvPr>
        <xdr:cNvSpPr txBox="1"/>
      </xdr:nvSpPr>
      <xdr:spPr>
        <a:xfrm>
          <a:off x="2567586" y="2827005"/>
          <a:ext cx="729495"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~155</a:t>
          </a:r>
          <a:r>
            <a:rPr lang="en-IN" sz="1050" baseline="0">
              <a:latin typeface="Aptos" panose="020B0004020202020204" pitchFamily="34" charset="0"/>
            </a:rPr>
            <a:t> </a:t>
          </a:r>
          <a:r>
            <a:rPr lang="en-IN" sz="1050">
              <a:latin typeface="Aptos" panose="020B0004020202020204" pitchFamily="34" charset="0"/>
            </a:rPr>
            <a:t>mm</a:t>
          </a:r>
        </a:p>
      </xdr:txBody>
    </xdr:sp>
    <xdr:clientData/>
  </xdr:oneCellAnchor>
  <xdr:oneCellAnchor>
    <xdr:from>
      <xdr:col>4</xdr:col>
      <xdr:colOff>184335</xdr:colOff>
      <xdr:row>9</xdr:row>
      <xdr:rowOff>97892</xdr:rowOff>
    </xdr:from>
    <xdr:ext cx="630173" cy="256737"/>
    <xdr:sp macro="" textlink="">
      <xdr:nvSpPr>
        <xdr:cNvPr id="10" name="TextBox 9">
          <a:extLst>
            <a:ext uri="{FF2B5EF4-FFF2-40B4-BE49-F238E27FC236}">
              <a16:creationId xmlns:a16="http://schemas.microsoft.com/office/drawing/2014/main" id="{B7F4E86C-DFFF-4BC9-9397-B7C6C7B8C4AC}"/>
            </a:ext>
          </a:extLst>
        </xdr:cNvPr>
        <xdr:cNvSpPr txBox="1"/>
      </xdr:nvSpPr>
      <xdr:spPr>
        <a:xfrm>
          <a:off x="2622735" y="1812392"/>
          <a:ext cx="630173"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420mm</a:t>
          </a:r>
        </a:p>
      </xdr:txBody>
    </xdr:sp>
    <xdr:clientData/>
  </xdr:oneCellAnchor>
  <xdr:oneCellAnchor>
    <xdr:from>
      <xdr:col>13</xdr:col>
      <xdr:colOff>420222</xdr:colOff>
      <xdr:row>11</xdr:row>
      <xdr:rowOff>95251</xdr:rowOff>
    </xdr:from>
    <xdr:ext cx="3768646" cy="1800476"/>
    <xdr:pic>
      <xdr:nvPicPr>
        <xdr:cNvPr id="11" name="Picture 10">
          <a:extLst>
            <a:ext uri="{FF2B5EF4-FFF2-40B4-BE49-F238E27FC236}">
              <a16:creationId xmlns:a16="http://schemas.microsoft.com/office/drawing/2014/main" id="{EFEACC3A-83D1-4421-9142-E02B2029844C}"/>
            </a:ext>
          </a:extLst>
        </xdr:cNvPr>
        <xdr:cNvPicPr>
          <a:picLocks noChangeAspect="1"/>
        </xdr:cNvPicPr>
      </xdr:nvPicPr>
      <xdr:blipFill>
        <a:blip xmlns:r="http://schemas.openxmlformats.org/officeDocument/2006/relationships" r:embed="rId1"/>
        <a:stretch>
          <a:fillRect/>
        </a:stretch>
      </xdr:blipFill>
      <xdr:spPr>
        <a:xfrm>
          <a:off x="8345022" y="2190751"/>
          <a:ext cx="3768646" cy="1800476"/>
        </a:xfrm>
        <a:prstGeom prst="rect">
          <a:avLst/>
        </a:prstGeom>
      </xdr:spPr>
    </xdr:pic>
    <xdr:clientData/>
  </xdr:oneCellAnchor>
  <xdr:twoCellAnchor>
    <xdr:from>
      <xdr:col>4</xdr:col>
      <xdr:colOff>145596</xdr:colOff>
      <xdr:row>6</xdr:row>
      <xdr:rowOff>2722</xdr:rowOff>
    </xdr:from>
    <xdr:to>
      <xdr:col>4</xdr:col>
      <xdr:colOff>145596</xdr:colOff>
      <xdr:row>8</xdr:row>
      <xdr:rowOff>17722</xdr:rowOff>
    </xdr:to>
    <xdr:cxnSp macro="">
      <xdr:nvCxnSpPr>
        <xdr:cNvPr id="12" name="Straight Arrow Connector 11">
          <a:extLst>
            <a:ext uri="{FF2B5EF4-FFF2-40B4-BE49-F238E27FC236}">
              <a16:creationId xmlns:a16="http://schemas.microsoft.com/office/drawing/2014/main" id="{DD8D0BE3-06F3-496B-B795-FFA653FE2ADD}"/>
            </a:ext>
          </a:extLst>
        </xdr:cNvPr>
        <xdr:cNvCxnSpPr/>
      </xdr:nvCxnSpPr>
      <xdr:spPr>
        <a:xfrm>
          <a:off x="2583996" y="1145722"/>
          <a:ext cx="0" cy="396000"/>
        </a:xfrm>
        <a:prstGeom prst="straightConnector1">
          <a:avLst/>
        </a:prstGeom>
        <a:ln>
          <a:headEnd type="stealth"/>
          <a:tailEnd type="stealt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173449</xdr:colOff>
      <xdr:row>6</xdr:row>
      <xdr:rowOff>66596</xdr:rowOff>
    </xdr:from>
    <xdr:ext cx="630173" cy="256737"/>
    <xdr:sp macro="" textlink="">
      <xdr:nvSpPr>
        <xdr:cNvPr id="13" name="TextBox 12">
          <a:extLst>
            <a:ext uri="{FF2B5EF4-FFF2-40B4-BE49-F238E27FC236}">
              <a16:creationId xmlns:a16="http://schemas.microsoft.com/office/drawing/2014/main" id="{6730280C-B5B4-4FD9-BD45-34962212CEA8}"/>
            </a:ext>
          </a:extLst>
        </xdr:cNvPr>
        <xdr:cNvSpPr txBox="1"/>
      </xdr:nvSpPr>
      <xdr:spPr>
        <a:xfrm>
          <a:off x="2611849" y="1209596"/>
          <a:ext cx="630173" cy="2567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050">
              <a:latin typeface="Aptos" panose="020B0004020202020204" pitchFamily="34" charset="0"/>
            </a:rPr>
            <a:t>550mm</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3</xdr:col>
      <xdr:colOff>508000</xdr:colOff>
      <xdr:row>40</xdr:row>
      <xdr:rowOff>187325</xdr:rowOff>
    </xdr:from>
    <xdr:ext cx="8164064" cy="2524477"/>
    <xdr:pic>
      <xdr:nvPicPr>
        <xdr:cNvPr id="2" name="Picture 1">
          <a:extLst>
            <a:ext uri="{FF2B5EF4-FFF2-40B4-BE49-F238E27FC236}">
              <a16:creationId xmlns:a16="http://schemas.microsoft.com/office/drawing/2014/main" id="{61AFCB0C-4DD3-4809-B0F5-467BC3B08AF3}"/>
            </a:ext>
          </a:extLst>
        </xdr:cNvPr>
        <xdr:cNvPicPr>
          <a:picLocks noChangeAspect="1"/>
        </xdr:cNvPicPr>
      </xdr:nvPicPr>
      <xdr:blipFill>
        <a:blip xmlns:r="http://schemas.openxmlformats.org/officeDocument/2006/relationships" r:embed="rId1"/>
        <a:stretch>
          <a:fillRect/>
        </a:stretch>
      </xdr:blipFill>
      <xdr:spPr>
        <a:xfrm>
          <a:off x="2336800" y="7807325"/>
          <a:ext cx="8164064" cy="2524477"/>
        </a:xfrm>
        <a:prstGeom prst="rect">
          <a:avLst/>
        </a:prstGeom>
      </xdr:spPr>
    </xdr:pic>
    <xdr:clientData/>
  </xdr:oneCellAnchor>
  <xdr:oneCellAnchor>
    <xdr:from>
      <xdr:col>9</xdr:col>
      <xdr:colOff>0</xdr:colOff>
      <xdr:row>37</xdr:row>
      <xdr:rowOff>0</xdr:rowOff>
    </xdr:from>
    <xdr:ext cx="8373644" cy="3772426"/>
    <xdr:pic>
      <xdr:nvPicPr>
        <xdr:cNvPr id="3" name="Picture 2">
          <a:extLst>
            <a:ext uri="{FF2B5EF4-FFF2-40B4-BE49-F238E27FC236}">
              <a16:creationId xmlns:a16="http://schemas.microsoft.com/office/drawing/2014/main" id="{21558733-BD9E-4444-A63F-B78C6AA88417}"/>
            </a:ext>
          </a:extLst>
        </xdr:cNvPr>
        <xdr:cNvPicPr>
          <a:picLocks noChangeAspect="1"/>
        </xdr:cNvPicPr>
      </xdr:nvPicPr>
      <xdr:blipFill>
        <a:blip xmlns:r="http://schemas.openxmlformats.org/officeDocument/2006/relationships" r:embed="rId2"/>
        <a:stretch>
          <a:fillRect/>
        </a:stretch>
      </xdr:blipFill>
      <xdr:spPr>
        <a:xfrm>
          <a:off x="5486400" y="7048500"/>
          <a:ext cx="8373644" cy="3772426"/>
        </a:xfrm>
        <a:prstGeom prst="rect">
          <a:avLst/>
        </a:prstGeom>
      </xdr:spPr>
    </xdr:pic>
    <xdr:clientData/>
  </xdr:oneCellAnchor>
  <xdr:oneCellAnchor>
    <xdr:from>
      <xdr:col>46</xdr:col>
      <xdr:colOff>66675</xdr:colOff>
      <xdr:row>15</xdr:row>
      <xdr:rowOff>104775</xdr:rowOff>
    </xdr:from>
    <xdr:ext cx="4810796" cy="2048161"/>
    <xdr:pic>
      <xdr:nvPicPr>
        <xdr:cNvPr id="4" name="Picture 3">
          <a:extLst>
            <a:ext uri="{FF2B5EF4-FFF2-40B4-BE49-F238E27FC236}">
              <a16:creationId xmlns:a16="http://schemas.microsoft.com/office/drawing/2014/main" id="{0771BD37-3615-4179-A777-1D5CDCD389F1}"/>
            </a:ext>
          </a:extLst>
        </xdr:cNvPr>
        <xdr:cNvPicPr>
          <a:picLocks noChangeAspect="1"/>
        </xdr:cNvPicPr>
      </xdr:nvPicPr>
      <xdr:blipFill>
        <a:blip xmlns:r="http://schemas.openxmlformats.org/officeDocument/2006/relationships" r:embed="rId3"/>
        <a:stretch>
          <a:fillRect/>
        </a:stretch>
      </xdr:blipFill>
      <xdr:spPr>
        <a:xfrm>
          <a:off x="28108275" y="2962275"/>
          <a:ext cx="4810796" cy="2048161"/>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xdr:from>
      <xdr:col>19</xdr:col>
      <xdr:colOff>225425</xdr:colOff>
      <xdr:row>4</xdr:row>
      <xdr:rowOff>69850</xdr:rowOff>
    </xdr:from>
    <xdr:to>
      <xdr:col>26</xdr:col>
      <xdr:colOff>530225</xdr:colOff>
      <xdr:row>19</xdr:row>
      <xdr:rowOff>12700</xdr:rowOff>
    </xdr:to>
    <xdr:graphicFrame macro="">
      <xdr:nvGraphicFramePr>
        <xdr:cNvPr id="2" name="Chart 1">
          <a:extLst>
            <a:ext uri="{FF2B5EF4-FFF2-40B4-BE49-F238E27FC236}">
              <a16:creationId xmlns:a16="http://schemas.microsoft.com/office/drawing/2014/main" id="{6C453382-945E-C9EE-432D-7F5032BDBC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368300</xdr:colOff>
      <xdr:row>3</xdr:row>
      <xdr:rowOff>158750</xdr:rowOff>
    </xdr:from>
    <xdr:to>
      <xdr:col>35</xdr:col>
      <xdr:colOff>63500</xdr:colOff>
      <xdr:row>18</xdr:row>
      <xdr:rowOff>101600</xdr:rowOff>
    </xdr:to>
    <xdr:graphicFrame macro="">
      <xdr:nvGraphicFramePr>
        <xdr:cNvPr id="3" name="Chart 2">
          <a:extLst>
            <a:ext uri="{FF2B5EF4-FFF2-40B4-BE49-F238E27FC236}">
              <a16:creationId xmlns:a16="http://schemas.microsoft.com/office/drawing/2014/main" id="{95F32197-0644-48CF-B8EA-7DB465B7A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152400</xdr:colOff>
      <xdr:row>21</xdr:row>
      <xdr:rowOff>38100</xdr:rowOff>
    </xdr:from>
    <xdr:to>
      <xdr:col>26</xdr:col>
      <xdr:colOff>457200</xdr:colOff>
      <xdr:row>35</xdr:row>
      <xdr:rowOff>165100</xdr:rowOff>
    </xdr:to>
    <xdr:graphicFrame macro="">
      <xdr:nvGraphicFramePr>
        <xdr:cNvPr id="4" name="Chart 3">
          <a:extLst>
            <a:ext uri="{FF2B5EF4-FFF2-40B4-BE49-F238E27FC236}">
              <a16:creationId xmlns:a16="http://schemas.microsoft.com/office/drawing/2014/main" id="{4064A3E2-FCEB-4AE5-8AC5-617696B28F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406400</xdr:colOff>
      <xdr:row>20</xdr:row>
      <xdr:rowOff>57150</xdr:rowOff>
    </xdr:from>
    <xdr:to>
      <xdr:col>35</xdr:col>
      <xdr:colOff>101600</xdr:colOff>
      <xdr:row>35</xdr:row>
      <xdr:rowOff>0</xdr:rowOff>
    </xdr:to>
    <xdr:graphicFrame macro="">
      <xdr:nvGraphicFramePr>
        <xdr:cNvPr id="5" name="Chart 4">
          <a:extLst>
            <a:ext uri="{FF2B5EF4-FFF2-40B4-BE49-F238E27FC236}">
              <a16:creationId xmlns:a16="http://schemas.microsoft.com/office/drawing/2014/main" id="{89BAA313-A8F6-4840-B65A-CF4DA0AA5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76200</xdr:colOff>
      <xdr:row>36</xdr:row>
      <xdr:rowOff>165100</xdr:rowOff>
    </xdr:from>
    <xdr:to>
      <xdr:col>26</xdr:col>
      <xdr:colOff>381000</xdr:colOff>
      <xdr:row>51</xdr:row>
      <xdr:rowOff>120650</xdr:rowOff>
    </xdr:to>
    <xdr:graphicFrame macro="">
      <xdr:nvGraphicFramePr>
        <xdr:cNvPr id="6" name="Chart 5">
          <a:extLst>
            <a:ext uri="{FF2B5EF4-FFF2-40B4-BE49-F238E27FC236}">
              <a16:creationId xmlns:a16="http://schemas.microsoft.com/office/drawing/2014/main" id="{641B4A0F-2D22-4637-98A7-A12FE68200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27</xdr:col>
      <xdr:colOff>158750</xdr:colOff>
      <xdr:row>36</xdr:row>
      <xdr:rowOff>120650</xdr:rowOff>
    </xdr:from>
    <xdr:to>
      <xdr:col>34</xdr:col>
      <xdr:colOff>463550</xdr:colOff>
      <xdr:row>51</xdr:row>
      <xdr:rowOff>76200</xdr:rowOff>
    </xdr:to>
    <xdr:graphicFrame macro="">
      <xdr:nvGraphicFramePr>
        <xdr:cNvPr id="7" name="Chart 6">
          <a:extLst>
            <a:ext uri="{FF2B5EF4-FFF2-40B4-BE49-F238E27FC236}">
              <a16:creationId xmlns:a16="http://schemas.microsoft.com/office/drawing/2014/main" id="{FBC8DD2E-7C96-4998-B500-5E4DAF080C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53</xdr:row>
      <xdr:rowOff>0</xdr:rowOff>
    </xdr:from>
    <xdr:to>
      <xdr:col>26</xdr:col>
      <xdr:colOff>304800</xdr:colOff>
      <xdr:row>67</xdr:row>
      <xdr:rowOff>165100</xdr:rowOff>
    </xdr:to>
    <xdr:graphicFrame macro="">
      <xdr:nvGraphicFramePr>
        <xdr:cNvPr id="8" name="Chart 7">
          <a:extLst>
            <a:ext uri="{FF2B5EF4-FFF2-40B4-BE49-F238E27FC236}">
              <a16:creationId xmlns:a16="http://schemas.microsoft.com/office/drawing/2014/main" id="{29F9AF9B-4AC7-4759-A9AB-3077723A6A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27</xdr:col>
      <xdr:colOff>184150</xdr:colOff>
      <xdr:row>53</xdr:row>
      <xdr:rowOff>31750</xdr:rowOff>
    </xdr:from>
    <xdr:to>
      <xdr:col>34</xdr:col>
      <xdr:colOff>488950</xdr:colOff>
      <xdr:row>68</xdr:row>
      <xdr:rowOff>12700</xdr:rowOff>
    </xdr:to>
    <xdr:graphicFrame macro="">
      <xdr:nvGraphicFramePr>
        <xdr:cNvPr id="9" name="Chart 8">
          <a:extLst>
            <a:ext uri="{FF2B5EF4-FFF2-40B4-BE49-F238E27FC236}">
              <a16:creationId xmlns:a16="http://schemas.microsoft.com/office/drawing/2014/main" id="{C72A3C10-1C37-4D2D-8C96-D406A51DB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71559</xdr:colOff>
      <xdr:row>10</xdr:row>
      <xdr:rowOff>99158</xdr:rowOff>
    </xdr:from>
    <xdr:to>
      <xdr:col>8</xdr:col>
      <xdr:colOff>178044</xdr:colOff>
      <xdr:row>24</xdr:row>
      <xdr:rowOff>175358</xdr:rowOff>
    </xdr:to>
    <xdr:graphicFrame macro="">
      <xdr:nvGraphicFramePr>
        <xdr:cNvPr id="2" name="Chart 1">
          <a:extLst>
            <a:ext uri="{FF2B5EF4-FFF2-40B4-BE49-F238E27FC236}">
              <a16:creationId xmlns:a16="http://schemas.microsoft.com/office/drawing/2014/main" id="{2DF22C89-0D43-416E-BAA3-0E9F83CC47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26</xdr:row>
      <xdr:rowOff>16809</xdr:rowOff>
    </xdr:from>
    <xdr:to>
      <xdr:col>8</xdr:col>
      <xdr:colOff>201735</xdr:colOff>
      <xdr:row>40</xdr:row>
      <xdr:rowOff>93009</xdr:rowOff>
    </xdr:to>
    <xdr:graphicFrame macro="">
      <xdr:nvGraphicFramePr>
        <xdr:cNvPr id="3" name="Chart 2">
          <a:extLst>
            <a:ext uri="{FF2B5EF4-FFF2-40B4-BE49-F238E27FC236}">
              <a16:creationId xmlns:a16="http://schemas.microsoft.com/office/drawing/2014/main" id="{171430C7-2375-4B8A-954F-1AA4865DF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45</xdr:col>
      <xdr:colOff>380999</xdr:colOff>
      <xdr:row>50</xdr:row>
      <xdr:rowOff>130969</xdr:rowOff>
    </xdr:from>
    <xdr:to>
      <xdr:col>49</xdr:col>
      <xdr:colOff>381000</xdr:colOff>
      <xdr:row>56</xdr:row>
      <xdr:rowOff>166687</xdr:rowOff>
    </xdr:to>
    <xdr:cxnSp macro="">
      <xdr:nvCxnSpPr>
        <xdr:cNvPr id="3" name="Straight Arrow Connector 2">
          <a:extLst>
            <a:ext uri="{FF2B5EF4-FFF2-40B4-BE49-F238E27FC236}">
              <a16:creationId xmlns:a16="http://schemas.microsoft.com/office/drawing/2014/main" id="{32602C30-CAFC-DEB1-4D6E-4E08FE4F49B8}"/>
            </a:ext>
          </a:extLst>
        </xdr:cNvPr>
        <xdr:cNvCxnSpPr/>
      </xdr:nvCxnSpPr>
      <xdr:spPr>
        <a:xfrm flipH="1">
          <a:off x="41028937" y="9655969"/>
          <a:ext cx="3226594" cy="117871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49</xdr:col>
      <xdr:colOff>381000</xdr:colOff>
      <xdr:row>50</xdr:row>
      <xdr:rowOff>154781</xdr:rowOff>
    </xdr:from>
    <xdr:to>
      <xdr:col>58</xdr:col>
      <xdr:colOff>0</xdr:colOff>
      <xdr:row>60</xdr:row>
      <xdr:rowOff>95250</xdr:rowOff>
    </xdr:to>
    <xdr:cxnSp macro="">
      <xdr:nvCxnSpPr>
        <xdr:cNvPr id="4" name="Straight Arrow Connector 3">
          <a:extLst>
            <a:ext uri="{FF2B5EF4-FFF2-40B4-BE49-F238E27FC236}">
              <a16:creationId xmlns:a16="http://schemas.microsoft.com/office/drawing/2014/main" id="{5C6F0A5C-E9F0-4082-B6C6-12B4A6A8E3F7}"/>
            </a:ext>
          </a:extLst>
        </xdr:cNvPr>
        <xdr:cNvCxnSpPr/>
      </xdr:nvCxnSpPr>
      <xdr:spPr>
        <a:xfrm>
          <a:off x="44255531" y="9679781"/>
          <a:ext cx="5083969" cy="184546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editAs="oneCell">
    <xdr:from>
      <xdr:col>38</xdr:col>
      <xdr:colOff>176137</xdr:colOff>
      <xdr:row>2</xdr:row>
      <xdr:rowOff>49137</xdr:rowOff>
    </xdr:from>
    <xdr:to>
      <xdr:col>53</xdr:col>
      <xdr:colOff>444605</xdr:colOff>
      <xdr:row>14</xdr:row>
      <xdr:rowOff>12107</xdr:rowOff>
    </xdr:to>
    <xdr:pic>
      <xdr:nvPicPr>
        <xdr:cNvPr id="2" name="Picture 1">
          <a:extLst>
            <a:ext uri="{FF2B5EF4-FFF2-40B4-BE49-F238E27FC236}">
              <a16:creationId xmlns:a16="http://schemas.microsoft.com/office/drawing/2014/main" id="{97F2D5BC-9C93-8E9C-4559-A8E32CE0C556}"/>
            </a:ext>
          </a:extLst>
        </xdr:cNvPr>
        <xdr:cNvPicPr>
          <a:picLocks noChangeAspect="1"/>
        </xdr:cNvPicPr>
      </xdr:nvPicPr>
      <xdr:blipFill>
        <a:blip xmlns:r="http://schemas.openxmlformats.org/officeDocument/2006/relationships" r:embed="rId1"/>
        <a:stretch>
          <a:fillRect/>
        </a:stretch>
      </xdr:blipFill>
      <xdr:spPr>
        <a:xfrm>
          <a:off x="21337512" y="430137"/>
          <a:ext cx="9317218" cy="2248970"/>
        </a:xfrm>
        <a:prstGeom prst="rect">
          <a:avLst/>
        </a:prstGeom>
      </xdr:spPr>
    </xdr:pic>
    <xdr:clientData/>
  </xdr:twoCellAnchor>
  <xdr:twoCellAnchor editAs="oneCell">
    <xdr:from>
      <xdr:col>38</xdr:col>
      <xdr:colOff>266095</xdr:colOff>
      <xdr:row>17</xdr:row>
      <xdr:rowOff>154781</xdr:rowOff>
    </xdr:from>
    <xdr:to>
      <xdr:col>53</xdr:col>
      <xdr:colOff>280080</xdr:colOff>
      <xdr:row>20</xdr:row>
      <xdr:rowOff>192743</xdr:rowOff>
    </xdr:to>
    <xdr:pic>
      <xdr:nvPicPr>
        <xdr:cNvPr id="4" name="Picture 3">
          <a:extLst>
            <a:ext uri="{FF2B5EF4-FFF2-40B4-BE49-F238E27FC236}">
              <a16:creationId xmlns:a16="http://schemas.microsoft.com/office/drawing/2014/main" id="{9D5DF5B7-1CF7-56CE-3E47-B03C344A0B38}"/>
            </a:ext>
          </a:extLst>
        </xdr:cNvPr>
        <xdr:cNvPicPr>
          <a:picLocks noChangeAspect="1"/>
        </xdr:cNvPicPr>
      </xdr:nvPicPr>
      <xdr:blipFill>
        <a:blip xmlns:r="http://schemas.openxmlformats.org/officeDocument/2006/relationships" r:embed="rId2"/>
        <a:stretch>
          <a:fillRect/>
        </a:stretch>
      </xdr:blipFill>
      <xdr:spPr>
        <a:xfrm>
          <a:off x="25209689" y="3393281"/>
          <a:ext cx="9122266" cy="621368"/>
        </a:xfrm>
        <a:prstGeom prst="rect">
          <a:avLst/>
        </a:prstGeom>
      </xdr:spPr>
    </xdr:pic>
    <xdr:clientData/>
  </xdr:twoCellAnchor>
  <xdr:twoCellAnchor>
    <xdr:from>
      <xdr:col>1</xdr:col>
      <xdr:colOff>305955</xdr:colOff>
      <xdr:row>61</xdr:row>
      <xdr:rowOff>48105</xdr:rowOff>
    </xdr:from>
    <xdr:to>
      <xdr:col>9</xdr:col>
      <xdr:colOff>422717</xdr:colOff>
      <xdr:row>79</xdr:row>
      <xdr:rowOff>88020</xdr:rowOff>
    </xdr:to>
    <xdr:graphicFrame macro="">
      <xdr:nvGraphicFramePr>
        <xdr:cNvPr id="3" name="Chart 2">
          <a:extLst>
            <a:ext uri="{FF2B5EF4-FFF2-40B4-BE49-F238E27FC236}">
              <a16:creationId xmlns:a16="http://schemas.microsoft.com/office/drawing/2014/main" id="{BD49F92E-2320-445B-B2ED-F9740D1F14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285750</xdr:colOff>
      <xdr:row>60</xdr:row>
      <xdr:rowOff>179917</xdr:rowOff>
    </xdr:from>
    <xdr:to>
      <xdr:col>19</xdr:col>
      <xdr:colOff>508345</xdr:colOff>
      <xdr:row>79</xdr:row>
      <xdr:rowOff>29332</xdr:rowOff>
    </xdr:to>
    <xdr:graphicFrame macro="">
      <xdr:nvGraphicFramePr>
        <xdr:cNvPr id="5" name="Chart 4">
          <a:extLst>
            <a:ext uri="{FF2B5EF4-FFF2-40B4-BE49-F238E27FC236}">
              <a16:creationId xmlns:a16="http://schemas.microsoft.com/office/drawing/2014/main" id="{912353E3-AF0E-4BC9-A0D5-80F5B1B7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23812</xdr:colOff>
      <xdr:row>61</xdr:row>
      <xdr:rowOff>87312</xdr:rowOff>
    </xdr:from>
    <xdr:to>
      <xdr:col>30</xdr:col>
      <xdr:colOff>246407</xdr:colOff>
      <xdr:row>79</xdr:row>
      <xdr:rowOff>127227</xdr:rowOff>
    </xdr:to>
    <xdr:graphicFrame macro="">
      <xdr:nvGraphicFramePr>
        <xdr:cNvPr id="6" name="Chart 5">
          <a:extLst>
            <a:ext uri="{FF2B5EF4-FFF2-40B4-BE49-F238E27FC236}">
              <a16:creationId xmlns:a16="http://schemas.microsoft.com/office/drawing/2014/main" id="{68E16FD8-DD89-4BD6-9627-066E60787D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333374</xdr:colOff>
      <xdr:row>80</xdr:row>
      <xdr:rowOff>182563</xdr:rowOff>
    </xdr:from>
    <xdr:to>
      <xdr:col>9</xdr:col>
      <xdr:colOff>450136</xdr:colOff>
      <xdr:row>99</xdr:row>
      <xdr:rowOff>31978</xdr:rowOff>
    </xdr:to>
    <xdr:graphicFrame macro="">
      <xdr:nvGraphicFramePr>
        <xdr:cNvPr id="7" name="Chart 6">
          <a:extLst>
            <a:ext uri="{FF2B5EF4-FFF2-40B4-BE49-F238E27FC236}">
              <a16:creationId xmlns:a16="http://schemas.microsoft.com/office/drawing/2014/main" id="{302A8282-080A-4CFA-9FC8-7F93E890AE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277812</xdr:colOff>
      <xdr:row>81</xdr:row>
      <xdr:rowOff>0</xdr:rowOff>
    </xdr:from>
    <xdr:to>
      <xdr:col>19</xdr:col>
      <xdr:colOff>505699</xdr:colOff>
      <xdr:row>99</xdr:row>
      <xdr:rowOff>39915</xdr:rowOff>
    </xdr:to>
    <xdr:graphicFrame macro="">
      <xdr:nvGraphicFramePr>
        <xdr:cNvPr id="8" name="Chart 7">
          <a:extLst>
            <a:ext uri="{FF2B5EF4-FFF2-40B4-BE49-F238E27FC236}">
              <a16:creationId xmlns:a16="http://schemas.microsoft.com/office/drawing/2014/main" id="{EEFBB4D0-673D-49C2-9885-2A97EEBFC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182562</xdr:colOff>
      <xdr:row>80</xdr:row>
      <xdr:rowOff>134937</xdr:rowOff>
    </xdr:from>
    <xdr:to>
      <xdr:col>30</xdr:col>
      <xdr:colOff>410449</xdr:colOff>
      <xdr:row>98</xdr:row>
      <xdr:rowOff>174852</xdr:rowOff>
    </xdr:to>
    <xdr:graphicFrame macro="">
      <xdr:nvGraphicFramePr>
        <xdr:cNvPr id="9" name="Chart 8">
          <a:extLst>
            <a:ext uri="{FF2B5EF4-FFF2-40B4-BE49-F238E27FC236}">
              <a16:creationId xmlns:a16="http://schemas.microsoft.com/office/drawing/2014/main" id="{01A358D4-BD23-41AB-8F6E-C59D329D67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690562</xdr:colOff>
      <xdr:row>101</xdr:row>
      <xdr:rowOff>55563</xdr:rowOff>
    </xdr:from>
    <xdr:to>
      <xdr:col>10</xdr:col>
      <xdr:colOff>196137</xdr:colOff>
      <xdr:row>119</xdr:row>
      <xdr:rowOff>95478</xdr:rowOff>
    </xdr:to>
    <xdr:graphicFrame macro="">
      <xdr:nvGraphicFramePr>
        <xdr:cNvPr id="10" name="Chart 9">
          <a:extLst>
            <a:ext uri="{FF2B5EF4-FFF2-40B4-BE49-F238E27FC236}">
              <a16:creationId xmlns:a16="http://schemas.microsoft.com/office/drawing/2014/main" id="{43B024F3-BDDD-4B91-9095-6101622954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121</xdr:row>
      <xdr:rowOff>0</xdr:rowOff>
    </xdr:from>
    <xdr:to>
      <xdr:col>10</xdr:col>
      <xdr:colOff>227887</xdr:colOff>
      <xdr:row>139</xdr:row>
      <xdr:rowOff>39915</xdr:rowOff>
    </xdr:to>
    <xdr:graphicFrame macro="">
      <xdr:nvGraphicFramePr>
        <xdr:cNvPr id="11" name="Chart 10">
          <a:extLst>
            <a:ext uri="{FF2B5EF4-FFF2-40B4-BE49-F238E27FC236}">
              <a16:creationId xmlns:a16="http://schemas.microsoft.com/office/drawing/2014/main" id="{FAEA1F02-8935-4636-9B20-984B74564B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7937</xdr:colOff>
      <xdr:row>140</xdr:row>
      <xdr:rowOff>31750</xdr:rowOff>
    </xdr:from>
    <xdr:to>
      <xdr:col>10</xdr:col>
      <xdr:colOff>235824</xdr:colOff>
      <xdr:row>158</xdr:row>
      <xdr:rowOff>71665</xdr:rowOff>
    </xdr:to>
    <xdr:graphicFrame macro="">
      <xdr:nvGraphicFramePr>
        <xdr:cNvPr id="12" name="Chart 11">
          <a:extLst>
            <a:ext uri="{FF2B5EF4-FFF2-40B4-BE49-F238E27FC236}">
              <a16:creationId xmlns:a16="http://schemas.microsoft.com/office/drawing/2014/main" id="{0F11574F-87BB-4E1D-B4FD-905F996DF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0</xdr:colOff>
      <xdr:row>160</xdr:row>
      <xdr:rowOff>0</xdr:rowOff>
    </xdr:from>
    <xdr:to>
      <xdr:col>10</xdr:col>
      <xdr:colOff>227887</xdr:colOff>
      <xdr:row>178</xdr:row>
      <xdr:rowOff>39915</xdr:rowOff>
    </xdr:to>
    <xdr:graphicFrame macro="">
      <xdr:nvGraphicFramePr>
        <xdr:cNvPr id="13" name="Chart 12">
          <a:extLst>
            <a:ext uri="{FF2B5EF4-FFF2-40B4-BE49-F238E27FC236}">
              <a16:creationId xmlns:a16="http://schemas.microsoft.com/office/drawing/2014/main" id="{51CB3992-915D-4606-A529-F85F61313A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198437</xdr:colOff>
      <xdr:row>101</xdr:row>
      <xdr:rowOff>47625</xdr:rowOff>
    </xdr:from>
    <xdr:to>
      <xdr:col>19</xdr:col>
      <xdr:colOff>426324</xdr:colOff>
      <xdr:row>119</xdr:row>
      <xdr:rowOff>87540</xdr:rowOff>
    </xdr:to>
    <xdr:graphicFrame macro="">
      <xdr:nvGraphicFramePr>
        <xdr:cNvPr id="14" name="Chart 13">
          <a:extLst>
            <a:ext uri="{FF2B5EF4-FFF2-40B4-BE49-F238E27FC236}">
              <a16:creationId xmlns:a16="http://schemas.microsoft.com/office/drawing/2014/main" id="{6E86F507-9190-4E5B-8D72-03DB739F0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309562</xdr:colOff>
      <xdr:row>100</xdr:row>
      <xdr:rowOff>142875</xdr:rowOff>
    </xdr:from>
    <xdr:to>
      <xdr:col>30</xdr:col>
      <xdr:colOff>537449</xdr:colOff>
      <xdr:row>118</xdr:row>
      <xdr:rowOff>182790</xdr:rowOff>
    </xdr:to>
    <xdr:graphicFrame macro="">
      <xdr:nvGraphicFramePr>
        <xdr:cNvPr id="15" name="Chart 14">
          <a:extLst>
            <a:ext uri="{FF2B5EF4-FFF2-40B4-BE49-F238E27FC236}">
              <a16:creationId xmlns:a16="http://schemas.microsoft.com/office/drawing/2014/main" id="{00360709-6103-4991-ABF8-CB6DE39B5D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214312</xdr:colOff>
      <xdr:row>120</xdr:row>
      <xdr:rowOff>142875</xdr:rowOff>
    </xdr:from>
    <xdr:to>
      <xdr:col>19</xdr:col>
      <xdr:colOff>442199</xdr:colOff>
      <xdr:row>138</xdr:row>
      <xdr:rowOff>182790</xdr:rowOff>
    </xdr:to>
    <xdr:graphicFrame macro="">
      <xdr:nvGraphicFramePr>
        <xdr:cNvPr id="16" name="Chart 15">
          <a:extLst>
            <a:ext uri="{FF2B5EF4-FFF2-40B4-BE49-F238E27FC236}">
              <a16:creationId xmlns:a16="http://schemas.microsoft.com/office/drawing/2014/main" id="{BE9409F5-B02C-42AA-8A40-6C014BCE6B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22</xdr:col>
      <xdr:colOff>357188</xdr:colOff>
      <xdr:row>120</xdr:row>
      <xdr:rowOff>63500</xdr:rowOff>
    </xdr:from>
    <xdr:to>
      <xdr:col>30</xdr:col>
      <xdr:colOff>585075</xdr:colOff>
      <xdr:row>138</xdr:row>
      <xdr:rowOff>103415</xdr:rowOff>
    </xdr:to>
    <xdr:graphicFrame macro="">
      <xdr:nvGraphicFramePr>
        <xdr:cNvPr id="17" name="Chart 16">
          <a:extLst>
            <a:ext uri="{FF2B5EF4-FFF2-40B4-BE49-F238E27FC236}">
              <a16:creationId xmlns:a16="http://schemas.microsoft.com/office/drawing/2014/main" id="{09F39258-20F3-423C-BD30-73A713989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277812</xdr:colOff>
      <xdr:row>140</xdr:row>
      <xdr:rowOff>39687</xdr:rowOff>
    </xdr:from>
    <xdr:to>
      <xdr:col>19</xdr:col>
      <xdr:colOff>505699</xdr:colOff>
      <xdr:row>158</xdr:row>
      <xdr:rowOff>79602</xdr:rowOff>
    </xdr:to>
    <xdr:graphicFrame macro="">
      <xdr:nvGraphicFramePr>
        <xdr:cNvPr id="18" name="Chart 17">
          <a:extLst>
            <a:ext uri="{FF2B5EF4-FFF2-40B4-BE49-F238E27FC236}">
              <a16:creationId xmlns:a16="http://schemas.microsoft.com/office/drawing/2014/main" id="{26DC5404-BAE5-42CA-9701-98CBB737CB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22</xdr:col>
      <xdr:colOff>5953</xdr:colOff>
      <xdr:row>140</xdr:row>
      <xdr:rowOff>5953</xdr:rowOff>
    </xdr:from>
    <xdr:to>
      <xdr:col>30</xdr:col>
      <xdr:colOff>233840</xdr:colOff>
      <xdr:row>158</xdr:row>
      <xdr:rowOff>45868</xdr:rowOff>
    </xdr:to>
    <xdr:graphicFrame macro="">
      <xdr:nvGraphicFramePr>
        <xdr:cNvPr id="19" name="Chart 18">
          <a:extLst>
            <a:ext uri="{FF2B5EF4-FFF2-40B4-BE49-F238E27FC236}">
              <a16:creationId xmlns:a16="http://schemas.microsoft.com/office/drawing/2014/main" id="{5471345B-CBA2-46EF-9C86-B1751DD8C6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238125</xdr:colOff>
      <xdr:row>160</xdr:row>
      <xdr:rowOff>47625</xdr:rowOff>
    </xdr:from>
    <xdr:to>
      <xdr:col>19</xdr:col>
      <xdr:colOff>466012</xdr:colOff>
      <xdr:row>178</xdr:row>
      <xdr:rowOff>87540</xdr:rowOff>
    </xdr:to>
    <xdr:graphicFrame macro="">
      <xdr:nvGraphicFramePr>
        <xdr:cNvPr id="20" name="Chart 19">
          <a:extLst>
            <a:ext uri="{FF2B5EF4-FFF2-40B4-BE49-F238E27FC236}">
              <a16:creationId xmlns:a16="http://schemas.microsoft.com/office/drawing/2014/main" id="{69D8466E-C636-426E-9D69-A077A062C8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21</xdr:col>
      <xdr:colOff>285751</xdr:colOff>
      <xdr:row>160</xdr:row>
      <xdr:rowOff>59531</xdr:rowOff>
    </xdr:from>
    <xdr:to>
      <xdr:col>30</xdr:col>
      <xdr:colOff>1669</xdr:colOff>
      <xdr:row>178</xdr:row>
      <xdr:rowOff>99446</xdr:rowOff>
    </xdr:to>
    <xdr:graphicFrame macro="">
      <xdr:nvGraphicFramePr>
        <xdr:cNvPr id="21" name="Chart 20">
          <a:extLst>
            <a:ext uri="{FF2B5EF4-FFF2-40B4-BE49-F238E27FC236}">
              <a16:creationId xmlns:a16="http://schemas.microsoft.com/office/drawing/2014/main" id="{08BEBA5C-ADB0-4120-9401-B9B0FC07E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21</xdr:col>
      <xdr:colOff>440531</xdr:colOff>
      <xdr:row>179</xdr:row>
      <xdr:rowOff>35719</xdr:rowOff>
    </xdr:from>
    <xdr:to>
      <xdr:col>30</xdr:col>
      <xdr:colOff>156449</xdr:colOff>
      <xdr:row>197</xdr:row>
      <xdr:rowOff>75634</xdr:rowOff>
    </xdr:to>
    <xdr:graphicFrame macro="">
      <xdr:nvGraphicFramePr>
        <xdr:cNvPr id="22" name="Chart 21">
          <a:extLst>
            <a:ext uri="{FF2B5EF4-FFF2-40B4-BE49-F238E27FC236}">
              <a16:creationId xmlns:a16="http://schemas.microsoft.com/office/drawing/2014/main" id="{74BD632A-C4C4-410E-BE9A-5CAD889FF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11</xdr:col>
      <xdr:colOff>369093</xdr:colOff>
      <xdr:row>179</xdr:row>
      <xdr:rowOff>35719</xdr:rowOff>
    </xdr:from>
    <xdr:to>
      <xdr:col>19</xdr:col>
      <xdr:colOff>596980</xdr:colOff>
      <xdr:row>197</xdr:row>
      <xdr:rowOff>75634</xdr:rowOff>
    </xdr:to>
    <xdr:graphicFrame macro="">
      <xdr:nvGraphicFramePr>
        <xdr:cNvPr id="24" name="Chart 23">
          <a:extLst>
            <a:ext uri="{FF2B5EF4-FFF2-40B4-BE49-F238E27FC236}">
              <a16:creationId xmlns:a16="http://schemas.microsoft.com/office/drawing/2014/main" id="{FA3E8D13-0117-4BF4-A6FC-0A6C34F27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xdr:col>
      <xdr:colOff>744684</xdr:colOff>
      <xdr:row>179</xdr:row>
      <xdr:rowOff>8659</xdr:rowOff>
    </xdr:from>
    <xdr:to>
      <xdr:col>10</xdr:col>
      <xdr:colOff>190500</xdr:colOff>
      <xdr:row>197</xdr:row>
      <xdr:rowOff>181841</xdr:rowOff>
    </xdr:to>
    <xdr:graphicFrame macro="">
      <xdr:nvGraphicFramePr>
        <xdr:cNvPr id="34" name="Chart 33">
          <a:extLst>
            <a:ext uri="{FF2B5EF4-FFF2-40B4-BE49-F238E27FC236}">
              <a16:creationId xmlns:a16="http://schemas.microsoft.com/office/drawing/2014/main" id="{E65BDC9E-65DF-4E17-A7B1-84AEE91A6A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32</xdr:col>
      <xdr:colOff>251113</xdr:colOff>
      <xdr:row>137</xdr:row>
      <xdr:rowOff>178955</xdr:rowOff>
    </xdr:from>
    <xdr:to>
      <xdr:col>40</xdr:col>
      <xdr:colOff>574250</xdr:colOff>
      <xdr:row>156</xdr:row>
      <xdr:rowOff>28370</xdr:rowOff>
    </xdr:to>
    <xdr:graphicFrame macro="">
      <xdr:nvGraphicFramePr>
        <xdr:cNvPr id="23" name="Chart 22">
          <a:extLst>
            <a:ext uri="{FF2B5EF4-FFF2-40B4-BE49-F238E27FC236}">
              <a16:creationId xmlns:a16="http://schemas.microsoft.com/office/drawing/2014/main" id="{E46BCE8E-A2D5-4A0D-A82E-F2C7363D77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41</xdr:col>
      <xdr:colOff>277091</xdr:colOff>
      <xdr:row>137</xdr:row>
      <xdr:rowOff>121227</xdr:rowOff>
    </xdr:from>
    <xdr:to>
      <xdr:col>49</xdr:col>
      <xdr:colOff>600229</xdr:colOff>
      <xdr:row>155</xdr:row>
      <xdr:rowOff>161142</xdr:rowOff>
    </xdr:to>
    <xdr:graphicFrame macro="">
      <xdr:nvGraphicFramePr>
        <xdr:cNvPr id="25" name="Chart 24">
          <a:extLst>
            <a:ext uri="{FF2B5EF4-FFF2-40B4-BE49-F238E27FC236}">
              <a16:creationId xmlns:a16="http://schemas.microsoft.com/office/drawing/2014/main" id="{ED55914C-4401-465D-82AA-FD4F4D160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158</xdr:row>
      <xdr:rowOff>112569</xdr:rowOff>
    </xdr:from>
    <xdr:to>
      <xdr:col>41</xdr:col>
      <xdr:colOff>323137</xdr:colOff>
      <xdr:row>176</xdr:row>
      <xdr:rowOff>152484</xdr:rowOff>
    </xdr:to>
    <xdr:graphicFrame macro="">
      <xdr:nvGraphicFramePr>
        <xdr:cNvPr id="26" name="Chart 25">
          <a:extLst>
            <a:ext uri="{FF2B5EF4-FFF2-40B4-BE49-F238E27FC236}">
              <a16:creationId xmlns:a16="http://schemas.microsoft.com/office/drawing/2014/main" id="{A0277E03-9B84-496E-B050-69359ACC0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Balam, Harish K PTIN-PTX/D/L/L" id="{7A74983C-6870-4905-8C1B-A0353A1A4AEF}" userId="S::Harish.Balam@shell.com::dfeb9f2d-4ad6-4424-b9fd-e75a3a06889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N54" dT="2026-05-18T11:15:20.32" personId="{7A74983C-6870-4905-8C1B-A0353A1A4AEF}" id="{C70E4516-F4A2-4334-8E9E-EF74D14A1F0D}">
    <text>Under no reaction conditions</text>
  </threadedComment>
  <threadedComment ref="V54" dT="2026-05-18T11:15:33.72" personId="{7A74983C-6870-4905-8C1B-A0353A1A4AEF}" id="{5BE28FEB-9129-4094-BF63-BA5E495A482A}">
    <text>Under no reaction condition</text>
  </threadedComment>
  <threadedComment ref="AC54" dT="2026-05-18T11:15:44.15" personId="{7A74983C-6870-4905-8C1B-A0353A1A4AEF}" id="{B655F76B-B2F5-475D-8B4E-77C76CB866DC}">
    <text>Under no reaction condition</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9.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A2335-C9C8-4B1F-AE70-8DEABA8A56F2}">
  <dimension ref="C1:E23"/>
  <sheetViews>
    <sheetView workbookViewId="0">
      <selection activeCell="H28" sqref="H28"/>
    </sheetView>
  </sheetViews>
  <sheetFormatPr defaultColWidth="8.7109375" defaultRowHeight="15"/>
  <cols>
    <col min="1" max="2" width="8.7109375" style="12"/>
    <col min="3" max="3" width="25.42578125" style="12" bestFit="1" customWidth="1"/>
    <col min="4" max="16384" width="8.7109375" style="12"/>
  </cols>
  <sheetData>
    <row r="1" spans="3:5">
      <c r="C1" s="241" t="s">
        <v>0</v>
      </c>
      <c r="D1" s="15">
        <v>1.5</v>
      </c>
    </row>
    <row r="2" spans="3:5">
      <c r="C2" s="241" t="s">
        <v>1</v>
      </c>
      <c r="D2" s="15">
        <v>100</v>
      </c>
    </row>
    <row r="3" spans="3:5">
      <c r="C3" s="241" t="s">
        <v>2</v>
      </c>
      <c r="D3" s="15">
        <v>2</v>
      </c>
    </row>
    <row r="4" spans="3:5">
      <c r="C4" s="241" t="s">
        <v>3</v>
      </c>
      <c r="D4" s="15">
        <v>2</v>
      </c>
    </row>
    <row r="6" spans="3:5">
      <c r="C6" s="241" t="s">
        <v>4</v>
      </c>
      <c r="D6" s="15">
        <f>(D4/D2)*D1*2</f>
        <v>0.06</v>
      </c>
    </row>
    <row r="7" spans="3:5">
      <c r="C7" s="241" t="s">
        <v>5</v>
      </c>
      <c r="D7" s="15">
        <f>D11*22.4</f>
        <v>0.67199999999999993</v>
      </c>
    </row>
    <row r="8" spans="3:5">
      <c r="C8" s="241"/>
      <c r="D8" s="15"/>
    </row>
    <row r="9" spans="3:5">
      <c r="D9" s="12" t="s">
        <v>6</v>
      </c>
      <c r="E9" s="15" t="s">
        <v>7</v>
      </c>
    </row>
    <row r="10" spans="3:5">
      <c r="C10" s="241" t="s">
        <v>8</v>
      </c>
      <c r="D10" s="15">
        <f>D4/D2</f>
        <v>0.02</v>
      </c>
      <c r="E10" s="114">
        <f>D10/$D$13*100</f>
        <v>14.358974358974358</v>
      </c>
    </row>
    <row r="11" spans="3:5">
      <c r="C11" s="241" t="s">
        <v>9</v>
      </c>
      <c r="D11" s="15">
        <f>D10*D1</f>
        <v>0.03</v>
      </c>
      <c r="E11" s="114">
        <f>D11/$D$13*100</f>
        <v>21.538461538461537</v>
      </c>
    </row>
    <row r="12" spans="3:5">
      <c r="C12" s="241" t="s">
        <v>10</v>
      </c>
      <c r="D12" s="276">
        <f>D3/22.4</f>
        <v>8.9285714285714288E-2</v>
      </c>
      <c r="E12" s="114">
        <f>D12/$D$13*100</f>
        <v>64.102564102564102</v>
      </c>
    </row>
    <row r="13" spans="3:5">
      <c r="C13" s="241" t="s">
        <v>11</v>
      </c>
      <c r="D13" s="276">
        <f>SUM(D10:D12)</f>
        <v>0.13928571428571429</v>
      </c>
      <c r="E13" s="15">
        <f>SUM(E10:E12)</f>
        <v>100</v>
      </c>
    </row>
    <row r="14" spans="3:5">
      <c r="C14" s="241"/>
      <c r="D14" s="240"/>
      <c r="E14" s="240"/>
    </row>
    <row r="15" spans="3:5">
      <c r="D15" s="15" t="s">
        <v>12</v>
      </c>
      <c r="E15" s="15" t="s">
        <v>7</v>
      </c>
    </row>
    <row r="16" spans="3:5">
      <c r="C16" s="241" t="s">
        <v>8</v>
      </c>
      <c r="D16" s="240">
        <f>D4</f>
        <v>2</v>
      </c>
      <c r="E16" s="240">
        <f>D16/$D$19*100</f>
        <v>43.859649122807014</v>
      </c>
    </row>
    <row r="17" spans="3:5">
      <c r="C17" s="241" t="s">
        <v>9</v>
      </c>
      <c r="D17" s="240">
        <f>D6</f>
        <v>0.06</v>
      </c>
      <c r="E17" s="240">
        <f>D17/$D$19*100</f>
        <v>1.3157894736842102</v>
      </c>
    </row>
    <row r="18" spans="3:5">
      <c r="C18" s="241" t="s">
        <v>10</v>
      </c>
      <c r="D18" s="15">
        <f>D12*28</f>
        <v>2.5</v>
      </c>
      <c r="E18" s="240">
        <f>D18/$D$19*100</f>
        <v>54.824561403508767</v>
      </c>
    </row>
    <row r="19" spans="3:5">
      <c r="C19" s="241" t="s">
        <v>11</v>
      </c>
      <c r="D19" s="240">
        <f>SUM(D16:D18)</f>
        <v>4.5600000000000005</v>
      </c>
      <c r="E19" s="114">
        <f>D19/$D$19*100</f>
        <v>100</v>
      </c>
    </row>
    <row r="21" spans="3:5">
      <c r="C21" s="241" t="s">
        <v>13</v>
      </c>
      <c r="D21" s="114">
        <v>24</v>
      </c>
      <c r="E21" s="15" t="s">
        <v>14</v>
      </c>
    </row>
    <row r="22" spans="3:5">
      <c r="C22" s="241" t="s">
        <v>15</v>
      </c>
      <c r="D22" s="15">
        <f>D21*D11/SUM(D10:D11)</f>
        <v>14.399999999999999</v>
      </c>
      <c r="E22" s="15"/>
    </row>
    <row r="23" spans="3:5">
      <c r="C23" s="275" t="s">
        <v>13</v>
      </c>
      <c r="D23" s="274">
        <f>D22/(E11/100)</f>
        <v>66.857142857142861</v>
      </c>
      <c r="E23" s="273" t="s">
        <v>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E7F8F-2126-4D28-8D49-B5296C9C320F}">
  <dimension ref="B1:AD66"/>
  <sheetViews>
    <sheetView topLeftCell="A4" zoomScale="110" zoomScaleNormal="110" workbookViewId="0">
      <selection activeCell="R64" sqref="R64"/>
    </sheetView>
  </sheetViews>
  <sheetFormatPr defaultRowHeight="15"/>
  <cols>
    <col min="2" max="2" width="16.7109375" customWidth="1"/>
    <col min="3" max="3" width="12.42578125" style="233" bestFit="1" customWidth="1"/>
    <col min="4" max="4" width="11.7109375" customWidth="1"/>
    <col min="5" max="5" width="16.42578125" style="232" bestFit="1" customWidth="1"/>
    <col min="6" max="7" width="14.28515625" bestFit="1" customWidth="1"/>
    <col min="10" max="10" width="15.42578125" customWidth="1"/>
    <col min="11" max="12" width="9.140625" style="231"/>
    <col min="18" max="18" width="27.5703125" bestFit="1" customWidth="1"/>
  </cols>
  <sheetData>
    <row r="1" spans="2:17">
      <c r="B1" t="s">
        <v>17</v>
      </c>
      <c r="C1" s="233" t="s">
        <v>18</v>
      </c>
    </row>
    <row r="2" spans="2:17">
      <c r="C2" s="233">
        <v>6.05</v>
      </c>
      <c r="D2" t="s">
        <v>19</v>
      </c>
    </row>
    <row r="3" spans="2:17">
      <c r="B3" t="s">
        <v>20</v>
      </c>
      <c r="C3" s="233">
        <v>85</v>
      </c>
      <c r="D3" t="s">
        <v>21</v>
      </c>
    </row>
    <row r="4" spans="2:17">
      <c r="C4" s="233">
        <v>10</v>
      </c>
      <c r="D4" t="s">
        <v>22</v>
      </c>
    </row>
    <row r="5" spans="2:17">
      <c r="C5" s="233">
        <v>5</v>
      </c>
      <c r="D5" t="s">
        <v>23</v>
      </c>
    </row>
    <row r="6" spans="2:17">
      <c r="C6" s="233">
        <v>0.66</v>
      </c>
      <c r="D6" t="s">
        <v>24</v>
      </c>
    </row>
    <row r="7" spans="2:17">
      <c r="C7" s="233">
        <v>86.18</v>
      </c>
      <c r="D7" t="s">
        <v>25</v>
      </c>
    </row>
    <row r="11" spans="2:17">
      <c r="K11" s="231" t="s">
        <v>26</v>
      </c>
    </row>
    <row r="12" spans="2:17" ht="70.5">
      <c r="C12" s="233" t="s">
        <v>27</v>
      </c>
      <c r="D12" t="s">
        <v>28</v>
      </c>
      <c r="E12" s="232" t="s">
        <v>29</v>
      </c>
      <c r="F12" t="s">
        <v>9</v>
      </c>
      <c r="H12" t="s">
        <v>30</v>
      </c>
      <c r="I12" t="s">
        <v>31</v>
      </c>
      <c r="K12" s="272" t="s">
        <v>32</v>
      </c>
      <c r="L12" s="272" t="s">
        <v>33</v>
      </c>
      <c r="M12" s="271" t="s">
        <v>34</v>
      </c>
      <c r="N12" s="271" t="s">
        <v>35</v>
      </c>
      <c r="Q12" s="270"/>
    </row>
    <row r="13" spans="2:17">
      <c r="D13" t="s">
        <v>36</v>
      </c>
      <c r="E13" s="232" t="s">
        <v>37</v>
      </c>
      <c r="F13" t="s">
        <v>38</v>
      </c>
      <c r="H13" t="s">
        <v>39</v>
      </c>
      <c r="Q13" s="270"/>
    </row>
    <row r="14" spans="2:17">
      <c r="B14" s="263" t="s">
        <v>40</v>
      </c>
      <c r="C14" s="267">
        <v>26</v>
      </c>
      <c r="D14" s="263">
        <v>220</v>
      </c>
      <c r="E14" s="266">
        <v>0.25700000000000001</v>
      </c>
      <c r="F14" s="263">
        <v>4</v>
      </c>
      <c r="G14" s="263"/>
      <c r="H14" s="265">
        <f t="shared" ref="H14:H32" si="0">(F14/22.4)/(60*E14*$C$6/$C$7)</f>
        <v>1.5121335646627476</v>
      </c>
      <c r="I14" s="265">
        <f t="shared" ref="I14:I32" si="1">E14*60*$C$6/$C$2</f>
        <v>1.6821818181818184</v>
      </c>
      <c r="J14" s="264"/>
      <c r="K14" s="231">
        <v>32.53</v>
      </c>
      <c r="L14" s="231">
        <v>5.7</v>
      </c>
      <c r="M14" s="263">
        <v>37.53</v>
      </c>
      <c r="N14" s="263">
        <v>80.13</v>
      </c>
      <c r="Q14" s="270"/>
    </row>
    <row r="15" spans="2:17">
      <c r="B15" s="263" t="s">
        <v>41</v>
      </c>
      <c r="C15" s="267">
        <v>26</v>
      </c>
      <c r="D15" s="263">
        <v>200</v>
      </c>
      <c r="E15" s="266">
        <v>0.25700000000000001</v>
      </c>
      <c r="F15" s="263">
        <v>4</v>
      </c>
      <c r="G15" s="263"/>
      <c r="H15" s="265">
        <f t="shared" si="0"/>
        <v>1.5121335646627476</v>
      </c>
      <c r="I15" s="265">
        <f t="shared" si="1"/>
        <v>1.6821818181818184</v>
      </c>
      <c r="J15" s="264"/>
      <c r="K15" s="231">
        <v>11.26</v>
      </c>
      <c r="L15" s="231">
        <v>2.2200000000000002</v>
      </c>
      <c r="M15" s="263">
        <v>3.59</v>
      </c>
      <c r="N15" s="263">
        <v>31.67</v>
      </c>
      <c r="Q15" s="270"/>
    </row>
    <row r="16" spans="2:17">
      <c r="B16" s="263" t="s">
        <v>42</v>
      </c>
      <c r="C16" s="267">
        <v>26</v>
      </c>
      <c r="D16" s="263">
        <v>210</v>
      </c>
      <c r="E16" s="266">
        <v>0.25700000000000001</v>
      </c>
      <c r="F16" s="263">
        <v>4</v>
      </c>
      <c r="G16" s="263"/>
      <c r="H16" s="265">
        <f t="shared" si="0"/>
        <v>1.5121335646627476</v>
      </c>
      <c r="I16" s="265">
        <f t="shared" si="1"/>
        <v>1.6821818181818184</v>
      </c>
      <c r="J16" s="264"/>
      <c r="K16" s="231">
        <v>16.22</v>
      </c>
      <c r="L16" s="231">
        <v>1.94</v>
      </c>
      <c r="M16" s="263">
        <v>13.73</v>
      </c>
      <c r="N16" s="263">
        <v>55.23</v>
      </c>
      <c r="Q16" s="270"/>
    </row>
    <row r="17" spans="2:17">
      <c r="B17" s="263" t="s">
        <v>43</v>
      </c>
      <c r="C17" s="267">
        <v>26</v>
      </c>
      <c r="D17" s="263">
        <v>230</v>
      </c>
      <c r="E17" s="266">
        <v>0.25700000000000001</v>
      </c>
      <c r="F17" s="263">
        <v>4</v>
      </c>
      <c r="G17" s="263"/>
      <c r="H17" s="265">
        <f t="shared" si="0"/>
        <v>1.5121335646627476</v>
      </c>
      <c r="I17" s="265">
        <f t="shared" si="1"/>
        <v>1.6821818181818184</v>
      </c>
      <c r="J17" s="264"/>
      <c r="K17" s="231">
        <v>45.45</v>
      </c>
      <c r="L17" s="231">
        <v>3.4</v>
      </c>
      <c r="M17" s="263">
        <v>59.2</v>
      </c>
      <c r="N17" s="263">
        <v>88.8</v>
      </c>
      <c r="Q17" s="270"/>
    </row>
    <row r="18" spans="2:17">
      <c r="B18" s="263" t="s">
        <v>44</v>
      </c>
      <c r="C18" s="267">
        <v>26</v>
      </c>
      <c r="D18" s="263">
        <v>190</v>
      </c>
      <c r="E18" s="266">
        <v>0.25700000000000001</v>
      </c>
      <c r="F18" s="263">
        <v>4</v>
      </c>
      <c r="G18" s="263"/>
      <c r="H18" s="265">
        <f t="shared" si="0"/>
        <v>1.5121335646627476</v>
      </c>
      <c r="I18" s="265">
        <f t="shared" si="1"/>
        <v>1.6821818181818184</v>
      </c>
      <c r="J18" s="264"/>
      <c r="K18" s="231">
        <v>8.2899999999999991</v>
      </c>
      <c r="L18" s="231">
        <v>1.59</v>
      </c>
      <c r="M18" s="263">
        <v>-0.03</v>
      </c>
      <c r="N18" s="263">
        <v>18.95</v>
      </c>
    </row>
    <row r="19" spans="2:17">
      <c r="B19" s="32" t="s">
        <v>45</v>
      </c>
      <c r="C19" s="224">
        <v>26</v>
      </c>
      <c r="D19" s="32">
        <v>220</v>
      </c>
      <c r="E19" s="269">
        <v>0.25700000000000001</v>
      </c>
      <c r="F19" s="32">
        <v>3.18</v>
      </c>
      <c r="G19" s="32"/>
      <c r="H19" s="268">
        <f t="shared" si="0"/>
        <v>1.2021461839068845</v>
      </c>
      <c r="I19" s="268">
        <f t="shared" si="1"/>
        <v>1.6821818181818184</v>
      </c>
      <c r="J19" s="228"/>
      <c r="M19" s="32"/>
      <c r="N19" s="32"/>
    </row>
    <row r="20" spans="2:17">
      <c r="B20" s="32" t="s">
        <v>46</v>
      </c>
      <c r="C20" s="224">
        <v>26</v>
      </c>
      <c r="D20" s="32">
        <v>200</v>
      </c>
      <c r="E20" s="269">
        <v>0.25700000000000001</v>
      </c>
      <c r="F20" s="32">
        <v>3.18</v>
      </c>
      <c r="G20" s="32"/>
      <c r="H20" s="268">
        <f t="shared" si="0"/>
        <v>1.2021461839068845</v>
      </c>
      <c r="I20" s="268">
        <f t="shared" si="1"/>
        <v>1.6821818181818184</v>
      </c>
      <c r="J20" s="228"/>
      <c r="K20" s="231">
        <v>12.1</v>
      </c>
      <c r="L20" s="231">
        <v>1.83</v>
      </c>
      <c r="M20" s="32">
        <v>6.17</v>
      </c>
      <c r="N20" s="32">
        <v>37.81</v>
      </c>
    </row>
    <row r="21" spans="2:17">
      <c r="B21" s="32" t="s">
        <v>47</v>
      </c>
      <c r="C21" s="224">
        <v>26</v>
      </c>
      <c r="D21" s="32">
        <v>210</v>
      </c>
      <c r="E21" s="269">
        <v>0.25700000000000001</v>
      </c>
      <c r="F21" s="32">
        <v>3.18</v>
      </c>
      <c r="G21" s="32"/>
      <c r="H21" s="268">
        <f t="shared" si="0"/>
        <v>1.2021461839068845</v>
      </c>
      <c r="I21" s="268">
        <f t="shared" si="1"/>
        <v>1.6821818181818184</v>
      </c>
      <c r="J21" s="228"/>
      <c r="K21" s="231">
        <v>17.079999999999998</v>
      </c>
      <c r="L21" s="231">
        <v>1.94</v>
      </c>
      <c r="M21" s="32">
        <v>15.23</v>
      </c>
      <c r="N21" s="32">
        <v>57.51</v>
      </c>
    </row>
    <row r="22" spans="2:17">
      <c r="B22" s="32" t="s">
        <v>48</v>
      </c>
      <c r="C22" s="224">
        <v>26</v>
      </c>
      <c r="D22" s="32">
        <v>230</v>
      </c>
      <c r="E22" s="269">
        <v>0.25700000000000001</v>
      </c>
      <c r="F22" s="32">
        <v>3.18</v>
      </c>
      <c r="G22" s="32"/>
      <c r="H22" s="268">
        <f t="shared" si="0"/>
        <v>1.2021461839068845</v>
      </c>
      <c r="I22" s="268">
        <f t="shared" si="1"/>
        <v>1.6821818181818184</v>
      </c>
      <c r="J22" s="228"/>
      <c r="K22" s="231">
        <v>46.11</v>
      </c>
      <c r="L22" s="231">
        <v>3.48</v>
      </c>
      <c r="M22" s="32">
        <v>60.33</v>
      </c>
      <c r="N22" s="32">
        <v>87.93</v>
      </c>
    </row>
    <row r="23" spans="2:17">
      <c r="B23" s="32" t="s">
        <v>49</v>
      </c>
      <c r="C23" s="224">
        <v>26</v>
      </c>
      <c r="D23" s="32">
        <v>190</v>
      </c>
      <c r="E23" s="269">
        <v>0.25700000000000001</v>
      </c>
      <c r="F23" s="32">
        <v>3.18</v>
      </c>
      <c r="G23" s="32"/>
      <c r="H23" s="268">
        <f t="shared" si="0"/>
        <v>1.2021461839068845</v>
      </c>
      <c r="I23" s="268">
        <f t="shared" si="1"/>
        <v>1.6821818181818184</v>
      </c>
      <c r="J23" s="228"/>
      <c r="K23" s="231">
        <v>10.63</v>
      </c>
      <c r="L23" s="231">
        <v>1.92</v>
      </c>
      <c r="M23" s="32">
        <v>2.82</v>
      </c>
      <c r="N23" s="32">
        <v>23.03</v>
      </c>
    </row>
    <row r="24" spans="2:17">
      <c r="B24" t="s">
        <v>50</v>
      </c>
      <c r="C24" s="233">
        <v>26</v>
      </c>
      <c r="D24">
        <v>180</v>
      </c>
      <c r="E24" s="232">
        <v>0.25700000000000001</v>
      </c>
      <c r="F24">
        <v>3.18</v>
      </c>
      <c r="H24" s="258">
        <f t="shared" si="0"/>
        <v>1.2021461839068845</v>
      </c>
      <c r="I24" s="258">
        <f t="shared" si="1"/>
        <v>1.6821818181818184</v>
      </c>
      <c r="J24" s="256"/>
      <c r="K24" s="231">
        <v>4.3899999999999997</v>
      </c>
      <c r="L24" s="231">
        <v>1.34</v>
      </c>
      <c r="M24">
        <v>-6.06</v>
      </c>
      <c r="N24">
        <v>4.13</v>
      </c>
    </row>
    <row r="25" spans="2:17">
      <c r="B25" t="s">
        <v>51</v>
      </c>
      <c r="C25" s="233">
        <v>26</v>
      </c>
      <c r="D25">
        <v>220</v>
      </c>
      <c r="E25" s="232">
        <f>2*0.257</f>
        <v>0.51400000000000001</v>
      </c>
      <c r="F25">
        <f>2*3.18</f>
        <v>6.36</v>
      </c>
      <c r="H25" s="258">
        <f t="shared" si="0"/>
        <v>1.2021461839068845</v>
      </c>
      <c r="I25" s="258">
        <f t="shared" si="1"/>
        <v>3.3643636363636369</v>
      </c>
      <c r="J25" s="256"/>
      <c r="K25" s="231">
        <v>16.88</v>
      </c>
      <c r="L25" s="231">
        <v>1.75</v>
      </c>
      <c r="M25">
        <v>16.48</v>
      </c>
      <c r="N25">
        <v>56.06</v>
      </c>
    </row>
    <row r="26" spans="2:17">
      <c r="B26" t="s">
        <v>52</v>
      </c>
      <c r="C26" s="233">
        <v>26</v>
      </c>
      <c r="D26">
        <v>240</v>
      </c>
      <c r="E26" s="232">
        <f>1.5*0.257</f>
        <v>0.38550000000000001</v>
      </c>
      <c r="F26">
        <f>1.5*3.18</f>
        <v>4.7700000000000005</v>
      </c>
      <c r="H26" s="258">
        <f t="shared" si="0"/>
        <v>1.2021461839068845</v>
      </c>
      <c r="I26" s="258">
        <f t="shared" si="1"/>
        <v>2.5232727272727273</v>
      </c>
      <c r="J26" s="256"/>
      <c r="K26" s="231">
        <v>45.52</v>
      </c>
      <c r="L26" s="231">
        <v>3.29</v>
      </c>
      <c r="M26">
        <v>60.17</v>
      </c>
      <c r="N26">
        <v>84.99</v>
      </c>
    </row>
    <row r="27" spans="2:17">
      <c r="B27" s="263" t="s">
        <v>53</v>
      </c>
      <c r="C27" s="267">
        <v>15</v>
      </c>
      <c r="D27" s="263">
        <v>220</v>
      </c>
      <c r="E27" s="266">
        <v>0.25700000000000001</v>
      </c>
      <c r="F27" s="263">
        <v>4</v>
      </c>
      <c r="G27" s="263"/>
      <c r="H27" s="265">
        <f t="shared" si="0"/>
        <v>1.5121335646627476</v>
      </c>
      <c r="I27" s="265">
        <f t="shared" si="1"/>
        <v>1.6821818181818184</v>
      </c>
      <c r="J27" s="264"/>
      <c r="K27" s="231">
        <v>39.58</v>
      </c>
      <c r="L27" s="231">
        <v>3.03</v>
      </c>
      <c r="M27" s="263">
        <v>53.01</v>
      </c>
      <c r="N27" s="263">
        <v>84.63</v>
      </c>
    </row>
    <row r="28" spans="2:17">
      <c r="B28" t="s">
        <v>54</v>
      </c>
      <c r="C28" s="233">
        <v>15</v>
      </c>
      <c r="D28">
        <v>200</v>
      </c>
      <c r="E28" s="232">
        <v>0.25700000000000001</v>
      </c>
      <c r="F28">
        <v>4</v>
      </c>
      <c r="H28" s="258">
        <f t="shared" si="0"/>
        <v>1.5121335646627476</v>
      </c>
      <c r="I28" s="258">
        <f t="shared" si="1"/>
        <v>1.6821818181818184</v>
      </c>
      <c r="J28" s="256"/>
      <c r="K28" s="231">
        <v>15.71</v>
      </c>
      <c r="L28" s="231">
        <v>1.99</v>
      </c>
      <c r="M28">
        <v>12.42</v>
      </c>
      <c r="N28">
        <v>52.49</v>
      </c>
    </row>
    <row r="29" spans="2:17">
      <c r="B29" t="s">
        <v>55</v>
      </c>
      <c r="C29" s="233">
        <v>15</v>
      </c>
      <c r="D29">
        <v>210</v>
      </c>
      <c r="E29" s="232">
        <v>0.25700000000000001</v>
      </c>
      <c r="F29">
        <v>4</v>
      </c>
      <c r="H29" s="258">
        <f t="shared" si="0"/>
        <v>1.5121335646627476</v>
      </c>
      <c r="I29" s="258">
        <f t="shared" si="1"/>
        <v>1.6821818181818184</v>
      </c>
      <c r="J29" s="256"/>
      <c r="K29" s="231">
        <v>21.52</v>
      </c>
      <c r="L29" s="231">
        <v>1.87</v>
      </c>
      <c r="M29">
        <v>24.38</v>
      </c>
      <c r="N29">
        <v>72.959999999999994</v>
      </c>
    </row>
    <row r="30" spans="2:17">
      <c r="B30" t="s">
        <v>56</v>
      </c>
      <c r="C30" s="233">
        <v>15</v>
      </c>
      <c r="D30">
        <v>230</v>
      </c>
      <c r="E30" s="232">
        <v>0.25700000000000001</v>
      </c>
      <c r="F30">
        <v>4</v>
      </c>
      <c r="H30" s="258">
        <f t="shared" si="0"/>
        <v>1.5121335646627476</v>
      </c>
      <c r="I30" s="258">
        <f t="shared" si="1"/>
        <v>1.6821818181818184</v>
      </c>
      <c r="J30" s="256"/>
      <c r="K30" s="231">
        <v>53.54</v>
      </c>
      <c r="L30" s="231">
        <v>3.11</v>
      </c>
      <c r="M30">
        <v>71.77</v>
      </c>
      <c r="N30">
        <v>87.85</v>
      </c>
    </row>
    <row r="31" spans="2:17">
      <c r="B31" t="s">
        <v>57</v>
      </c>
      <c r="C31" s="233">
        <v>15</v>
      </c>
      <c r="D31">
        <v>190</v>
      </c>
      <c r="E31" s="232">
        <v>0.25700000000000001</v>
      </c>
      <c r="F31">
        <v>4</v>
      </c>
      <c r="H31" s="258">
        <f t="shared" si="0"/>
        <v>1.5121335646627476</v>
      </c>
      <c r="I31" s="258">
        <f t="shared" si="1"/>
        <v>1.6821818181818184</v>
      </c>
      <c r="J31" s="256"/>
      <c r="K31" s="231">
        <v>12.02</v>
      </c>
      <c r="L31" s="231">
        <v>1.92</v>
      </c>
      <c r="M31">
        <v>5.1100000000000003</v>
      </c>
      <c r="N31">
        <v>32.75</v>
      </c>
    </row>
    <row r="32" spans="2:17">
      <c r="B32" t="s">
        <v>58</v>
      </c>
      <c r="C32" s="233">
        <v>15</v>
      </c>
      <c r="D32">
        <v>180</v>
      </c>
      <c r="E32" s="232">
        <v>0.25700000000000001</v>
      </c>
      <c r="F32">
        <f>F31</f>
        <v>4</v>
      </c>
      <c r="H32" s="258">
        <f t="shared" si="0"/>
        <v>1.5121335646627476</v>
      </c>
      <c r="I32" s="258">
        <f t="shared" si="1"/>
        <v>1.6821818181818184</v>
      </c>
      <c r="J32" s="256"/>
      <c r="K32" s="231">
        <v>4.8899999999999997</v>
      </c>
      <c r="L32" s="231">
        <v>1.4</v>
      </c>
      <c r="M32">
        <v>-5.92</v>
      </c>
      <c r="N32">
        <v>8.7200000000000006</v>
      </c>
    </row>
    <row r="33" spans="2:30">
      <c r="H33" s="258"/>
      <c r="I33" s="258"/>
      <c r="J33" s="256"/>
    </row>
    <row r="34" spans="2:30" ht="252.75" customHeight="1" thickBot="1">
      <c r="H34" s="258"/>
      <c r="I34" s="258"/>
      <c r="J34" s="256"/>
      <c r="S34" s="315" t="s">
        <v>59</v>
      </c>
      <c r="T34" s="315"/>
      <c r="U34" s="315"/>
      <c r="V34" s="315"/>
      <c r="W34" s="315"/>
      <c r="X34" s="315"/>
      <c r="Y34" s="315"/>
      <c r="Z34" s="315"/>
      <c r="AA34" s="315"/>
      <c r="AB34" s="315"/>
      <c r="AC34" s="315"/>
      <c r="AD34" s="315"/>
    </row>
    <row r="35" spans="2:30">
      <c r="C35" s="262" t="s">
        <v>60</v>
      </c>
      <c r="D35" s="261"/>
      <c r="E35" s="260"/>
      <c r="F35" s="259"/>
      <c r="H35" s="258"/>
      <c r="I35" s="258"/>
      <c r="J35" s="256"/>
    </row>
    <row r="36" spans="2:30">
      <c r="B36" s="12"/>
      <c r="C36" s="242"/>
      <c r="D36" s="12"/>
      <c r="E36" s="241"/>
      <c r="F36" s="109"/>
      <c r="G36" s="12"/>
      <c r="H36" s="257"/>
      <c r="I36" s="257"/>
      <c r="J36" s="256"/>
    </row>
    <row r="37" spans="2:30">
      <c r="B37" s="12"/>
      <c r="C37" s="242" t="s">
        <v>61</v>
      </c>
      <c r="D37" s="15" t="s">
        <v>61</v>
      </c>
      <c r="E37" s="15" t="s">
        <v>62</v>
      </c>
      <c r="F37" s="244" t="s">
        <v>63</v>
      </c>
      <c r="G37" s="12"/>
      <c r="H37" s="257"/>
      <c r="I37" s="257"/>
      <c r="J37" s="256"/>
    </row>
    <row r="38" spans="2:30">
      <c r="B38" s="12"/>
      <c r="C38" s="242" t="s">
        <v>64</v>
      </c>
      <c r="D38" s="15" t="s">
        <v>65</v>
      </c>
      <c r="E38" s="15" t="s">
        <v>66</v>
      </c>
      <c r="F38" s="244" t="s">
        <v>67</v>
      </c>
      <c r="G38" s="12"/>
      <c r="H38" s="257"/>
      <c r="I38" s="257"/>
      <c r="J38" s="256"/>
    </row>
    <row r="39" spans="2:30">
      <c r="B39" s="12"/>
      <c r="C39" s="243">
        <f>D18</f>
        <v>190</v>
      </c>
      <c r="D39" s="15">
        <f>C39+273</f>
        <v>463</v>
      </c>
      <c r="E39" s="241">
        <f>1/D39</f>
        <v>2.1598272138228943E-3</v>
      </c>
      <c r="F39" s="239">
        <f>-LN((100-K18)/100)*I14</f>
        <v>0.14557393102405289</v>
      </c>
      <c r="G39" s="255"/>
      <c r="H39" s="12"/>
      <c r="I39" s="12"/>
      <c r="J39" s="256"/>
    </row>
    <row r="40" spans="2:30">
      <c r="B40" s="12"/>
      <c r="C40" s="243">
        <f>D15</f>
        <v>200</v>
      </c>
      <c r="D40" s="15">
        <f>C40+273</f>
        <v>473</v>
      </c>
      <c r="E40" s="241">
        <f>1/D40</f>
        <v>2.1141649048625794E-3</v>
      </c>
      <c r="F40" s="239">
        <f>-LN((100-K15)/100)*I15</f>
        <v>0.20095249804097429</v>
      </c>
      <c r="G40" s="255"/>
      <c r="H40" s="12"/>
      <c r="I40" s="12"/>
      <c r="J40" s="256"/>
    </row>
    <row r="41" spans="2:30">
      <c r="B41" s="12"/>
      <c r="C41" s="243">
        <f>D16</f>
        <v>210</v>
      </c>
      <c r="D41" s="15">
        <f>C41+273</f>
        <v>483</v>
      </c>
      <c r="E41" s="241">
        <f>1/D41</f>
        <v>2.070393374741201E-3</v>
      </c>
      <c r="F41" s="239">
        <f>-LN((100-K16)/100)*I16</f>
        <v>0.29770559156019316</v>
      </c>
      <c r="G41" s="255"/>
      <c r="H41" s="12"/>
      <c r="I41" s="12"/>
      <c r="J41" s="256"/>
    </row>
    <row r="42" spans="2:30">
      <c r="B42" s="12"/>
      <c r="C42" s="242">
        <f>D14</f>
        <v>220</v>
      </c>
      <c r="D42" s="15">
        <f>C42+273</f>
        <v>493</v>
      </c>
      <c r="E42" s="241">
        <f>1/D42</f>
        <v>2.0283975659229209E-3</v>
      </c>
      <c r="F42" s="239">
        <f>-LN((100-K14)/100)*I17</f>
        <v>0.6619168980434007</v>
      </c>
      <c r="G42" s="255"/>
      <c r="H42" s="12"/>
      <c r="I42" s="12"/>
    </row>
    <row r="43" spans="2:30">
      <c r="B43" s="12"/>
      <c r="C43" s="242">
        <f>D17</f>
        <v>230</v>
      </c>
      <c r="D43" s="15">
        <f>C43+273</f>
        <v>503</v>
      </c>
      <c r="E43" s="241">
        <f>1/D43</f>
        <v>1.9880715705765406E-3</v>
      </c>
      <c r="F43" s="239">
        <f>-LN((100-K17)/100)*I18</f>
        <v>1.019490452137414</v>
      </c>
      <c r="G43" s="255"/>
      <c r="H43" s="12"/>
      <c r="I43" s="12"/>
    </row>
    <row r="44" spans="2:30">
      <c r="B44" s="12"/>
      <c r="C44" s="242"/>
      <c r="D44" s="15"/>
      <c r="E44" s="241"/>
      <c r="F44" s="244"/>
      <c r="G44" s="12"/>
      <c r="H44" s="12"/>
      <c r="I44" s="12"/>
    </row>
    <row r="45" spans="2:30">
      <c r="B45" s="12"/>
      <c r="C45" s="242"/>
      <c r="D45" s="12"/>
      <c r="E45" s="241"/>
      <c r="F45" s="109"/>
      <c r="G45" s="12"/>
      <c r="H45" s="12"/>
      <c r="I45" s="12"/>
    </row>
    <row r="46" spans="2:30">
      <c r="B46" s="12"/>
      <c r="C46" s="242"/>
      <c r="D46" s="12"/>
      <c r="E46" s="241"/>
      <c r="F46" s="109"/>
      <c r="G46" s="12"/>
      <c r="H46" s="12"/>
      <c r="I46" s="12"/>
    </row>
    <row r="47" spans="2:30">
      <c r="B47" s="12"/>
      <c r="C47" s="242"/>
      <c r="D47" s="12"/>
      <c r="E47" s="241"/>
      <c r="F47" s="109"/>
      <c r="G47" s="12"/>
      <c r="H47" s="12"/>
      <c r="I47" s="12"/>
    </row>
    <row r="48" spans="2:30">
      <c r="C48" s="250"/>
      <c r="F48" s="251"/>
    </row>
    <row r="49" spans="3:8">
      <c r="C49" s="250"/>
      <c r="E49" s="253" t="s">
        <v>68</v>
      </c>
      <c r="F49" s="254">
        <v>1697</v>
      </c>
      <c r="G49" s="246"/>
    </row>
    <row r="50" spans="3:8">
      <c r="C50" s="250"/>
      <c r="E50" s="253" t="s">
        <v>69</v>
      </c>
      <c r="F50" s="252">
        <v>0.97</v>
      </c>
    </row>
    <row r="51" spans="3:8">
      <c r="C51" s="250"/>
      <c r="E51" s="253" t="s">
        <v>70</v>
      </c>
      <c r="F51" s="252" t="s">
        <v>71</v>
      </c>
      <c r="G51" s="246"/>
      <c r="H51" s="246"/>
    </row>
    <row r="52" spans="3:8">
      <c r="C52" s="250"/>
      <c r="F52" s="251"/>
      <c r="G52" s="246"/>
      <c r="H52" s="246"/>
    </row>
    <row r="53" spans="3:8">
      <c r="C53" s="250"/>
      <c r="F53" s="251"/>
      <c r="G53" s="246"/>
      <c r="H53" s="246"/>
    </row>
    <row r="54" spans="3:8">
      <c r="C54" s="250"/>
      <c r="E54" s="246" t="s">
        <v>68</v>
      </c>
      <c r="F54" s="239">
        <v>8767</v>
      </c>
      <c r="G54" s="246"/>
      <c r="H54" s="246"/>
    </row>
    <row r="55" spans="3:8">
      <c r="C55" s="250"/>
      <c r="E55" s="246" t="s">
        <v>69</v>
      </c>
      <c r="F55" s="239">
        <v>1</v>
      </c>
      <c r="G55" s="246"/>
      <c r="H55" s="246"/>
    </row>
    <row r="56" spans="3:8" ht="15.75" thickBot="1">
      <c r="C56" s="249"/>
      <c r="D56" s="248"/>
      <c r="E56" s="247" t="s">
        <v>70</v>
      </c>
      <c r="F56" s="234" t="s">
        <v>72</v>
      </c>
      <c r="G56" s="246"/>
      <c r="H56" s="246"/>
    </row>
    <row r="59" spans="3:8" ht="15.75" thickBot="1">
      <c r="C59" s="233" t="s">
        <v>73</v>
      </c>
    </row>
    <row r="60" spans="3:8">
      <c r="C60" s="245" t="s">
        <v>61</v>
      </c>
      <c r="D60" s="118" t="s">
        <v>61</v>
      </c>
      <c r="E60" s="118" t="s">
        <v>62</v>
      </c>
      <c r="F60" s="118" t="s">
        <v>74</v>
      </c>
      <c r="G60" s="119" t="s">
        <v>63</v>
      </c>
    </row>
    <row r="61" spans="3:8">
      <c r="C61" s="242" t="s">
        <v>64</v>
      </c>
      <c r="D61" s="15" t="s">
        <v>65</v>
      </c>
      <c r="E61" s="15" t="s">
        <v>66</v>
      </c>
      <c r="G61" s="244" t="s">
        <v>67</v>
      </c>
    </row>
    <row r="62" spans="3:8">
      <c r="C62" s="243">
        <v>190</v>
      </c>
      <c r="D62" s="15">
        <f>C62+273</f>
        <v>463</v>
      </c>
      <c r="E62" s="241">
        <f>1/D62</f>
        <v>2.1598272138228943E-3</v>
      </c>
      <c r="F62" s="240">
        <v>4.8</v>
      </c>
      <c r="G62" s="239">
        <f>-LN((100-F62)/100)*1.68</f>
        <v>8.2639610240496389E-2</v>
      </c>
    </row>
    <row r="63" spans="3:8">
      <c r="C63" s="243">
        <v>200</v>
      </c>
      <c r="D63" s="15">
        <f>C63+273</f>
        <v>473</v>
      </c>
      <c r="E63" s="241">
        <f>1/D63</f>
        <v>2.1141649048625794E-3</v>
      </c>
      <c r="F63" s="240">
        <v>8.8000000000000007</v>
      </c>
      <c r="G63" s="239">
        <f>-LN((100-F63)/100)*1.68</f>
        <v>0.15475368536511344</v>
      </c>
    </row>
    <row r="64" spans="3:8">
      <c r="C64" s="243">
        <v>210</v>
      </c>
      <c r="D64" s="15">
        <f>C64+273</f>
        <v>483</v>
      </c>
      <c r="E64" s="241">
        <f>1/D64</f>
        <v>2.070393374741201E-3</v>
      </c>
      <c r="F64" s="240">
        <v>17.100000000000001</v>
      </c>
      <c r="G64" s="239">
        <f>-LN((100-F64)/100)*1.68</f>
        <v>0.31505900806269455</v>
      </c>
    </row>
    <row r="65" spans="3:7">
      <c r="C65" s="242">
        <v>220</v>
      </c>
      <c r="D65" s="15">
        <f>C65+273</f>
        <v>493</v>
      </c>
      <c r="E65" s="241">
        <f>1/D65</f>
        <v>2.0283975659229209E-3</v>
      </c>
      <c r="F65" s="240">
        <v>32</v>
      </c>
      <c r="G65" s="239">
        <f>-LN((100-F65)/100)*1.68</f>
        <v>0.6479129677641341</v>
      </c>
    </row>
    <row r="66" spans="3:7" ht="15.75" thickBot="1">
      <c r="C66" s="238">
        <v>230</v>
      </c>
      <c r="D66" s="237">
        <f>C66+273</f>
        <v>503</v>
      </c>
      <c r="E66" s="236">
        <f>1/D66</f>
        <v>1.9880715705765406E-3</v>
      </c>
      <c r="F66" s="235">
        <v>53</v>
      </c>
      <c r="G66" s="234">
        <f>-LN((100-F66)/100)*1.68</f>
        <v>1.268437941587095</v>
      </c>
    </row>
  </sheetData>
  <mergeCells count="1">
    <mergeCell ref="S34:AD3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D93B-3543-4367-82BB-674FBF173E31}">
  <dimension ref="A1"/>
  <sheetViews>
    <sheetView workbookViewId="0">
      <selection activeCell="S58" sqref="S58"/>
    </sheetView>
  </sheetViews>
  <sheetFormatPr defaultRowHeight="1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01F9F-3293-4CEC-9CB6-04F689115DA5}">
  <dimension ref="A1:Q19"/>
  <sheetViews>
    <sheetView topLeftCell="E1" zoomScale="120" zoomScaleNormal="120" workbookViewId="0">
      <selection activeCell="H44" sqref="H44"/>
    </sheetView>
  </sheetViews>
  <sheetFormatPr defaultColWidth="9.140625" defaultRowHeight="15"/>
  <cols>
    <col min="1" max="1" width="6.28515625" style="31" bestFit="1" customWidth="1"/>
    <col min="2" max="2" width="18" style="31" bestFit="1" customWidth="1"/>
    <col min="3" max="3" width="19.42578125" style="31" bestFit="1" customWidth="1"/>
    <col min="4" max="4" width="17.7109375" style="31" bestFit="1" customWidth="1"/>
    <col min="5" max="5" width="12.42578125" style="31" bestFit="1" customWidth="1"/>
    <col min="6" max="7" width="14.85546875" style="31" bestFit="1" customWidth="1"/>
    <col min="8" max="8" width="14.5703125" style="31" bestFit="1" customWidth="1"/>
    <col min="9" max="9" width="56.28515625" style="1" bestFit="1" customWidth="1"/>
    <col min="10" max="11" width="9.140625" style="1"/>
    <col min="12" max="12" width="13.140625" style="1" customWidth="1"/>
    <col min="13" max="13" width="14.85546875" style="31" bestFit="1" customWidth="1"/>
    <col min="14" max="14" width="21.42578125" style="1" bestFit="1" customWidth="1"/>
    <col min="15" max="15" width="16.7109375" style="1" bestFit="1" customWidth="1"/>
    <col min="16" max="16" width="17.42578125" style="31" bestFit="1" customWidth="1"/>
    <col min="17" max="17" width="47.85546875" style="1" bestFit="1" customWidth="1"/>
    <col min="18" max="16384" width="9.140625" style="1"/>
  </cols>
  <sheetData>
    <row r="1" spans="1:17">
      <c r="A1" s="202" t="s">
        <v>75</v>
      </c>
      <c r="B1" s="202" t="s">
        <v>76</v>
      </c>
      <c r="C1" s="202" t="s">
        <v>77</v>
      </c>
      <c r="D1" s="202" t="s">
        <v>78</v>
      </c>
      <c r="E1" s="202" t="s">
        <v>79</v>
      </c>
      <c r="F1" s="202" t="s">
        <v>80</v>
      </c>
      <c r="G1" s="202" t="s">
        <v>81</v>
      </c>
      <c r="H1" s="202" t="s">
        <v>82</v>
      </c>
      <c r="I1" s="202" t="s">
        <v>83</v>
      </c>
      <c r="L1" s="202" t="s">
        <v>84</v>
      </c>
      <c r="M1" s="202" t="s">
        <v>85</v>
      </c>
      <c r="N1" s="202" t="s">
        <v>86</v>
      </c>
      <c r="O1" s="202" t="s">
        <v>87</v>
      </c>
      <c r="P1" s="202" t="s">
        <v>88</v>
      </c>
      <c r="Q1" s="202"/>
    </row>
    <row r="2" spans="1:17">
      <c r="A2" s="62">
        <v>1</v>
      </c>
      <c r="B2" s="62">
        <v>25</v>
      </c>
      <c r="C2" s="62">
        <f>B2</f>
        <v>25</v>
      </c>
      <c r="D2" s="62">
        <v>0</v>
      </c>
      <c r="E2" s="62">
        <v>1</v>
      </c>
      <c r="F2" s="62"/>
      <c r="G2" s="62"/>
      <c r="H2" s="62">
        <v>15</v>
      </c>
      <c r="I2" s="71"/>
      <c r="L2" s="316">
        <v>1</v>
      </c>
      <c r="M2" s="65">
        <f>(C2-B2)</f>
        <v>0</v>
      </c>
      <c r="N2" s="65">
        <v>0</v>
      </c>
      <c r="O2" s="65">
        <f>B2</f>
        <v>25</v>
      </c>
      <c r="P2" s="65">
        <f>H2</f>
        <v>15</v>
      </c>
      <c r="Q2" s="69"/>
    </row>
    <row r="3" spans="1:17">
      <c r="A3" s="62">
        <f t="shared" ref="A3:A10" si="0">A2+1</f>
        <v>2</v>
      </c>
      <c r="B3" s="62">
        <v>25</v>
      </c>
      <c r="C3" s="62">
        <v>180</v>
      </c>
      <c r="D3" s="62">
        <v>30</v>
      </c>
      <c r="E3" s="62">
        <v>0.5</v>
      </c>
      <c r="F3" s="62"/>
      <c r="G3" s="62"/>
      <c r="H3" s="62">
        <v>15</v>
      </c>
      <c r="I3" s="71"/>
      <c r="L3" s="317"/>
      <c r="M3" s="65">
        <f>E2</f>
        <v>1</v>
      </c>
      <c r="N3" s="65">
        <f t="shared" ref="N3:N19" si="1">M3+N2</f>
        <v>1</v>
      </c>
      <c r="O3" s="65">
        <f>C2</f>
        <v>25</v>
      </c>
      <c r="P3" s="65">
        <f>H2</f>
        <v>15</v>
      </c>
      <c r="Q3" s="69"/>
    </row>
    <row r="4" spans="1:17">
      <c r="A4" s="62">
        <f t="shared" si="0"/>
        <v>3</v>
      </c>
      <c r="B4" s="62">
        <f>C3</f>
        <v>180</v>
      </c>
      <c r="C4" s="62">
        <v>220</v>
      </c>
      <c r="D4" s="62">
        <v>30</v>
      </c>
      <c r="E4" s="62">
        <v>0.5</v>
      </c>
      <c r="F4" s="62"/>
      <c r="G4" s="62"/>
      <c r="H4" s="62">
        <v>15</v>
      </c>
      <c r="I4" s="71"/>
      <c r="L4" s="316">
        <v>2</v>
      </c>
      <c r="M4" s="72">
        <f>(C3-B3)/D3</f>
        <v>5.166666666666667</v>
      </c>
      <c r="N4" s="72">
        <f t="shared" si="1"/>
        <v>6.166666666666667</v>
      </c>
      <c r="O4" s="65">
        <f>C3</f>
        <v>180</v>
      </c>
      <c r="P4" s="65">
        <f>H3</f>
        <v>15</v>
      </c>
      <c r="Q4" s="69"/>
    </row>
    <row r="5" spans="1:17">
      <c r="A5" s="62">
        <f t="shared" si="0"/>
        <v>4</v>
      </c>
      <c r="B5" s="62">
        <v>220</v>
      </c>
      <c r="C5" s="62">
        <v>260</v>
      </c>
      <c r="D5" s="62">
        <v>30</v>
      </c>
      <c r="E5" s="62">
        <v>2</v>
      </c>
      <c r="F5" s="62"/>
      <c r="G5" s="62"/>
      <c r="H5" s="62">
        <v>15</v>
      </c>
      <c r="I5" s="71"/>
      <c r="L5" s="317"/>
      <c r="M5" s="72">
        <f>E3</f>
        <v>0.5</v>
      </c>
      <c r="N5" s="72">
        <f t="shared" si="1"/>
        <v>6.666666666666667</v>
      </c>
      <c r="O5" s="65">
        <f>C3</f>
        <v>180</v>
      </c>
      <c r="P5" s="65">
        <f>H3</f>
        <v>15</v>
      </c>
      <c r="Q5" s="69"/>
    </row>
    <row r="6" spans="1:17">
      <c r="A6" s="62">
        <f t="shared" si="0"/>
        <v>5</v>
      </c>
      <c r="B6" s="62">
        <v>260</v>
      </c>
      <c r="C6" s="62">
        <v>160</v>
      </c>
      <c r="D6" s="62">
        <v>30</v>
      </c>
      <c r="E6" s="62">
        <v>0.5</v>
      </c>
      <c r="F6" s="62"/>
      <c r="G6" s="62"/>
      <c r="H6" s="62">
        <v>15</v>
      </c>
      <c r="I6" s="71"/>
      <c r="L6" s="316">
        <v>3</v>
      </c>
      <c r="M6" s="72">
        <f>(C4-B4)/D4</f>
        <v>1.3333333333333333</v>
      </c>
      <c r="N6" s="72">
        <f t="shared" si="1"/>
        <v>8</v>
      </c>
      <c r="O6" s="65">
        <f>C4</f>
        <v>220</v>
      </c>
      <c r="P6" s="65">
        <f>H4</f>
        <v>15</v>
      </c>
      <c r="Q6" s="69"/>
    </row>
    <row r="7" spans="1:17">
      <c r="A7" s="62">
        <f t="shared" si="0"/>
        <v>6</v>
      </c>
      <c r="B7" s="62">
        <v>160</v>
      </c>
      <c r="C7" s="62">
        <v>160</v>
      </c>
      <c r="D7" s="62">
        <v>0</v>
      </c>
      <c r="E7" s="62">
        <v>1</v>
      </c>
      <c r="F7" s="62"/>
      <c r="G7" s="62"/>
      <c r="H7" s="62">
        <v>25</v>
      </c>
      <c r="I7" s="71" t="s">
        <v>89</v>
      </c>
      <c r="L7" s="317"/>
      <c r="M7" s="72">
        <f>E4</f>
        <v>0.5</v>
      </c>
      <c r="N7" s="72">
        <f t="shared" si="1"/>
        <v>8.5</v>
      </c>
      <c r="O7" s="65">
        <f>C4</f>
        <v>220</v>
      </c>
      <c r="P7" s="65">
        <f>H4</f>
        <v>15</v>
      </c>
      <c r="Q7" s="69"/>
    </row>
    <row r="8" spans="1:17">
      <c r="A8" s="62">
        <f t="shared" si="0"/>
        <v>7</v>
      </c>
      <c r="B8" s="62">
        <v>160</v>
      </c>
      <c r="C8" s="62">
        <v>260</v>
      </c>
      <c r="D8" s="62">
        <v>30</v>
      </c>
      <c r="E8" s="62">
        <v>6</v>
      </c>
      <c r="F8" s="62"/>
      <c r="G8" s="62"/>
      <c r="H8" s="62">
        <v>25</v>
      </c>
      <c r="I8" s="71"/>
      <c r="L8" s="316">
        <v>4</v>
      </c>
      <c r="M8" s="72">
        <f>(C5-B5)/D5</f>
        <v>1.3333333333333333</v>
      </c>
      <c r="N8" s="72">
        <f t="shared" si="1"/>
        <v>9.8333333333333339</v>
      </c>
      <c r="O8" s="65">
        <f>C5</f>
        <v>260</v>
      </c>
      <c r="P8" s="65">
        <f>H5</f>
        <v>15</v>
      </c>
      <c r="Q8" s="69"/>
    </row>
    <row r="9" spans="1:17">
      <c r="A9" s="62">
        <f t="shared" si="0"/>
        <v>8</v>
      </c>
      <c r="B9" s="62">
        <v>260</v>
      </c>
      <c r="C9" s="62">
        <v>190</v>
      </c>
      <c r="D9" s="62">
        <v>30</v>
      </c>
      <c r="E9" s="62">
        <v>0.5</v>
      </c>
      <c r="F9" s="62"/>
      <c r="G9" s="62"/>
      <c r="H9" s="62">
        <v>25</v>
      </c>
      <c r="I9" s="71"/>
      <c r="L9" s="317"/>
      <c r="M9" s="72">
        <f>E5</f>
        <v>2</v>
      </c>
      <c r="N9" s="72">
        <f t="shared" si="1"/>
        <v>11.833333333333334</v>
      </c>
      <c r="O9" s="65">
        <f>C5</f>
        <v>260</v>
      </c>
      <c r="P9" s="65">
        <f>H5</f>
        <v>15</v>
      </c>
      <c r="Q9" s="69"/>
    </row>
    <row r="10" spans="1:17">
      <c r="A10" s="62">
        <f t="shared" si="0"/>
        <v>9</v>
      </c>
      <c r="B10" s="62">
        <v>190</v>
      </c>
      <c r="C10" s="62">
        <v>190</v>
      </c>
      <c r="D10" s="62">
        <v>0</v>
      </c>
      <c r="E10" s="62">
        <v>1</v>
      </c>
      <c r="F10" s="62"/>
      <c r="G10" s="62"/>
      <c r="H10" s="62">
        <v>25</v>
      </c>
      <c r="I10" s="71" t="s">
        <v>90</v>
      </c>
      <c r="L10" s="316">
        <v>5</v>
      </c>
      <c r="M10" s="72">
        <f>(B6-C6)/D6</f>
        <v>3.3333333333333335</v>
      </c>
      <c r="N10" s="72">
        <f t="shared" si="1"/>
        <v>15.166666666666668</v>
      </c>
      <c r="O10" s="65">
        <f>C6</f>
        <v>160</v>
      </c>
      <c r="P10" s="65">
        <f>H6</f>
        <v>15</v>
      </c>
      <c r="Q10" s="69"/>
    </row>
    <row r="11" spans="1:17">
      <c r="L11" s="317"/>
      <c r="M11" s="72">
        <f>E6</f>
        <v>0.5</v>
      </c>
      <c r="N11" s="72">
        <f t="shared" si="1"/>
        <v>15.666666666666668</v>
      </c>
      <c r="O11" s="65">
        <f>C6</f>
        <v>160</v>
      </c>
      <c r="P11" s="65">
        <f>H6</f>
        <v>15</v>
      </c>
      <c r="Q11" s="69"/>
    </row>
    <row r="12" spans="1:17">
      <c r="L12" s="316">
        <v>6</v>
      </c>
      <c r="M12" s="72">
        <f>(C7-B7)</f>
        <v>0</v>
      </c>
      <c r="N12" s="72">
        <f t="shared" si="1"/>
        <v>15.666666666666668</v>
      </c>
      <c r="O12" s="65">
        <v>160</v>
      </c>
      <c r="P12" s="65">
        <f>H7</f>
        <v>25</v>
      </c>
      <c r="Q12" s="69" t="str">
        <f>I7</f>
        <v>Switch to H2 gas and increase Pressure to 25 barg</v>
      </c>
    </row>
    <row r="13" spans="1:17">
      <c r="L13" s="317"/>
      <c r="M13" s="72">
        <f>E7</f>
        <v>1</v>
      </c>
      <c r="N13" s="72">
        <f t="shared" si="1"/>
        <v>16.666666666666668</v>
      </c>
      <c r="O13" s="65">
        <f>C7</f>
        <v>160</v>
      </c>
      <c r="P13" s="65">
        <f>H7</f>
        <v>25</v>
      </c>
      <c r="Q13" s="69"/>
    </row>
    <row r="14" spans="1:17">
      <c r="L14" s="316">
        <v>7</v>
      </c>
      <c r="M14" s="72">
        <f>(C8-B8)/D8</f>
        <v>3.3333333333333335</v>
      </c>
      <c r="N14" s="72">
        <f t="shared" si="1"/>
        <v>20</v>
      </c>
      <c r="O14" s="65">
        <f>C8</f>
        <v>260</v>
      </c>
      <c r="P14" s="65">
        <f>H8</f>
        <v>25</v>
      </c>
      <c r="Q14" s="69"/>
    </row>
    <row r="15" spans="1:17">
      <c r="L15" s="317"/>
      <c r="M15" s="72">
        <f>E8</f>
        <v>6</v>
      </c>
      <c r="N15" s="72">
        <f t="shared" si="1"/>
        <v>26</v>
      </c>
      <c r="O15" s="65">
        <f>C8</f>
        <v>260</v>
      </c>
      <c r="P15" s="65">
        <f>H8</f>
        <v>25</v>
      </c>
      <c r="Q15" s="69"/>
    </row>
    <row r="16" spans="1:17">
      <c r="L16" s="316">
        <v>8</v>
      </c>
      <c r="M16" s="72">
        <f>(B9-C9)/D9</f>
        <v>2.3333333333333335</v>
      </c>
      <c r="N16" s="72">
        <f t="shared" si="1"/>
        <v>28.333333333333332</v>
      </c>
      <c r="O16" s="65">
        <f>C9</f>
        <v>190</v>
      </c>
      <c r="P16" s="65">
        <f>H9</f>
        <v>25</v>
      </c>
      <c r="Q16" s="69"/>
    </row>
    <row r="17" spans="12:17">
      <c r="L17" s="317"/>
      <c r="M17" s="72">
        <f>E9</f>
        <v>0.5</v>
      </c>
      <c r="N17" s="72">
        <f t="shared" si="1"/>
        <v>28.833333333333332</v>
      </c>
      <c r="O17" s="65">
        <f>C9</f>
        <v>190</v>
      </c>
      <c r="P17" s="65">
        <f>H9</f>
        <v>25</v>
      </c>
      <c r="Q17" s="69"/>
    </row>
    <row r="18" spans="12:17">
      <c r="L18" s="316">
        <v>9</v>
      </c>
      <c r="M18" s="72">
        <f>(C10-B10)</f>
        <v>0</v>
      </c>
      <c r="N18" s="72">
        <f t="shared" si="1"/>
        <v>28.833333333333332</v>
      </c>
      <c r="O18" s="65">
        <f>C10</f>
        <v>190</v>
      </c>
      <c r="P18" s="65">
        <f>H10</f>
        <v>25</v>
      </c>
      <c r="Q18" s="69"/>
    </row>
    <row r="19" spans="12:17">
      <c r="L19" s="317"/>
      <c r="M19" s="72">
        <f>E10</f>
        <v>1</v>
      </c>
      <c r="N19" s="72">
        <f t="shared" si="1"/>
        <v>29.833333333333332</v>
      </c>
      <c r="O19" s="65">
        <f>C10</f>
        <v>190</v>
      </c>
      <c r="P19" s="65">
        <f>H10</f>
        <v>25</v>
      </c>
      <c r="Q19" s="71" t="s">
        <v>90</v>
      </c>
    </row>
  </sheetData>
  <mergeCells count="9">
    <mergeCell ref="L14:L15"/>
    <mergeCell ref="L16:L17"/>
    <mergeCell ref="L18:L19"/>
    <mergeCell ref="L2:L3"/>
    <mergeCell ref="L4:L5"/>
    <mergeCell ref="L6:L7"/>
    <mergeCell ref="L8:L9"/>
    <mergeCell ref="L10:L11"/>
    <mergeCell ref="L12:L1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24A0D-58CE-4B85-A7AF-457887438EAA}">
  <dimension ref="C5:AE57"/>
  <sheetViews>
    <sheetView topLeftCell="A4" zoomScale="90" zoomScaleNormal="90" workbookViewId="0">
      <selection activeCell="Y16" sqref="Y16"/>
    </sheetView>
  </sheetViews>
  <sheetFormatPr defaultColWidth="9.140625" defaultRowHeight="15"/>
  <cols>
    <col min="1" max="1" width="9.140625" style="32"/>
    <col min="2" max="2" width="9.140625" style="32" customWidth="1"/>
    <col min="3" max="4" width="3.5703125" style="32" customWidth="1"/>
    <col min="5" max="5" width="4.85546875" style="32" customWidth="1"/>
    <col min="6" max="9" width="9.140625" style="32"/>
    <col min="10" max="10" width="9.140625" style="32" customWidth="1"/>
    <col min="11" max="11" width="12.5703125" style="32" customWidth="1"/>
    <col min="12" max="14" width="9.140625" style="32"/>
    <col min="15" max="15" width="23.5703125" style="32" bestFit="1" customWidth="1"/>
    <col min="16" max="16" width="9.140625" style="224"/>
    <col min="17" max="17" width="8.5703125" style="224" customWidth="1"/>
    <col min="18" max="19" width="9.140625" style="32"/>
    <col min="20" max="20" width="22.85546875" style="32" bestFit="1" customWidth="1"/>
    <col min="21" max="23" width="9.140625" style="224"/>
    <col min="24" max="16384" width="9.140625" style="32"/>
  </cols>
  <sheetData>
    <row r="5" spans="3:23">
      <c r="T5" s="318" t="s">
        <v>91</v>
      </c>
      <c r="U5" s="318" t="s">
        <v>92</v>
      </c>
      <c r="V5" s="318"/>
      <c r="W5" s="318"/>
    </row>
    <row r="6" spans="3:23">
      <c r="C6" s="225"/>
      <c r="O6" s="61" t="s">
        <v>93</v>
      </c>
      <c r="P6" s="224" t="s">
        <v>94</v>
      </c>
      <c r="Q6" s="224">
        <v>4.4000000000000004</v>
      </c>
      <c r="T6" s="319"/>
      <c r="U6" s="230">
        <v>1</v>
      </c>
      <c r="V6" s="230">
        <v>2</v>
      </c>
      <c r="W6" s="230">
        <v>6</v>
      </c>
    </row>
    <row r="7" spans="3:23" ht="15" customHeight="1">
      <c r="D7" s="320"/>
      <c r="E7" s="229"/>
      <c r="F7" s="228"/>
      <c r="G7" s="322" t="s">
        <v>95</v>
      </c>
      <c r="H7" s="322"/>
      <c r="I7" s="322"/>
      <c r="J7" s="322"/>
      <c r="K7" s="322"/>
      <c r="O7" s="61" t="s">
        <v>96</v>
      </c>
      <c r="P7" s="224" t="s">
        <v>94</v>
      </c>
      <c r="Q7" s="31">
        <v>300</v>
      </c>
      <c r="R7" s="1"/>
      <c r="S7" s="1"/>
      <c r="T7" s="64" t="s">
        <v>97</v>
      </c>
      <c r="U7" s="62">
        <f>875-U8-U9</f>
        <v>421</v>
      </c>
      <c r="V7" s="62">
        <f>875-V8-V9</f>
        <v>419</v>
      </c>
      <c r="W7" s="62">
        <f>875-W8-W9</f>
        <v>420</v>
      </c>
    </row>
    <row r="8" spans="3:23">
      <c r="D8" s="320"/>
      <c r="F8" s="228"/>
      <c r="G8" s="322"/>
      <c r="H8" s="322"/>
      <c r="I8" s="322"/>
      <c r="J8" s="322"/>
      <c r="K8" s="322"/>
      <c r="O8" s="61" t="s">
        <v>98</v>
      </c>
      <c r="P8" s="224" t="s">
        <v>99</v>
      </c>
      <c r="Q8" s="34">
        <f>(22/28)*(Q6*Q6)*Q7/1000</f>
        <v>4.5634285714285721</v>
      </c>
      <c r="R8" s="1"/>
      <c r="S8" s="1"/>
      <c r="T8" s="63" t="s">
        <v>100</v>
      </c>
      <c r="U8" s="65">
        <v>154</v>
      </c>
      <c r="V8" s="65">
        <v>156</v>
      </c>
      <c r="W8" s="65">
        <v>155</v>
      </c>
    </row>
    <row r="9" spans="3:23">
      <c r="D9" s="320"/>
      <c r="E9" s="229"/>
      <c r="F9" s="228"/>
      <c r="G9" s="323" t="s">
        <v>101</v>
      </c>
      <c r="H9" s="323"/>
      <c r="I9" s="323"/>
      <c r="J9" s="323"/>
      <c r="K9" s="323"/>
      <c r="O9" s="61" t="s">
        <v>102</v>
      </c>
      <c r="P9" s="224" t="s">
        <v>99</v>
      </c>
      <c r="Q9" s="31">
        <v>2</v>
      </c>
      <c r="R9" s="1"/>
      <c r="S9" s="1"/>
      <c r="T9" s="63" t="s">
        <v>103</v>
      </c>
      <c r="U9" s="65">
        <v>300</v>
      </c>
      <c r="V9" s="65">
        <v>300</v>
      </c>
      <c r="W9" s="65">
        <v>300</v>
      </c>
    </row>
    <row r="10" spans="3:23">
      <c r="D10" s="320"/>
      <c r="F10" s="228"/>
      <c r="G10" s="323"/>
      <c r="H10" s="323"/>
      <c r="I10" s="323"/>
      <c r="J10" s="323"/>
      <c r="K10" s="323"/>
      <c r="O10" s="61"/>
      <c r="Q10" s="57"/>
      <c r="R10" s="1"/>
      <c r="S10" s="1"/>
      <c r="T10" s="1"/>
    </row>
    <row r="11" spans="3:23">
      <c r="D11" s="320"/>
      <c r="F11" s="228"/>
      <c r="G11" s="323"/>
      <c r="H11" s="323"/>
      <c r="I11" s="323"/>
      <c r="J11" s="323"/>
      <c r="K11" s="323"/>
      <c r="O11" s="61"/>
      <c r="Q11" s="57"/>
      <c r="R11" s="1"/>
      <c r="S11" s="1"/>
    </row>
    <row r="12" spans="3:23">
      <c r="D12" s="320"/>
      <c r="E12" s="225"/>
      <c r="F12" s="228"/>
      <c r="G12" s="323"/>
      <c r="H12" s="323"/>
      <c r="I12" s="323"/>
      <c r="J12" s="323"/>
      <c r="K12" s="323"/>
      <c r="O12" s="61"/>
      <c r="Q12" s="34"/>
    </row>
    <row r="13" spans="3:23">
      <c r="D13" s="320"/>
      <c r="G13" s="321" t="s">
        <v>104</v>
      </c>
      <c r="H13" s="322"/>
      <c r="I13" s="322"/>
      <c r="J13" s="322"/>
      <c r="K13" s="322"/>
      <c r="Q13" s="35"/>
    </row>
    <row r="14" spans="3:23">
      <c r="D14" s="320"/>
      <c r="G14" s="322"/>
      <c r="H14" s="322"/>
      <c r="I14" s="322"/>
      <c r="J14" s="322"/>
      <c r="K14" s="322"/>
      <c r="Q14" s="35"/>
    </row>
    <row r="15" spans="3:23">
      <c r="D15" s="320"/>
      <c r="G15" s="322"/>
      <c r="H15" s="322"/>
      <c r="I15" s="322"/>
      <c r="J15" s="322"/>
      <c r="K15" s="322"/>
      <c r="Q15" s="35"/>
    </row>
    <row r="16" spans="3:23">
      <c r="D16" s="320"/>
      <c r="G16" s="322"/>
      <c r="H16" s="322"/>
      <c r="I16" s="322"/>
      <c r="J16" s="322"/>
      <c r="K16" s="322"/>
      <c r="Q16" s="227"/>
    </row>
    <row r="17" spans="3:17">
      <c r="D17" s="320"/>
      <c r="G17" s="322"/>
      <c r="H17" s="322"/>
      <c r="I17" s="322"/>
      <c r="J17" s="322"/>
      <c r="K17" s="322"/>
      <c r="O17" s="61"/>
      <c r="Q17" s="31"/>
    </row>
    <row r="18" spans="3:17">
      <c r="D18" s="320"/>
      <c r="E18" s="225"/>
      <c r="G18" s="322"/>
      <c r="H18" s="322"/>
      <c r="I18" s="322"/>
      <c r="J18" s="322"/>
      <c r="K18" s="322"/>
      <c r="M18" s="226"/>
      <c r="O18" s="61"/>
      <c r="Q18" s="57"/>
    </row>
    <row r="19" spans="3:17">
      <c r="D19" s="320"/>
      <c r="G19" s="323" t="s">
        <v>105</v>
      </c>
      <c r="H19" s="323"/>
      <c r="I19" s="323"/>
      <c r="J19" s="323"/>
      <c r="K19" s="323"/>
      <c r="O19" s="61"/>
    </row>
    <row r="20" spans="3:17">
      <c r="D20" s="320"/>
      <c r="G20" s="323"/>
      <c r="H20" s="323"/>
      <c r="I20" s="323"/>
      <c r="J20" s="323"/>
      <c r="K20" s="323"/>
      <c r="P20" s="35"/>
    </row>
    <row r="21" spans="3:17">
      <c r="D21" s="320"/>
      <c r="G21" s="323"/>
      <c r="H21" s="323"/>
      <c r="I21" s="323"/>
      <c r="J21" s="323"/>
      <c r="K21" s="323"/>
      <c r="P21" s="35"/>
    </row>
    <row r="22" spans="3:17">
      <c r="D22" s="320"/>
      <c r="G22" s="323"/>
      <c r="H22" s="323"/>
      <c r="I22" s="323"/>
      <c r="J22" s="323"/>
      <c r="K22" s="323"/>
    </row>
    <row r="23" spans="3:17">
      <c r="D23" s="320"/>
      <c r="G23" s="323"/>
      <c r="H23" s="323"/>
      <c r="I23" s="323"/>
      <c r="J23" s="323"/>
      <c r="K23" s="323"/>
    </row>
    <row r="24" spans="3:17">
      <c r="C24" s="225"/>
      <c r="D24" s="320"/>
      <c r="E24" s="225"/>
      <c r="G24" s="323"/>
      <c r="H24" s="323"/>
      <c r="I24" s="323"/>
      <c r="J24" s="323"/>
      <c r="K24" s="323"/>
    </row>
    <row r="57" spans="31:31">
      <c r="AE57" s="32">
        <f>AE56*40</f>
        <v>0</v>
      </c>
    </row>
  </sheetData>
  <mergeCells count="7">
    <mergeCell ref="U5:W5"/>
    <mergeCell ref="T5:T6"/>
    <mergeCell ref="D7:D24"/>
    <mergeCell ref="G13:K18"/>
    <mergeCell ref="G19:K24"/>
    <mergeCell ref="G9:K12"/>
    <mergeCell ref="G7:K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4D1A9-4E8F-4507-B309-B916049C2BEE}">
  <dimension ref="A2:R52"/>
  <sheetViews>
    <sheetView topLeftCell="A34" zoomScale="140" zoomScaleNormal="140" workbookViewId="0">
      <selection activeCell="Q30" sqref="Q30"/>
    </sheetView>
  </sheetViews>
  <sheetFormatPr defaultColWidth="9.140625" defaultRowHeight="15"/>
  <cols>
    <col min="1" max="1" width="24.28515625" style="31" customWidth="1"/>
    <col min="2" max="2" width="10" style="31" bestFit="1" customWidth="1"/>
    <col min="3" max="3" width="9.42578125" style="1" bestFit="1" customWidth="1"/>
    <col min="4" max="4" width="11.42578125" style="1" customWidth="1"/>
    <col min="5" max="5" width="8.28515625" style="1" bestFit="1" customWidth="1"/>
    <col min="6" max="6" width="8.28515625" style="1" customWidth="1"/>
    <col min="7" max="7" width="11.140625" style="1" bestFit="1" customWidth="1"/>
    <col min="8" max="8" width="9.7109375" style="1" bestFit="1" customWidth="1"/>
    <col min="9" max="9" width="9.5703125" style="1" customWidth="1"/>
    <col min="10" max="10" width="10.42578125" style="1" customWidth="1"/>
    <col min="11" max="17" width="9.140625" style="1"/>
    <col min="18" max="18" width="23.5703125" style="1" customWidth="1"/>
    <col min="19" max="16384" width="9.140625" style="1"/>
  </cols>
  <sheetData>
    <row r="2" spans="1:10" ht="45.75" customHeight="1">
      <c r="A2" s="223" t="s">
        <v>106</v>
      </c>
      <c r="B2" s="326" t="s">
        <v>107</v>
      </c>
      <c r="C2" s="327"/>
      <c r="D2" s="327"/>
      <c r="E2" s="327"/>
      <c r="F2" s="327"/>
      <c r="G2" s="327"/>
      <c r="H2" s="327"/>
      <c r="I2" s="327"/>
      <c r="J2" s="328"/>
    </row>
    <row r="3" spans="1:10">
      <c r="B3" s="324"/>
      <c r="C3" s="324"/>
      <c r="D3" s="324"/>
      <c r="E3" s="324"/>
      <c r="F3" s="324"/>
      <c r="G3" s="324"/>
      <c r="H3" s="324"/>
      <c r="I3" s="324"/>
      <c r="J3" s="324"/>
    </row>
    <row r="4" spans="1:10">
      <c r="A4" s="219" t="s">
        <v>108</v>
      </c>
      <c r="B4" s="218" t="s">
        <v>109</v>
      </c>
      <c r="C4" s="325" t="s">
        <v>110</v>
      </c>
      <c r="D4" s="325"/>
      <c r="E4" s="325"/>
      <c r="F4" s="325"/>
      <c r="G4" s="325" t="s">
        <v>111</v>
      </c>
      <c r="H4" s="325"/>
      <c r="I4" s="325"/>
      <c r="J4" s="325"/>
    </row>
    <row r="5" spans="1:10">
      <c r="A5" s="214" t="s">
        <v>92</v>
      </c>
      <c r="B5" s="277" t="s">
        <v>112</v>
      </c>
      <c r="C5" s="3">
        <v>1</v>
      </c>
      <c r="D5" s="3">
        <v>2</v>
      </c>
      <c r="E5" s="220">
        <v>3</v>
      </c>
      <c r="F5" s="220">
        <v>4</v>
      </c>
      <c r="G5" s="3">
        <v>5</v>
      </c>
      <c r="H5" s="3">
        <v>6</v>
      </c>
      <c r="I5" s="220">
        <v>7</v>
      </c>
      <c r="J5" s="220">
        <v>8</v>
      </c>
    </row>
    <row r="6" spans="1:10">
      <c r="A6" s="214" t="s">
        <v>17</v>
      </c>
      <c r="B6" s="277" t="s">
        <v>112</v>
      </c>
      <c r="C6" s="222" t="s">
        <v>113</v>
      </c>
      <c r="D6" s="222" t="s">
        <v>113</v>
      </c>
      <c r="E6" s="220" t="s">
        <v>114</v>
      </c>
      <c r="F6" s="220" t="s">
        <v>114</v>
      </c>
      <c r="G6" s="222" t="s">
        <v>115</v>
      </c>
      <c r="H6" s="222" t="s">
        <v>113</v>
      </c>
      <c r="I6" s="220" t="s">
        <v>114</v>
      </c>
      <c r="J6" s="220" t="s">
        <v>114</v>
      </c>
    </row>
    <row r="7" spans="1:10">
      <c r="A7" s="214" t="s">
        <v>116</v>
      </c>
      <c r="B7" s="277" t="s">
        <v>94</v>
      </c>
      <c r="C7" s="3" t="s">
        <v>117</v>
      </c>
      <c r="D7" s="3" t="s">
        <v>117</v>
      </c>
      <c r="E7" s="220" t="s">
        <v>114</v>
      </c>
      <c r="F7" s="220" t="s">
        <v>114</v>
      </c>
      <c r="G7" s="3" t="s">
        <v>118</v>
      </c>
      <c r="H7" s="3" t="s">
        <v>117</v>
      </c>
      <c r="I7" s="220" t="s">
        <v>114</v>
      </c>
      <c r="J7" s="220" t="s">
        <v>114</v>
      </c>
    </row>
    <row r="8" spans="1:10">
      <c r="A8" s="214" t="s">
        <v>102</v>
      </c>
      <c r="B8" s="3" t="s">
        <v>99</v>
      </c>
      <c r="C8" s="6">
        <v>1.9</v>
      </c>
      <c r="D8" s="3">
        <v>1.9</v>
      </c>
      <c r="E8" s="220" t="s">
        <v>114</v>
      </c>
      <c r="F8" s="220" t="s">
        <v>114</v>
      </c>
      <c r="G8" s="3">
        <v>1.9</v>
      </c>
      <c r="H8" s="3">
        <v>1.9</v>
      </c>
      <c r="I8" s="220" t="s">
        <v>114</v>
      </c>
      <c r="J8" s="220" t="s">
        <v>114</v>
      </c>
    </row>
    <row r="9" spans="1:10">
      <c r="A9" s="214" t="s">
        <v>119</v>
      </c>
      <c r="B9" s="3" t="s">
        <v>24</v>
      </c>
      <c r="C9" s="221">
        <v>0.65400000000000003</v>
      </c>
      <c r="D9" s="221">
        <v>0.65400000000000003</v>
      </c>
      <c r="E9" s="220" t="s">
        <v>114</v>
      </c>
      <c r="F9" s="220" t="s">
        <v>114</v>
      </c>
      <c r="G9" s="6">
        <v>1.7</v>
      </c>
      <c r="H9" s="221">
        <v>0.65400000000000003</v>
      </c>
      <c r="I9" s="220" t="s">
        <v>114</v>
      </c>
      <c r="J9" s="220" t="s">
        <v>114</v>
      </c>
    </row>
    <row r="10" spans="1:10">
      <c r="A10" s="214" t="s">
        <v>120</v>
      </c>
      <c r="B10" s="3" t="s">
        <v>121</v>
      </c>
      <c r="C10" s="3">
        <f>C8*C9</f>
        <v>1.2425999999999999</v>
      </c>
      <c r="D10" s="3">
        <f>D8*D9</f>
        <v>1.2425999999999999</v>
      </c>
      <c r="E10" s="220" t="s">
        <v>114</v>
      </c>
      <c r="F10" s="220" t="s">
        <v>114</v>
      </c>
      <c r="G10" s="3">
        <f>G8*G9</f>
        <v>3.23</v>
      </c>
      <c r="H10" s="3">
        <f>H8*H9</f>
        <v>1.2425999999999999</v>
      </c>
      <c r="I10" s="220" t="s">
        <v>114</v>
      </c>
      <c r="J10" s="220" t="s">
        <v>114</v>
      </c>
    </row>
    <row r="12" spans="1:10">
      <c r="A12" s="219" t="s">
        <v>122</v>
      </c>
      <c r="B12" s="218" t="s">
        <v>109</v>
      </c>
      <c r="C12" s="218">
        <v>1</v>
      </c>
      <c r="D12" s="218">
        <v>2</v>
      </c>
      <c r="E12" s="218">
        <v>3</v>
      </c>
      <c r="F12" s="218">
        <v>4</v>
      </c>
      <c r="G12" s="218">
        <v>5</v>
      </c>
      <c r="H12" s="218">
        <v>6</v>
      </c>
    </row>
    <row r="13" spans="1:10">
      <c r="A13" s="214" t="s">
        <v>27</v>
      </c>
      <c r="B13" s="3" t="s">
        <v>123</v>
      </c>
      <c r="C13" s="3">
        <v>26</v>
      </c>
      <c r="D13" s="3">
        <v>26</v>
      </c>
      <c r="E13" s="3">
        <v>26</v>
      </c>
      <c r="F13" s="3">
        <v>26</v>
      </c>
      <c r="G13" s="3">
        <v>26</v>
      </c>
      <c r="H13" s="3">
        <v>15</v>
      </c>
    </row>
    <row r="14" spans="1:10" ht="16.5">
      <c r="A14" s="214" t="s">
        <v>61</v>
      </c>
      <c r="B14" s="3" t="s">
        <v>124</v>
      </c>
      <c r="C14" s="3">
        <v>190</v>
      </c>
      <c r="D14" s="3">
        <v>200</v>
      </c>
      <c r="E14" s="3">
        <v>210</v>
      </c>
      <c r="F14" s="3">
        <v>220</v>
      </c>
      <c r="G14" s="3">
        <v>230</v>
      </c>
      <c r="H14" s="3">
        <v>230</v>
      </c>
    </row>
    <row r="15" spans="1:10">
      <c r="A15" s="214" t="s">
        <v>31</v>
      </c>
      <c r="B15" s="3" t="s">
        <v>125</v>
      </c>
      <c r="C15" s="6">
        <v>1.68</v>
      </c>
      <c r="D15" s="6">
        <v>1.68</v>
      </c>
      <c r="E15" s="6">
        <v>1.68</v>
      </c>
      <c r="F15" s="6">
        <v>1.68</v>
      </c>
      <c r="G15" s="6">
        <v>1.68</v>
      </c>
      <c r="H15" s="6">
        <v>1.68</v>
      </c>
    </row>
    <row r="16" spans="1:10">
      <c r="A16" s="214" t="s">
        <v>126</v>
      </c>
      <c r="B16" s="3" t="s">
        <v>127</v>
      </c>
      <c r="C16" s="6">
        <v>1.51</v>
      </c>
      <c r="D16" s="6">
        <v>1.51</v>
      </c>
      <c r="E16" s="6">
        <v>1.51</v>
      </c>
      <c r="F16" s="6">
        <v>1.51</v>
      </c>
      <c r="G16" s="6">
        <v>1.51</v>
      </c>
      <c r="H16" s="6">
        <v>1.51</v>
      </c>
    </row>
    <row r="17" spans="1:18">
      <c r="A17" s="214" t="s">
        <v>128</v>
      </c>
      <c r="B17" s="3" t="s">
        <v>129</v>
      </c>
      <c r="C17" s="3" t="s">
        <v>130</v>
      </c>
      <c r="D17" s="3" t="s">
        <v>130</v>
      </c>
      <c r="E17" s="3" t="s">
        <v>130</v>
      </c>
      <c r="F17" s="3" t="s">
        <v>130</v>
      </c>
      <c r="G17" s="3" t="s">
        <v>130</v>
      </c>
      <c r="H17" s="3" t="s">
        <v>130</v>
      </c>
    </row>
    <row r="19" spans="1:18">
      <c r="A19" s="214" t="s">
        <v>131</v>
      </c>
      <c r="B19" s="3"/>
      <c r="C19" s="217">
        <v>88.5</v>
      </c>
      <c r="D19" s="69" t="s">
        <v>132</v>
      </c>
      <c r="E19" s="69"/>
      <c r="F19" s="69"/>
      <c r="G19" s="69"/>
      <c r="H19" s="69"/>
      <c r="I19" s="69"/>
      <c r="J19" s="69"/>
      <c r="K19" s="69"/>
      <c r="L19" s="69"/>
      <c r="M19" s="69"/>
      <c r="N19" s="69"/>
      <c r="O19" s="69"/>
      <c r="P19" s="69"/>
      <c r="Q19" s="69"/>
      <c r="R19" s="152"/>
    </row>
    <row r="20" spans="1:18">
      <c r="A20" s="214" t="s">
        <v>27</v>
      </c>
      <c r="B20" s="3" t="s">
        <v>123</v>
      </c>
      <c r="C20" s="2"/>
      <c r="D20" s="215" t="s">
        <v>133</v>
      </c>
      <c r="E20" s="69"/>
      <c r="F20" s="69"/>
      <c r="G20" s="69"/>
      <c r="H20" s="69"/>
      <c r="I20" s="69"/>
      <c r="J20" s="69"/>
      <c r="K20" s="69"/>
      <c r="L20" s="69"/>
      <c r="M20" s="69"/>
      <c r="N20" s="69"/>
      <c r="O20" s="69"/>
      <c r="P20" s="69"/>
      <c r="Q20" s="69"/>
      <c r="R20" s="152"/>
    </row>
    <row r="21" spans="1:18" ht="16.5">
      <c r="A21" s="214" t="s">
        <v>61</v>
      </c>
      <c r="B21" s="3" t="s">
        <v>124</v>
      </c>
      <c r="C21" s="2"/>
      <c r="D21" s="215" t="s">
        <v>134</v>
      </c>
      <c r="E21" s="69"/>
      <c r="F21" s="69"/>
      <c r="G21" s="69"/>
      <c r="H21" s="69"/>
      <c r="I21" s="69"/>
      <c r="J21" s="69"/>
      <c r="K21" s="69"/>
      <c r="L21" s="69"/>
      <c r="M21" s="69"/>
      <c r="N21" s="69"/>
      <c r="O21" s="69"/>
      <c r="P21" s="69"/>
      <c r="Q21" s="69"/>
      <c r="R21" s="152"/>
    </row>
    <row r="22" spans="1:18">
      <c r="A22" s="214" t="s">
        <v>135</v>
      </c>
      <c r="B22" s="3" t="s">
        <v>12</v>
      </c>
      <c r="C22" s="6">
        <f>C15*C9*C8*0.965</f>
        <v>2.0145031199999996</v>
      </c>
      <c r="D22" s="215" t="s">
        <v>548</v>
      </c>
      <c r="E22" s="69"/>
      <c r="F22" s="69"/>
      <c r="G22" s="69"/>
      <c r="H22" s="69"/>
      <c r="I22" s="69"/>
      <c r="J22" s="69"/>
      <c r="K22" s="69"/>
      <c r="L22" s="69"/>
      <c r="M22" s="69"/>
      <c r="N22" s="69"/>
      <c r="O22" s="69"/>
      <c r="P22" s="69"/>
      <c r="Q22" s="69"/>
      <c r="R22" s="152"/>
    </row>
    <row r="23" spans="1:18">
      <c r="A23" s="214" t="s">
        <v>9</v>
      </c>
      <c r="B23" s="3" t="s">
        <v>12</v>
      </c>
      <c r="C23" s="216">
        <f>(C22/C19)*(C16*2)</f>
        <v>6.8743496298305076E-2</v>
      </c>
      <c r="D23" s="215" t="s">
        <v>133</v>
      </c>
      <c r="E23" s="69"/>
      <c r="F23" s="69"/>
      <c r="G23" s="69"/>
      <c r="H23" s="69"/>
      <c r="I23" s="69"/>
      <c r="J23" s="69"/>
      <c r="K23" s="69"/>
      <c r="L23" s="69"/>
      <c r="M23" s="69"/>
      <c r="N23" s="69"/>
      <c r="O23" s="69"/>
      <c r="P23" s="69"/>
      <c r="Q23" s="69"/>
      <c r="R23" s="152"/>
    </row>
    <row r="24" spans="1:18">
      <c r="A24" s="214" t="s">
        <v>136</v>
      </c>
      <c r="B24" s="3" t="s">
        <v>137</v>
      </c>
      <c r="C24" s="3">
        <v>2</v>
      </c>
      <c r="D24" s="213" t="s">
        <v>133</v>
      </c>
      <c r="E24" s="71"/>
      <c r="F24" s="71"/>
      <c r="G24" s="71"/>
      <c r="H24" s="71"/>
      <c r="I24" s="71"/>
      <c r="J24" s="71"/>
      <c r="K24" s="71"/>
      <c r="L24" s="71"/>
      <c r="M24" s="71"/>
      <c r="N24" s="71"/>
      <c r="O24" s="71"/>
      <c r="P24" s="71"/>
      <c r="Q24" s="71"/>
      <c r="R24" s="212"/>
    </row>
    <row r="26" spans="1:18">
      <c r="A26" s="211" t="s">
        <v>138</v>
      </c>
    </row>
    <row r="27" spans="1:18">
      <c r="A27" s="210" t="s">
        <v>139</v>
      </c>
    </row>
    <row r="28" spans="1:18">
      <c r="A28" s="210" t="s">
        <v>140</v>
      </c>
    </row>
    <row r="29" spans="1:18">
      <c r="A29" s="1"/>
    </row>
    <row r="30" spans="1:18">
      <c r="A30" s="1"/>
    </row>
    <row r="31" spans="1:18">
      <c r="A31" s="1"/>
    </row>
    <row r="32" spans="1:18">
      <c r="A32" s="1"/>
    </row>
    <row r="33" spans="1:1">
      <c r="A33" s="1"/>
    </row>
    <row r="34" spans="1:1">
      <c r="A34" s="1"/>
    </row>
    <row r="35" spans="1:1">
      <c r="A35" s="1"/>
    </row>
    <row r="36" spans="1:1">
      <c r="A36" s="1"/>
    </row>
    <row r="37" spans="1:1">
      <c r="A37" s="1"/>
    </row>
    <row r="38" spans="1:1">
      <c r="A38" s="1"/>
    </row>
    <row r="39" spans="1:1">
      <c r="A39" s="1"/>
    </row>
    <row r="40" spans="1:1">
      <c r="A40" s="1"/>
    </row>
    <row r="41" spans="1:1">
      <c r="A41" s="1"/>
    </row>
    <row r="42" spans="1:1">
      <c r="A42" s="1"/>
    </row>
    <row r="43" spans="1:1">
      <c r="A43" s="1"/>
    </row>
    <row r="44" spans="1:1">
      <c r="A44" s="1"/>
    </row>
    <row r="45" spans="1:1">
      <c r="A45" s="1"/>
    </row>
    <row r="46" spans="1:1">
      <c r="A46" s="1"/>
    </row>
    <row r="47" spans="1:1">
      <c r="A47" s="1"/>
    </row>
    <row r="48" spans="1:1">
      <c r="A48" s="1"/>
    </row>
    <row r="52" spans="1:2">
      <c r="A52" s="31" t="s">
        <v>141</v>
      </c>
      <c r="B52" s="31" t="s">
        <v>137</v>
      </c>
    </row>
  </sheetData>
  <mergeCells count="4">
    <mergeCell ref="B3:J3"/>
    <mergeCell ref="C4:F4"/>
    <mergeCell ref="G4:J4"/>
    <mergeCell ref="B2:J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39D3-8F39-4ADC-96F6-9A2DD9970121}">
  <dimension ref="A1:AV46"/>
  <sheetViews>
    <sheetView topLeftCell="AD1" zoomScaleNormal="100" workbookViewId="0">
      <selection activeCell="AX29" sqref="AX29"/>
    </sheetView>
  </sheetViews>
  <sheetFormatPr defaultColWidth="9.140625" defaultRowHeight="15"/>
  <cols>
    <col min="1" max="1" width="9.140625" style="31"/>
    <col min="2" max="2" width="9.7109375" style="1" bestFit="1" customWidth="1"/>
    <col min="3" max="3" width="16.42578125" style="1" customWidth="1"/>
    <col min="4" max="4" width="38.7109375" style="1" bestFit="1" customWidth="1"/>
    <col min="5" max="5" width="30.5703125" style="1" bestFit="1" customWidth="1"/>
    <col min="6" max="6" width="35.42578125" style="1" bestFit="1" customWidth="1"/>
    <col min="7" max="7" width="30.7109375" style="1" bestFit="1" customWidth="1"/>
    <col min="8" max="9" width="9.140625" style="1"/>
    <col min="10" max="21" width="9.140625" style="12"/>
    <col min="22" max="22" width="22.5703125" style="12" bestFit="1" customWidth="1"/>
    <col min="23" max="23" width="30.5703125" style="12" bestFit="1" customWidth="1"/>
    <col min="24" max="24" width="7.7109375" style="12" customWidth="1"/>
    <col min="25" max="25" width="10.5703125" style="12" bestFit="1" customWidth="1"/>
    <col min="26" max="27" width="13.7109375" style="12" bestFit="1" customWidth="1"/>
    <col min="28" max="28" width="10.5703125" style="12" bestFit="1" customWidth="1"/>
    <col min="29" max="29" width="13.7109375" style="12" bestFit="1" customWidth="1"/>
    <col min="30" max="30" width="7.7109375" style="12" bestFit="1" customWidth="1"/>
    <col min="31" max="31" width="11.85546875" style="12" bestFit="1" customWidth="1"/>
    <col min="32" max="32" width="15.140625" style="12" bestFit="1" customWidth="1"/>
    <col min="33" max="33" width="13.7109375" style="12" bestFit="1" customWidth="1"/>
    <col min="34" max="35" width="9.140625" style="12"/>
    <col min="36" max="36" width="10.5703125" style="12" bestFit="1" customWidth="1"/>
    <col min="37" max="37" width="8.42578125" style="12" bestFit="1" customWidth="1"/>
    <col min="38" max="38" width="10.7109375" style="12" bestFit="1" customWidth="1"/>
    <col min="39" max="39" width="10.5703125" style="12" bestFit="1" customWidth="1"/>
    <col min="40" max="40" width="12.28515625" style="12" bestFit="1" customWidth="1"/>
    <col min="41" max="41" width="7.7109375" style="12" bestFit="1" customWidth="1"/>
    <col min="42" max="42" width="11.85546875" style="12" bestFit="1" customWidth="1"/>
    <col min="43" max="43" width="15.140625" style="12" bestFit="1" customWidth="1"/>
    <col min="44" max="44" width="14.28515625" style="12" bestFit="1" customWidth="1"/>
    <col min="45" max="16384" width="9.140625" style="12"/>
  </cols>
  <sheetData>
    <row r="1" spans="1:48">
      <c r="J1" s="330" t="s">
        <v>142</v>
      </c>
      <c r="K1" s="331"/>
      <c r="L1" s="331"/>
      <c r="M1" s="331"/>
      <c r="N1" s="331"/>
      <c r="O1" s="331"/>
      <c r="P1" s="331"/>
      <c r="Q1" s="331"/>
      <c r="R1" s="331"/>
      <c r="S1" s="331"/>
      <c r="T1" s="331"/>
      <c r="U1" s="331"/>
      <c r="V1" s="331"/>
      <c r="W1" s="332"/>
      <c r="AJ1" s="49" t="s">
        <v>143</v>
      </c>
      <c r="AK1" s="49"/>
    </row>
    <row r="2" spans="1:48">
      <c r="B2" s="324" t="s">
        <v>144</v>
      </c>
      <c r="C2" s="324"/>
      <c r="D2" s="31">
        <v>50</v>
      </c>
      <c r="E2" s="1" t="s">
        <v>145</v>
      </c>
      <c r="F2" s="1" t="s">
        <v>146</v>
      </c>
      <c r="J2" s="209"/>
      <c r="K2" s="43"/>
      <c r="L2" s="43"/>
      <c r="M2" s="43"/>
      <c r="N2" s="43"/>
      <c r="O2" s="43"/>
      <c r="P2" s="43"/>
      <c r="Q2" s="43"/>
      <c r="R2" s="43"/>
      <c r="S2" s="43"/>
      <c r="T2" s="43"/>
      <c r="U2" s="43"/>
      <c r="V2" s="43"/>
      <c r="W2" s="208"/>
      <c r="Y2" s="329" t="s">
        <v>147</v>
      </c>
      <c r="Z2" s="329"/>
      <c r="AA2" s="329"/>
      <c r="AB2" s="329"/>
      <c r="AC2" s="329"/>
      <c r="AD2" s="329"/>
      <c r="AE2" s="329"/>
      <c r="AF2" s="329"/>
      <c r="AG2" s="329"/>
      <c r="AJ2" s="329" t="s">
        <v>148</v>
      </c>
      <c r="AK2" s="329"/>
      <c r="AL2" s="329"/>
      <c r="AM2" s="329"/>
      <c r="AN2" s="329"/>
      <c r="AO2" s="329"/>
      <c r="AP2" s="329"/>
      <c r="AQ2" s="329"/>
      <c r="AR2" s="329"/>
    </row>
    <row r="3" spans="1:48">
      <c r="J3" s="169"/>
      <c r="K3" s="166"/>
      <c r="L3" s="207" t="s">
        <v>149</v>
      </c>
      <c r="M3" s="206" t="s">
        <v>150</v>
      </c>
      <c r="N3" s="205"/>
      <c r="O3" s="166"/>
      <c r="P3" s="166"/>
      <c r="Q3" s="166"/>
      <c r="R3" s="166"/>
      <c r="S3" s="166"/>
      <c r="T3" s="166"/>
      <c r="U3" s="166"/>
      <c r="V3" s="167" t="s">
        <v>151</v>
      </c>
      <c r="W3" s="204" t="s">
        <v>152</v>
      </c>
      <c r="Y3" s="42" t="s">
        <v>153</v>
      </c>
      <c r="Z3" s="42" t="s">
        <v>154</v>
      </c>
      <c r="AA3" s="42" t="s">
        <v>155</v>
      </c>
      <c r="AB3" s="42" t="s">
        <v>156</v>
      </c>
      <c r="AC3" s="42" t="s">
        <v>157</v>
      </c>
      <c r="AD3" s="42" t="s">
        <v>158</v>
      </c>
      <c r="AE3" s="42" t="s">
        <v>159</v>
      </c>
      <c r="AF3" s="42" t="s">
        <v>160</v>
      </c>
      <c r="AG3" s="42" t="s">
        <v>161</v>
      </c>
      <c r="AJ3" s="41" t="s">
        <v>153</v>
      </c>
      <c r="AK3" s="41" t="s">
        <v>154</v>
      </c>
      <c r="AL3" s="41" t="s">
        <v>155</v>
      </c>
      <c r="AM3" s="41" t="s">
        <v>156</v>
      </c>
      <c r="AN3" s="41" t="s">
        <v>157</v>
      </c>
      <c r="AO3" s="41" t="s">
        <v>158</v>
      </c>
      <c r="AP3" s="41" t="s">
        <v>159</v>
      </c>
      <c r="AQ3" s="41" t="s">
        <v>160</v>
      </c>
      <c r="AR3" s="41" t="s">
        <v>161</v>
      </c>
    </row>
    <row r="4" spans="1:48">
      <c r="A4" s="202" t="s">
        <v>162</v>
      </c>
      <c r="B4" s="202" t="s">
        <v>163</v>
      </c>
      <c r="C4" s="203" t="s">
        <v>164</v>
      </c>
      <c r="D4" s="203" t="s">
        <v>165</v>
      </c>
      <c r="E4" s="202" t="s">
        <v>166</v>
      </c>
      <c r="F4" s="202" t="s">
        <v>167</v>
      </c>
      <c r="G4" s="202" t="s">
        <v>168</v>
      </c>
      <c r="J4" s="169"/>
      <c r="K4" s="166"/>
      <c r="L4" s="166"/>
      <c r="M4" s="166"/>
      <c r="N4" s="166"/>
      <c r="O4" s="166"/>
      <c r="P4" s="166"/>
      <c r="Q4" s="166"/>
      <c r="R4" s="166"/>
      <c r="S4" s="166"/>
      <c r="T4" s="166"/>
      <c r="U4" s="166"/>
      <c r="V4" s="166" t="s">
        <v>169</v>
      </c>
      <c r="W4" s="165">
        <v>1.9E-2</v>
      </c>
      <c r="Y4" s="44">
        <v>1</v>
      </c>
      <c r="Z4" s="44" t="s">
        <v>112</v>
      </c>
      <c r="AA4" s="44" t="s">
        <v>112</v>
      </c>
      <c r="AB4" s="44" t="s">
        <v>112</v>
      </c>
      <c r="AC4" s="44" t="s">
        <v>112</v>
      </c>
      <c r="AD4" s="44" t="s">
        <v>112</v>
      </c>
      <c r="AE4" s="44" t="s">
        <v>112</v>
      </c>
      <c r="AF4" s="44" t="s">
        <v>112</v>
      </c>
      <c r="AG4" s="44">
        <v>0</v>
      </c>
      <c r="AJ4" s="43">
        <v>1</v>
      </c>
      <c r="AK4" s="43" t="s">
        <v>112</v>
      </c>
      <c r="AL4" s="43" t="s">
        <v>112</v>
      </c>
      <c r="AM4" s="43" t="s">
        <v>112</v>
      </c>
      <c r="AN4" s="43" t="s">
        <v>112</v>
      </c>
      <c r="AO4" s="43" t="s">
        <v>112</v>
      </c>
      <c r="AP4" s="43" t="s">
        <v>112</v>
      </c>
      <c r="AQ4" s="43" t="s">
        <v>112</v>
      </c>
      <c r="AR4" s="43">
        <v>0</v>
      </c>
    </row>
    <row r="5" spans="1:48">
      <c r="A5" s="87">
        <v>1</v>
      </c>
      <c r="B5" s="87" t="s">
        <v>170</v>
      </c>
      <c r="C5" s="201">
        <v>95</v>
      </c>
      <c r="D5" s="87">
        <v>85</v>
      </c>
      <c r="E5" s="197">
        <f>$D$2*(D5/100)*(C5/100)</f>
        <v>40.375</v>
      </c>
      <c r="F5" s="200">
        <f>E5/$D$2*100</f>
        <v>80.75</v>
      </c>
      <c r="G5" s="199">
        <v>83.42</v>
      </c>
      <c r="J5" s="169"/>
      <c r="K5" s="166"/>
      <c r="L5" s="166"/>
      <c r="M5" s="166"/>
      <c r="N5" s="166"/>
      <c r="O5" s="166"/>
      <c r="P5" s="166"/>
      <c r="Q5" s="166"/>
      <c r="R5" s="166"/>
      <c r="S5" s="166"/>
      <c r="T5" s="166"/>
      <c r="U5" s="166"/>
      <c r="V5" s="166" t="s">
        <v>171</v>
      </c>
      <c r="W5" s="165">
        <v>0.30399999999999999</v>
      </c>
      <c r="Y5" s="44">
        <v>2</v>
      </c>
      <c r="Z5" s="44" t="s">
        <v>112</v>
      </c>
      <c r="AA5" s="44" t="s">
        <v>112</v>
      </c>
      <c r="AB5" s="44" t="s">
        <v>112</v>
      </c>
      <c r="AC5" s="44" t="s">
        <v>112</v>
      </c>
      <c r="AD5" s="44" t="s">
        <v>112</v>
      </c>
      <c r="AE5" s="44" t="s">
        <v>112</v>
      </c>
      <c r="AF5" s="44" t="s">
        <v>112</v>
      </c>
      <c r="AG5" s="44">
        <v>0</v>
      </c>
      <c r="AJ5" s="43">
        <v>2</v>
      </c>
      <c r="AK5" s="43" t="s">
        <v>112</v>
      </c>
      <c r="AL5" s="43" t="s">
        <v>112</v>
      </c>
      <c r="AM5" s="43" t="s">
        <v>112</v>
      </c>
      <c r="AN5" s="43" t="s">
        <v>112</v>
      </c>
      <c r="AO5" s="43" t="s">
        <v>112</v>
      </c>
      <c r="AP5" s="43" t="s">
        <v>112</v>
      </c>
      <c r="AQ5" s="43" t="s">
        <v>112</v>
      </c>
      <c r="AR5" s="43">
        <v>0</v>
      </c>
    </row>
    <row r="6" spans="1:48">
      <c r="A6" s="197">
        <v>2</v>
      </c>
      <c r="B6" s="197" t="s">
        <v>172</v>
      </c>
      <c r="C6" s="198">
        <v>99</v>
      </c>
      <c r="D6" s="197">
        <v>10</v>
      </c>
      <c r="E6" s="197">
        <f>$D$2*(D6/100)*(C6/100)</f>
        <v>4.95</v>
      </c>
      <c r="F6" s="196">
        <f>E6/$D$2*100</f>
        <v>9.9</v>
      </c>
      <c r="G6" s="195">
        <v>10.37</v>
      </c>
      <c r="J6" s="194" t="s">
        <v>173</v>
      </c>
      <c r="K6" s="166"/>
      <c r="L6" s="166"/>
      <c r="M6" s="166"/>
      <c r="N6" s="166"/>
      <c r="O6" s="166"/>
      <c r="P6" s="166"/>
      <c r="Q6" s="166"/>
      <c r="R6" s="166"/>
      <c r="S6" s="166"/>
      <c r="T6" s="166"/>
      <c r="U6" s="166"/>
      <c r="V6" s="166" t="s">
        <v>174</v>
      </c>
      <c r="W6" s="165">
        <v>83.429000000000002</v>
      </c>
      <c r="Y6" s="44">
        <v>3</v>
      </c>
      <c r="Z6" s="44" t="s">
        <v>112</v>
      </c>
      <c r="AA6" s="44" t="s">
        <v>112</v>
      </c>
      <c r="AB6" s="44" t="s">
        <v>112</v>
      </c>
      <c r="AC6" s="44" t="s">
        <v>112</v>
      </c>
      <c r="AD6" s="44" t="s">
        <v>112</v>
      </c>
      <c r="AE6" s="44" t="s">
        <v>112</v>
      </c>
      <c r="AF6" s="44" t="s">
        <v>112</v>
      </c>
      <c r="AG6" s="44">
        <v>0</v>
      </c>
      <c r="AJ6" s="43">
        <v>3</v>
      </c>
      <c r="AK6" s="43" t="s">
        <v>112</v>
      </c>
      <c r="AL6" s="43" t="s">
        <v>112</v>
      </c>
      <c r="AM6" s="43" t="s">
        <v>112</v>
      </c>
      <c r="AN6" s="43" t="s">
        <v>112</v>
      </c>
      <c r="AO6" s="43" t="s">
        <v>112</v>
      </c>
      <c r="AP6" s="43" t="s">
        <v>112</v>
      </c>
      <c r="AQ6" s="43" t="s">
        <v>112</v>
      </c>
      <c r="AR6" s="43">
        <v>0</v>
      </c>
    </row>
    <row r="7" spans="1:48">
      <c r="A7" s="88">
        <v>3</v>
      </c>
      <c r="B7" s="88" t="s">
        <v>175</v>
      </c>
      <c r="C7" s="193">
        <v>99</v>
      </c>
      <c r="D7" s="88">
        <v>5</v>
      </c>
      <c r="E7" s="88">
        <f>$D$2*(D7/100)*(C7/100)</f>
        <v>2.4750000000000001</v>
      </c>
      <c r="F7" s="192">
        <f>E7/$D$2*100</f>
        <v>4.95</v>
      </c>
      <c r="G7" s="191">
        <v>5.3</v>
      </c>
      <c r="J7" s="169"/>
      <c r="K7" s="166"/>
      <c r="L7" s="166"/>
      <c r="M7" s="166"/>
      <c r="N7" s="166"/>
      <c r="O7" s="166"/>
      <c r="P7" s="166"/>
      <c r="Q7" s="166"/>
      <c r="R7" s="166"/>
      <c r="S7" s="166"/>
      <c r="T7" s="166"/>
      <c r="U7" s="166"/>
      <c r="V7" s="166" t="s">
        <v>176</v>
      </c>
      <c r="W7" s="165">
        <v>0.51100000000000001</v>
      </c>
      <c r="Y7" s="44">
        <v>4</v>
      </c>
      <c r="Z7" s="44" t="s">
        <v>112</v>
      </c>
      <c r="AA7" s="44" t="s">
        <v>112</v>
      </c>
      <c r="AB7" s="44" t="s">
        <v>112</v>
      </c>
      <c r="AC7" s="44" t="s">
        <v>112</v>
      </c>
      <c r="AD7" s="44" t="s">
        <v>112</v>
      </c>
      <c r="AE7" s="44" t="s">
        <v>112</v>
      </c>
      <c r="AF7" s="44" t="s">
        <v>112</v>
      </c>
      <c r="AG7" s="44">
        <v>0</v>
      </c>
      <c r="AJ7" s="43">
        <v>4</v>
      </c>
      <c r="AK7" s="186">
        <v>2.0407310000000001E-3</v>
      </c>
      <c r="AL7" s="186" t="s">
        <v>112</v>
      </c>
      <c r="AM7" s="186" t="s">
        <v>112</v>
      </c>
      <c r="AN7" s="186" t="s">
        <v>112</v>
      </c>
      <c r="AO7" s="186" t="s">
        <v>112</v>
      </c>
      <c r="AP7" s="186" t="s">
        <v>112</v>
      </c>
      <c r="AQ7" s="186" t="s">
        <v>112</v>
      </c>
      <c r="AR7" s="186">
        <v>2.0407310000000001E-3</v>
      </c>
    </row>
    <row r="8" spans="1:48">
      <c r="B8" s="61"/>
      <c r="C8" s="31"/>
      <c r="D8" s="31">
        <f>SUM(D5:D7)</f>
        <v>100</v>
      </c>
      <c r="J8" s="169"/>
      <c r="K8" s="171" t="s">
        <v>153</v>
      </c>
      <c r="L8" s="171" t="s">
        <v>154</v>
      </c>
      <c r="M8" s="171" t="s">
        <v>155</v>
      </c>
      <c r="N8" s="171" t="s">
        <v>156</v>
      </c>
      <c r="O8" s="171" t="s">
        <v>157</v>
      </c>
      <c r="P8" s="171" t="s">
        <v>158</v>
      </c>
      <c r="Q8" s="171" t="s">
        <v>159</v>
      </c>
      <c r="R8" s="171" t="s">
        <v>160</v>
      </c>
      <c r="S8" s="171" t="s">
        <v>161</v>
      </c>
      <c r="T8" s="166"/>
      <c r="U8" s="166"/>
      <c r="V8" s="166" t="s">
        <v>177</v>
      </c>
      <c r="W8" s="165">
        <v>10.368</v>
      </c>
      <c r="Y8" s="44">
        <v>5</v>
      </c>
      <c r="Z8" s="44" t="s">
        <v>112</v>
      </c>
      <c r="AA8" s="44" t="s">
        <v>112</v>
      </c>
      <c r="AB8" s="44" t="s">
        <v>112</v>
      </c>
      <c r="AC8" s="44" t="s">
        <v>112</v>
      </c>
      <c r="AD8" s="44" t="s">
        <v>112</v>
      </c>
      <c r="AE8" s="44" t="s">
        <v>112</v>
      </c>
      <c r="AF8" s="44" t="s">
        <v>112</v>
      </c>
      <c r="AG8" s="44">
        <v>0</v>
      </c>
      <c r="AJ8" s="43">
        <v>5</v>
      </c>
      <c r="AK8" s="186">
        <v>7.03464E-3</v>
      </c>
      <c r="AL8" s="186">
        <v>5.0830270000000004E-3</v>
      </c>
      <c r="AM8" s="186" t="s">
        <v>112</v>
      </c>
      <c r="AN8" s="186">
        <v>1.2647800000000001E-3</v>
      </c>
      <c r="AO8" s="186" t="s">
        <v>112</v>
      </c>
      <c r="AP8" s="186" t="s">
        <v>112</v>
      </c>
      <c r="AQ8" s="186" t="s">
        <v>112</v>
      </c>
      <c r="AR8" s="186">
        <v>1.3382448E-2</v>
      </c>
    </row>
    <row r="9" spans="1:48">
      <c r="B9" s="61"/>
      <c r="C9" s="31"/>
      <c r="J9" s="169"/>
      <c r="K9" s="178">
        <v>1</v>
      </c>
      <c r="L9" s="166" t="s">
        <v>112</v>
      </c>
      <c r="M9" s="166" t="s">
        <v>112</v>
      </c>
      <c r="N9" s="166" t="s">
        <v>112</v>
      </c>
      <c r="O9" s="166" t="s">
        <v>112</v>
      </c>
      <c r="P9" s="166" t="s">
        <v>112</v>
      </c>
      <c r="Q9" s="166" t="s">
        <v>112</v>
      </c>
      <c r="R9" s="166" t="s">
        <v>112</v>
      </c>
      <c r="S9" s="167">
        <v>0</v>
      </c>
      <c r="T9" s="166"/>
      <c r="U9" s="166"/>
      <c r="V9" s="166" t="s">
        <v>178</v>
      </c>
      <c r="W9" s="165">
        <v>6.0000000000000001E-3</v>
      </c>
      <c r="Y9" s="44">
        <v>6</v>
      </c>
      <c r="Z9" s="190">
        <v>82.194557189899996</v>
      </c>
      <c r="AA9" s="189">
        <v>0.57953047749999997</v>
      </c>
      <c r="AB9" s="189" t="s">
        <v>112</v>
      </c>
      <c r="AC9" s="189">
        <v>1.5385150909</v>
      </c>
      <c r="AD9" s="189" t="s">
        <v>112</v>
      </c>
      <c r="AE9" s="189" t="s">
        <v>112</v>
      </c>
      <c r="AF9" s="189" t="s">
        <v>112</v>
      </c>
      <c r="AG9" s="189">
        <v>84.312599182100001</v>
      </c>
      <c r="AJ9" s="43">
        <v>6</v>
      </c>
      <c r="AK9" s="186">
        <v>86.275978089999995</v>
      </c>
      <c r="AL9" s="186">
        <v>0.429401845</v>
      </c>
      <c r="AM9" s="186" t="s">
        <v>112</v>
      </c>
      <c r="AN9" s="186">
        <v>0.57664787799999995</v>
      </c>
      <c r="AO9" s="186" t="s">
        <v>112</v>
      </c>
      <c r="AP9" s="186" t="s">
        <v>112</v>
      </c>
      <c r="AQ9" s="186" t="s">
        <v>112</v>
      </c>
      <c r="AR9" s="186">
        <v>87.282028199999999</v>
      </c>
    </row>
    <row r="10" spans="1:48">
      <c r="B10" s="61"/>
      <c r="C10" s="31"/>
      <c r="J10" s="169"/>
      <c r="K10" s="178">
        <v>2</v>
      </c>
      <c r="L10" s="166" t="s">
        <v>112</v>
      </c>
      <c r="M10" s="166" t="s">
        <v>112</v>
      </c>
      <c r="N10" s="166" t="s">
        <v>112</v>
      </c>
      <c r="O10" s="166" t="s">
        <v>112</v>
      </c>
      <c r="P10" s="166" t="s">
        <v>112</v>
      </c>
      <c r="Q10" s="166" t="s">
        <v>112</v>
      </c>
      <c r="R10" s="166" t="s">
        <v>112</v>
      </c>
      <c r="S10" s="167">
        <v>0</v>
      </c>
      <c r="T10" s="166"/>
      <c r="U10" s="166"/>
      <c r="V10" s="166" t="s">
        <v>175</v>
      </c>
      <c r="W10" s="165">
        <v>5.3630000000000004</v>
      </c>
      <c r="Y10" s="44">
        <v>7</v>
      </c>
      <c r="Z10" s="190">
        <v>10.2869253159</v>
      </c>
      <c r="AA10" s="189" t="s">
        <v>112</v>
      </c>
      <c r="AB10" s="189" t="s">
        <v>112</v>
      </c>
      <c r="AC10" s="189">
        <v>2.0310303200000001E-2</v>
      </c>
      <c r="AD10" s="189" t="s">
        <v>112</v>
      </c>
      <c r="AE10" s="189" t="s">
        <v>112</v>
      </c>
      <c r="AF10" s="189" t="s">
        <v>112</v>
      </c>
      <c r="AG10" s="189">
        <v>10.307235717799999</v>
      </c>
      <c r="AJ10" s="43">
        <v>7</v>
      </c>
      <c r="AK10" s="186">
        <v>9.4333333970000002</v>
      </c>
      <c r="AL10" s="186">
        <v>1.0966498E-2</v>
      </c>
      <c r="AM10" s="186" t="s">
        <v>112</v>
      </c>
      <c r="AN10" s="186">
        <v>4.715566E-3</v>
      </c>
      <c r="AO10" s="186" t="s">
        <v>112</v>
      </c>
      <c r="AP10" s="186" t="s">
        <v>112</v>
      </c>
      <c r="AQ10" s="186" t="s">
        <v>112</v>
      </c>
      <c r="AR10" s="186">
        <v>9.4490156170000006</v>
      </c>
    </row>
    <row r="11" spans="1:48">
      <c r="J11" s="169"/>
      <c r="K11" s="178">
        <v>3</v>
      </c>
      <c r="L11" s="166" t="s">
        <v>112</v>
      </c>
      <c r="M11" s="166" t="s">
        <v>112</v>
      </c>
      <c r="N11" s="166" t="s">
        <v>112</v>
      </c>
      <c r="O11" s="166" t="s">
        <v>112</v>
      </c>
      <c r="P11" s="166" t="s">
        <v>112</v>
      </c>
      <c r="Q11" s="166" t="s">
        <v>112</v>
      </c>
      <c r="R11" s="166" t="s">
        <v>112</v>
      </c>
      <c r="S11" s="167">
        <v>0</v>
      </c>
      <c r="T11" s="166"/>
      <c r="U11" s="166"/>
      <c r="V11" s="166"/>
      <c r="W11" s="165"/>
      <c r="Y11" s="44">
        <v>8</v>
      </c>
      <c r="Z11" s="190">
        <v>5.3801693916</v>
      </c>
      <c r="AA11" s="189" t="s">
        <v>112</v>
      </c>
      <c r="AB11" s="189" t="s">
        <v>112</v>
      </c>
      <c r="AC11" s="189" t="s">
        <v>112</v>
      </c>
      <c r="AD11" s="189" t="s">
        <v>112</v>
      </c>
      <c r="AE11" s="189" t="s">
        <v>112</v>
      </c>
      <c r="AF11" s="189" t="s">
        <v>112</v>
      </c>
      <c r="AG11" s="189">
        <v>5.3801693916</v>
      </c>
      <c r="AJ11" s="43">
        <v>8</v>
      </c>
      <c r="AK11" s="186">
        <v>3.0644438269999998</v>
      </c>
      <c r="AL11" s="186">
        <v>2.9610613000000001E-2</v>
      </c>
      <c r="AM11" s="186" t="s">
        <v>112</v>
      </c>
      <c r="AN11" s="186">
        <v>4.8574667000000002E-2</v>
      </c>
      <c r="AO11" s="186" t="s">
        <v>112</v>
      </c>
      <c r="AP11" s="186" t="s">
        <v>112</v>
      </c>
      <c r="AQ11" s="186" t="s">
        <v>112</v>
      </c>
      <c r="AR11" s="186">
        <v>3.1426291470000001</v>
      </c>
    </row>
    <row r="12" spans="1:48">
      <c r="B12" s="61"/>
      <c r="C12" s="58"/>
      <c r="J12" s="169"/>
      <c r="K12" s="178">
        <v>4</v>
      </c>
      <c r="L12" s="166" t="s">
        <v>112</v>
      </c>
      <c r="M12" s="166" t="s">
        <v>112</v>
      </c>
      <c r="N12" s="166" t="s">
        <v>112</v>
      </c>
      <c r="O12" s="166" t="s">
        <v>112</v>
      </c>
      <c r="P12" s="166" t="s">
        <v>112</v>
      </c>
      <c r="Q12" s="166" t="s">
        <v>112</v>
      </c>
      <c r="R12" s="166" t="s">
        <v>112</v>
      </c>
      <c r="S12" s="167">
        <v>0</v>
      </c>
      <c r="T12" s="166"/>
      <c r="U12" s="166"/>
      <c r="V12" s="166"/>
      <c r="W12" s="165" t="s">
        <v>179</v>
      </c>
      <c r="Y12" s="44">
        <v>9</v>
      </c>
      <c r="Z12" s="189" t="s">
        <v>112</v>
      </c>
      <c r="AA12" s="189" t="s">
        <v>112</v>
      </c>
      <c r="AB12" s="189" t="s">
        <v>112</v>
      </c>
      <c r="AC12" s="189" t="s">
        <v>112</v>
      </c>
      <c r="AD12" s="189" t="s">
        <v>112</v>
      </c>
      <c r="AE12" s="189" t="s">
        <v>112</v>
      </c>
      <c r="AF12" s="189" t="s">
        <v>112</v>
      </c>
      <c r="AG12" s="189">
        <v>0</v>
      </c>
      <c r="AJ12" s="43">
        <v>9</v>
      </c>
      <c r="AK12" s="186">
        <v>9.2932009999999992E-3</v>
      </c>
      <c r="AL12" s="186">
        <v>7.9237660000000005E-3</v>
      </c>
      <c r="AM12" s="186">
        <v>1.7343059999999999E-3</v>
      </c>
      <c r="AN12" s="186">
        <v>2.2839000000000002E-3</v>
      </c>
      <c r="AO12" s="186" t="s">
        <v>112</v>
      </c>
      <c r="AP12" s="186" t="s">
        <v>112</v>
      </c>
      <c r="AQ12" s="186" t="s">
        <v>112</v>
      </c>
      <c r="AR12" s="186">
        <v>2.1235173999999999E-2</v>
      </c>
    </row>
    <row r="13" spans="1:48">
      <c r="C13" s="31"/>
      <c r="D13" s="188" t="s">
        <v>180</v>
      </c>
      <c r="E13" s="333" t="s">
        <v>73</v>
      </c>
      <c r="F13" s="333"/>
      <c r="G13" s="334" t="s">
        <v>60</v>
      </c>
      <c r="J13" s="169"/>
      <c r="K13" s="178">
        <v>5</v>
      </c>
      <c r="L13" s="166" t="s">
        <v>112</v>
      </c>
      <c r="M13" s="166" t="s">
        <v>112</v>
      </c>
      <c r="N13" s="166" t="s">
        <v>112</v>
      </c>
      <c r="O13" s="166" t="s">
        <v>112</v>
      </c>
      <c r="P13" s="166" t="s">
        <v>112</v>
      </c>
      <c r="Q13" s="166" t="s">
        <v>112</v>
      </c>
      <c r="R13" s="166" t="s">
        <v>112</v>
      </c>
      <c r="S13" s="167">
        <v>0</v>
      </c>
      <c r="T13" s="166"/>
      <c r="U13" s="166"/>
      <c r="V13" s="166"/>
      <c r="W13" s="165" t="s">
        <v>179</v>
      </c>
      <c r="Y13" s="44">
        <v>10</v>
      </c>
      <c r="Z13" s="44" t="s">
        <v>112</v>
      </c>
      <c r="AA13" s="44" t="s">
        <v>112</v>
      </c>
      <c r="AB13" s="44" t="s">
        <v>112</v>
      </c>
      <c r="AC13" s="44" t="s">
        <v>112</v>
      </c>
      <c r="AD13" s="44" t="s">
        <v>112</v>
      </c>
      <c r="AE13" s="44" t="s">
        <v>112</v>
      </c>
      <c r="AF13" s="44" t="s">
        <v>112</v>
      </c>
      <c r="AG13" s="44">
        <v>0</v>
      </c>
      <c r="AJ13" s="43">
        <v>10</v>
      </c>
      <c r="AK13" s="186">
        <v>8.1223660000000007E-3</v>
      </c>
      <c r="AL13" s="186">
        <v>5.3224860000000004E-3</v>
      </c>
      <c r="AM13" s="186">
        <v>2.2726460000000001E-3</v>
      </c>
      <c r="AN13" s="186">
        <v>1.946052E-3</v>
      </c>
      <c r="AO13" s="186" t="s">
        <v>112</v>
      </c>
      <c r="AP13" s="186" t="s">
        <v>112</v>
      </c>
      <c r="AQ13" s="186" t="s">
        <v>112</v>
      </c>
      <c r="AR13" s="186">
        <v>1.766355E-2</v>
      </c>
    </row>
    <row r="14" spans="1:48">
      <c r="B14" s="61"/>
      <c r="C14" s="31"/>
      <c r="D14" s="187" t="s">
        <v>181</v>
      </c>
      <c r="E14" s="144" t="s">
        <v>182</v>
      </c>
      <c r="F14" s="144" t="s">
        <v>183</v>
      </c>
      <c r="G14" s="335"/>
      <c r="J14" s="169"/>
      <c r="K14" s="178">
        <v>6</v>
      </c>
      <c r="L14" s="166">
        <v>83.429000000000002</v>
      </c>
      <c r="M14" s="166">
        <v>0.32200000000000001</v>
      </c>
      <c r="N14" s="166" t="s">
        <v>112</v>
      </c>
      <c r="O14" s="166" t="s">
        <v>112</v>
      </c>
      <c r="P14" s="166" t="s">
        <v>112</v>
      </c>
      <c r="Q14" s="166" t="s">
        <v>112</v>
      </c>
      <c r="R14" s="166" t="s">
        <v>112</v>
      </c>
      <c r="S14" s="167">
        <f t="shared" ref="S14:S20" si="0">SUM(L14:O14)</f>
        <v>83.751000000000005</v>
      </c>
      <c r="T14" s="166"/>
      <c r="U14" s="166"/>
      <c r="V14" s="166"/>
      <c r="W14" s="165" t="s">
        <v>179</v>
      </c>
      <c r="Y14" s="44">
        <v>11</v>
      </c>
      <c r="Z14" s="44" t="s">
        <v>112</v>
      </c>
      <c r="AA14" s="44" t="s">
        <v>112</v>
      </c>
      <c r="AB14" s="44" t="s">
        <v>112</v>
      </c>
      <c r="AC14" s="44" t="s">
        <v>112</v>
      </c>
      <c r="AD14" s="44" t="s">
        <v>112</v>
      </c>
      <c r="AE14" s="44" t="s">
        <v>112</v>
      </c>
      <c r="AF14" s="44" t="s">
        <v>112</v>
      </c>
      <c r="AG14" s="44">
        <v>0</v>
      </c>
      <c r="AJ14" s="43">
        <v>11</v>
      </c>
      <c r="AK14" s="186">
        <v>5.54406E-3</v>
      </c>
      <c r="AL14" s="186">
        <v>8.1974790000000006E-3</v>
      </c>
      <c r="AM14" s="186">
        <v>5.8833899999999996E-3</v>
      </c>
      <c r="AN14" s="186" t="s">
        <v>112</v>
      </c>
      <c r="AO14" s="186" t="s">
        <v>112</v>
      </c>
      <c r="AP14" s="186" t="s">
        <v>112</v>
      </c>
      <c r="AQ14" s="186" t="s">
        <v>112</v>
      </c>
      <c r="AR14" s="186">
        <v>1.9624928E-2</v>
      </c>
      <c r="AV14" s="12" t="s">
        <v>184</v>
      </c>
    </row>
    <row r="15" spans="1:48">
      <c r="B15" s="61"/>
      <c r="C15" s="34"/>
      <c r="D15" s="180" t="s">
        <v>185</v>
      </c>
      <c r="E15" s="31"/>
      <c r="G15" s="179">
        <v>1.9E-2</v>
      </c>
      <c r="J15" s="169"/>
      <c r="K15" s="178">
        <v>7</v>
      </c>
      <c r="L15" s="166">
        <v>10.368</v>
      </c>
      <c r="M15" s="166">
        <v>0.51100000000000001</v>
      </c>
      <c r="N15" s="166" t="s">
        <v>112</v>
      </c>
      <c r="O15" s="166" t="s">
        <v>112</v>
      </c>
      <c r="P15" s="166" t="s">
        <v>112</v>
      </c>
      <c r="Q15" s="166" t="s">
        <v>112</v>
      </c>
      <c r="R15" s="166" t="s">
        <v>112</v>
      </c>
      <c r="S15" s="167">
        <f t="shared" si="0"/>
        <v>10.879</v>
      </c>
      <c r="T15" s="166"/>
      <c r="U15" s="166"/>
      <c r="V15" s="166"/>
      <c r="W15" s="165" t="s">
        <v>179</v>
      </c>
      <c r="Y15" s="44">
        <v>12</v>
      </c>
      <c r="Z15" s="44" t="s">
        <v>112</v>
      </c>
      <c r="AA15" s="44" t="s">
        <v>112</v>
      </c>
      <c r="AB15" s="44" t="s">
        <v>112</v>
      </c>
      <c r="AC15" s="44" t="s">
        <v>112</v>
      </c>
      <c r="AD15" s="44" t="s">
        <v>112</v>
      </c>
      <c r="AE15" s="44" t="s">
        <v>112</v>
      </c>
      <c r="AF15" s="44" t="s">
        <v>112</v>
      </c>
      <c r="AG15" s="44">
        <v>0</v>
      </c>
      <c r="AJ15" s="43">
        <v>12</v>
      </c>
      <c r="AK15" s="186">
        <v>1.75657E-3</v>
      </c>
      <c r="AL15" s="186" t="s">
        <v>112</v>
      </c>
      <c r="AM15" s="186">
        <v>4.3221750000000001E-3</v>
      </c>
      <c r="AN15" s="186" t="s">
        <v>112</v>
      </c>
      <c r="AO15" s="186" t="s">
        <v>112</v>
      </c>
      <c r="AP15" s="186" t="s">
        <v>112</v>
      </c>
      <c r="AQ15" s="186" t="s">
        <v>112</v>
      </c>
      <c r="AR15" s="186">
        <v>6.0787439999999996E-3</v>
      </c>
    </row>
    <row r="16" spans="1:48">
      <c r="D16" s="180" t="s">
        <v>186</v>
      </c>
      <c r="E16" s="34">
        <v>0.57953047749999997</v>
      </c>
      <c r="F16" s="34"/>
      <c r="G16" s="179">
        <v>0.30399999999999999</v>
      </c>
      <c r="J16" s="169"/>
      <c r="K16" s="178">
        <v>8</v>
      </c>
      <c r="L16" s="166">
        <v>5.3630000000000004</v>
      </c>
      <c r="M16" s="166" t="s">
        <v>112</v>
      </c>
      <c r="N16" s="166" t="s">
        <v>112</v>
      </c>
      <c r="O16" s="166">
        <v>6.0000000000000001E-3</v>
      </c>
      <c r="P16" s="166" t="s">
        <v>112</v>
      </c>
      <c r="Q16" s="166" t="s">
        <v>112</v>
      </c>
      <c r="R16" s="166" t="s">
        <v>112</v>
      </c>
      <c r="S16" s="167">
        <f t="shared" si="0"/>
        <v>5.3690000000000007</v>
      </c>
      <c r="T16" s="166"/>
      <c r="U16" s="166"/>
      <c r="V16" s="166"/>
      <c r="W16" s="165" t="s">
        <v>179</v>
      </c>
      <c r="Y16" s="44">
        <v>13</v>
      </c>
      <c r="Z16" s="44" t="s">
        <v>112</v>
      </c>
      <c r="AA16" s="44" t="s">
        <v>112</v>
      </c>
      <c r="AB16" s="44" t="s">
        <v>112</v>
      </c>
      <c r="AC16" s="44" t="s">
        <v>112</v>
      </c>
      <c r="AD16" s="44" t="s">
        <v>112</v>
      </c>
      <c r="AE16" s="44" t="s">
        <v>112</v>
      </c>
      <c r="AF16" s="44" t="s">
        <v>112</v>
      </c>
      <c r="AG16" s="44">
        <v>0</v>
      </c>
      <c r="AJ16" s="43">
        <v>13</v>
      </c>
      <c r="AK16" s="43" t="s">
        <v>112</v>
      </c>
      <c r="AL16" s="43" t="s">
        <v>112</v>
      </c>
      <c r="AM16" s="43" t="s">
        <v>112</v>
      </c>
      <c r="AN16" s="43" t="s">
        <v>112</v>
      </c>
      <c r="AO16" s="43" t="s">
        <v>112</v>
      </c>
      <c r="AP16" s="43" t="s">
        <v>112</v>
      </c>
      <c r="AQ16" s="43" t="s">
        <v>112</v>
      </c>
      <c r="AR16" s="43">
        <v>0</v>
      </c>
    </row>
    <row r="17" spans="2:44">
      <c r="B17" s="61"/>
      <c r="C17" s="57"/>
      <c r="D17" s="180" t="s">
        <v>187</v>
      </c>
      <c r="E17" s="34">
        <v>1.5385150909</v>
      </c>
      <c r="F17" s="34">
        <v>0.58100563289999996</v>
      </c>
      <c r="G17" s="179"/>
      <c r="J17" s="169"/>
      <c r="K17" s="178">
        <v>9</v>
      </c>
      <c r="L17" s="166" t="s">
        <v>112</v>
      </c>
      <c r="M17" s="166" t="s">
        <v>112</v>
      </c>
      <c r="N17" s="166" t="s">
        <v>112</v>
      </c>
      <c r="O17" s="166" t="s">
        <v>112</v>
      </c>
      <c r="P17" s="166" t="s">
        <v>112</v>
      </c>
      <c r="Q17" s="166" t="s">
        <v>112</v>
      </c>
      <c r="R17" s="166" t="s">
        <v>112</v>
      </c>
      <c r="S17" s="167">
        <f t="shared" si="0"/>
        <v>0</v>
      </c>
      <c r="T17" s="166"/>
      <c r="U17" s="166"/>
      <c r="V17" s="166"/>
      <c r="W17" s="165" t="s">
        <v>179</v>
      </c>
      <c r="Y17" s="44">
        <v>14</v>
      </c>
      <c r="Z17" s="44" t="s">
        <v>112</v>
      </c>
      <c r="AA17" s="44" t="s">
        <v>112</v>
      </c>
      <c r="AB17" s="44" t="s">
        <v>112</v>
      </c>
      <c r="AC17" s="44" t="s">
        <v>112</v>
      </c>
      <c r="AD17" s="44" t="s">
        <v>112</v>
      </c>
      <c r="AE17" s="44" t="s">
        <v>112</v>
      </c>
      <c r="AF17" s="44" t="s">
        <v>112</v>
      </c>
      <c r="AG17" s="44">
        <v>0</v>
      </c>
      <c r="AJ17" s="43">
        <v>14</v>
      </c>
      <c r="AK17" s="43" t="s">
        <v>112</v>
      </c>
      <c r="AL17" s="43" t="s">
        <v>112</v>
      </c>
      <c r="AM17" s="43" t="s">
        <v>112</v>
      </c>
      <c r="AN17" s="43" t="s">
        <v>112</v>
      </c>
      <c r="AO17" s="43" t="s">
        <v>112</v>
      </c>
      <c r="AP17" s="43" t="s">
        <v>112</v>
      </c>
      <c r="AQ17" s="43" t="s">
        <v>112</v>
      </c>
      <c r="AR17" s="43">
        <v>0</v>
      </c>
    </row>
    <row r="18" spans="2:44">
      <c r="B18" s="61"/>
      <c r="C18" s="57"/>
      <c r="D18" s="177" t="s">
        <v>188</v>
      </c>
      <c r="E18" s="176">
        <v>82.194557189899996</v>
      </c>
      <c r="F18" s="176">
        <v>86.275978088399995</v>
      </c>
      <c r="G18" s="175">
        <v>83.429000000000002</v>
      </c>
      <c r="J18" s="169"/>
      <c r="K18" s="178">
        <v>10</v>
      </c>
      <c r="L18" s="166" t="s">
        <v>112</v>
      </c>
      <c r="M18" s="166" t="s">
        <v>112</v>
      </c>
      <c r="N18" s="166" t="s">
        <v>112</v>
      </c>
      <c r="O18" s="166" t="s">
        <v>112</v>
      </c>
      <c r="P18" s="166" t="s">
        <v>112</v>
      </c>
      <c r="Q18" s="166" t="s">
        <v>112</v>
      </c>
      <c r="R18" s="166" t="s">
        <v>112</v>
      </c>
      <c r="S18" s="167">
        <f t="shared" si="0"/>
        <v>0</v>
      </c>
      <c r="T18" s="166"/>
      <c r="U18" s="166"/>
      <c r="V18" s="166"/>
      <c r="W18" s="165" t="s">
        <v>179</v>
      </c>
      <c r="Y18" s="44">
        <v>15</v>
      </c>
      <c r="Z18" s="44" t="s">
        <v>112</v>
      </c>
      <c r="AA18" s="44" t="s">
        <v>112</v>
      </c>
      <c r="AB18" s="44" t="s">
        <v>112</v>
      </c>
      <c r="AC18" s="44" t="s">
        <v>112</v>
      </c>
      <c r="AD18" s="44" t="s">
        <v>112</v>
      </c>
      <c r="AE18" s="44" t="s">
        <v>112</v>
      </c>
      <c r="AF18" s="44" t="s">
        <v>112</v>
      </c>
      <c r="AG18" s="44">
        <v>0</v>
      </c>
      <c r="AJ18" s="43">
        <v>15</v>
      </c>
      <c r="AK18" s="43" t="s">
        <v>112</v>
      </c>
      <c r="AL18" s="43" t="s">
        <v>112</v>
      </c>
      <c r="AM18" s="43" t="s">
        <v>112</v>
      </c>
      <c r="AN18" s="43" t="s">
        <v>112</v>
      </c>
      <c r="AO18" s="43" t="s">
        <v>112</v>
      </c>
      <c r="AP18" s="43" t="s">
        <v>112</v>
      </c>
      <c r="AQ18" s="43" t="s">
        <v>112</v>
      </c>
      <c r="AR18" s="43">
        <v>0</v>
      </c>
    </row>
    <row r="19" spans="2:44">
      <c r="B19" s="61"/>
      <c r="C19" s="57"/>
      <c r="D19" s="180" t="s">
        <v>189</v>
      </c>
      <c r="E19" s="34"/>
      <c r="F19" s="34"/>
      <c r="G19" s="179">
        <v>0.51100000000000001</v>
      </c>
      <c r="J19" s="169"/>
      <c r="K19" s="178">
        <v>11</v>
      </c>
      <c r="L19" s="166" t="s">
        <v>112</v>
      </c>
      <c r="M19" s="166" t="s">
        <v>112</v>
      </c>
      <c r="N19" s="166" t="s">
        <v>112</v>
      </c>
      <c r="O19" s="166" t="s">
        <v>112</v>
      </c>
      <c r="P19" s="166" t="s">
        <v>112</v>
      </c>
      <c r="Q19" s="166" t="s">
        <v>112</v>
      </c>
      <c r="R19" s="166" t="s">
        <v>112</v>
      </c>
      <c r="S19" s="167">
        <f t="shared" si="0"/>
        <v>0</v>
      </c>
      <c r="T19" s="166"/>
      <c r="U19" s="166"/>
      <c r="V19" s="166"/>
      <c r="W19" s="165" t="s">
        <v>179</v>
      </c>
      <c r="Y19" s="44"/>
      <c r="Z19" s="44"/>
      <c r="AA19" s="44"/>
      <c r="AB19" s="44"/>
      <c r="AC19" s="44"/>
      <c r="AD19" s="44"/>
      <c r="AE19" s="44"/>
      <c r="AF19" s="44"/>
      <c r="AG19" s="44"/>
      <c r="AJ19" s="43"/>
      <c r="AK19" s="43"/>
      <c r="AL19" s="43"/>
      <c r="AM19" s="43"/>
      <c r="AN19" s="43"/>
      <c r="AO19" s="43"/>
      <c r="AP19" s="43"/>
      <c r="AQ19" s="43"/>
      <c r="AR19" s="43"/>
    </row>
    <row r="20" spans="2:44">
      <c r="D20" s="180" t="s">
        <v>190</v>
      </c>
      <c r="E20" s="34"/>
      <c r="F20" s="34"/>
      <c r="G20" s="179"/>
      <c r="J20" s="169"/>
      <c r="K20" s="178">
        <v>12</v>
      </c>
      <c r="L20" s="166" t="s">
        <v>112</v>
      </c>
      <c r="M20" s="166" t="s">
        <v>112</v>
      </c>
      <c r="N20" s="166" t="s">
        <v>112</v>
      </c>
      <c r="O20" s="166" t="s">
        <v>112</v>
      </c>
      <c r="P20" s="166" t="s">
        <v>112</v>
      </c>
      <c r="Q20" s="166" t="s">
        <v>112</v>
      </c>
      <c r="R20" s="166" t="s">
        <v>112</v>
      </c>
      <c r="S20" s="167">
        <f t="shared" si="0"/>
        <v>0</v>
      </c>
      <c r="T20" s="166"/>
      <c r="U20" s="166"/>
      <c r="V20" s="166"/>
      <c r="W20" s="165" t="s">
        <v>179</v>
      </c>
      <c r="Y20" s="42" t="s">
        <v>161</v>
      </c>
      <c r="Z20" s="185">
        <v>97.861656189000001</v>
      </c>
      <c r="AA20" s="185">
        <v>0.57953047749999997</v>
      </c>
      <c r="AB20" s="185">
        <v>0</v>
      </c>
      <c r="AC20" s="185">
        <v>1.5588253736</v>
      </c>
      <c r="AD20" s="185">
        <v>0</v>
      </c>
      <c r="AE20" s="185">
        <v>0</v>
      </c>
      <c r="AF20" s="185">
        <v>0</v>
      </c>
      <c r="AG20" s="182">
        <v>100.0000076294</v>
      </c>
      <c r="AJ20" s="41" t="s">
        <v>161</v>
      </c>
      <c r="AK20" s="184">
        <v>98.807556149999996</v>
      </c>
      <c r="AL20" s="184">
        <v>0.49650570799999999</v>
      </c>
      <c r="AM20" s="184">
        <v>1.4212515E-2</v>
      </c>
      <c r="AN20" s="184">
        <v>0.63543278000000003</v>
      </c>
      <c r="AO20" s="184">
        <v>0</v>
      </c>
      <c r="AP20" s="184">
        <v>0</v>
      </c>
      <c r="AQ20" s="184">
        <v>0</v>
      </c>
      <c r="AR20" s="184">
        <v>99.953697199999993</v>
      </c>
    </row>
    <row r="21" spans="2:44">
      <c r="D21" s="177" t="s">
        <v>191</v>
      </c>
      <c r="E21" s="176">
        <v>10.2869253159</v>
      </c>
      <c r="F21" s="176">
        <v>9.4722185134999997</v>
      </c>
      <c r="G21" s="175">
        <v>10.368</v>
      </c>
      <c r="J21" s="169"/>
      <c r="K21" s="178">
        <v>13</v>
      </c>
      <c r="L21" s="166" t="s">
        <v>112</v>
      </c>
      <c r="M21" s="166" t="s">
        <v>112</v>
      </c>
      <c r="N21" s="166" t="s">
        <v>112</v>
      </c>
      <c r="O21" s="166" t="s">
        <v>112</v>
      </c>
      <c r="P21" s="166" t="s">
        <v>112</v>
      </c>
      <c r="Q21" s="166" t="s">
        <v>112</v>
      </c>
      <c r="R21" s="166" t="s">
        <v>112</v>
      </c>
      <c r="S21" s="167">
        <v>0</v>
      </c>
      <c r="T21" s="166"/>
      <c r="U21" s="166"/>
      <c r="V21" s="166"/>
      <c r="W21" s="165" t="s">
        <v>179</v>
      </c>
      <c r="Y21" s="42"/>
      <c r="Z21" s="42"/>
      <c r="AA21" s="42"/>
      <c r="AB21" s="42"/>
      <c r="AC21" s="42"/>
      <c r="AD21" s="42"/>
      <c r="AE21" s="42"/>
      <c r="AF21" s="42" t="s">
        <v>192</v>
      </c>
      <c r="AG21" s="48">
        <v>0</v>
      </c>
      <c r="AJ21" s="43"/>
      <c r="AK21" s="43"/>
      <c r="AL21" s="43"/>
      <c r="AM21" s="43"/>
      <c r="AN21" s="43"/>
      <c r="AO21" s="43"/>
      <c r="AP21" s="43"/>
      <c r="AQ21" s="41" t="s">
        <v>192</v>
      </c>
      <c r="AR21" s="184">
        <v>4.6287666999999998E-2</v>
      </c>
    </row>
    <row r="22" spans="2:44">
      <c r="D22" s="180" t="s">
        <v>190</v>
      </c>
      <c r="E22" s="34">
        <v>2.0310303200000001E-2</v>
      </c>
      <c r="F22" s="34"/>
      <c r="G22" s="183"/>
      <c r="J22" s="169"/>
      <c r="K22" s="178">
        <v>14</v>
      </c>
      <c r="L22" s="166" t="s">
        <v>112</v>
      </c>
      <c r="M22" s="166" t="s">
        <v>112</v>
      </c>
      <c r="N22" s="166" t="s">
        <v>112</v>
      </c>
      <c r="O22" s="166" t="s">
        <v>112</v>
      </c>
      <c r="P22" s="166" t="s">
        <v>112</v>
      </c>
      <c r="Q22" s="166" t="s">
        <v>112</v>
      </c>
      <c r="R22" s="166" t="s">
        <v>112</v>
      </c>
      <c r="S22" s="167">
        <v>0</v>
      </c>
      <c r="T22" s="166"/>
      <c r="U22" s="166"/>
      <c r="V22" s="166"/>
      <c r="W22" s="165" t="s">
        <v>179</v>
      </c>
      <c r="Y22" s="42"/>
      <c r="Z22" s="42"/>
      <c r="AA22" s="42"/>
      <c r="AB22" s="42"/>
      <c r="AC22" s="42"/>
      <c r="AD22" s="42"/>
      <c r="AE22" s="42"/>
      <c r="AF22" s="42" t="s">
        <v>193</v>
      </c>
      <c r="AG22" s="182">
        <v>100.0000076294</v>
      </c>
      <c r="AJ22" s="43"/>
      <c r="AK22" s="43"/>
      <c r="AL22" s="43"/>
      <c r="AM22" s="43"/>
      <c r="AN22" s="43"/>
      <c r="AO22" s="43"/>
      <c r="AP22" s="43"/>
      <c r="AQ22" s="41" t="s">
        <v>193</v>
      </c>
      <c r="AR22" s="181">
        <v>99.999984740000002</v>
      </c>
    </row>
    <row r="23" spans="2:44">
      <c r="D23" s="180" t="s">
        <v>194</v>
      </c>
      <c r="E23" s="34"/>
      <c r="F23" s="34"/>
      <c r="G23" s="179">
        <v>6.0000000000000001E-3</v>
      </c>
      <c r="J23" s="169"/>
      <c r="K23" s="178">
        <v>15</v>
      </c>
      <c r="L23" s="166" t="s">
        <v>112</v>
      </c>
      <c r="M23" s="166" t="s">
        <v>112</v>
      </c>
      <c r="N23" s="166" t="s">
        <v>112</v>
      </c>
      <c r="O23" s="166" t="s">
        <v>112</v>
      </c>
      <c r="P23" s="166" t="s">
        <v>112</v>
      </c>
      <c r="Q23" s="166" t="s">
        <v>112</v>
      </c>
      <c r="R23" s="166" t="s">
        <v>112</v>
      </c>
      <c r="S23" s="167">
        <v>0</v>
      </c>
      <c r="T23" s="166"/>
      <c r="U23" s="166"/>
      <c r="V23" s="166"/>
      <c r="W23" s="165" t="s">
        <v>179</v>
      </c>
    </row>
    <row r="24" spans="2:44">
      <c r="D24" s="177" t="s">
        <v>195</v>
      </c>
      <c r="E24" s="176">
        <v>5.3801693916</v>
      </c>
      <c r="F24" s="176">
        <v>3.2154757976999999</v>
      </c>
      <c r="G24" s="175">
        <v>5.3630000000000004</v>
      </c>
      <c r="J24" s="169"/>
      <c r="K24" s="168"/>
      <c r="L24" s="166"/>
      <c r="M24" s="166"/>
      <c r="N24" s="166"/>
      <c r="O24" s="166"/>
      <c r="P24" s="166"/>
      <c r="Q24" s="166"/>
      <c r="R24" s="166"/>
      <c r="S24" s="167"/>
      <c r="T24" s="166"/>
      <c r="U24" s="166"/>
      <c r="V24" s="166"/>
      <c r="W24" s="165" t="s">
        <v>179</v>
      </c>
      <c r="AL24" s="174"/>
    </row>
    <row r="25" spans="2:44">
      <c r="D25" s="173" t="s">
        <v>11</v>
      </c>
      <c r="E25" s="72">
        <f>SUM(E15:E24)</f>
        <v>100.00000776900002</v>
      </c>
      <c r="F25" s="72">
        <f>SUM(F16:F24)</f>
        <v>99.544678032499988</v>
      </c>
      <c r="G25" s="172">
        <f>SUM(G15:G24)</f>
        <v>99.999999999999986</v>
      </c>
      <c r="J25" s="169"/>
      <c r="K25" s="171" t="s">
        <v>161</v>
      </c>
      <c r="L25" s="170">
        <f>SUM(L14:L16)</f>
        <v>99.16</v>
      </c>
      <c r="M25" s="166">
        <f>SUM(M14:M16)</f>
        <v>0.83299999999999996</v>
      </c>
      <c r="N25" s="166">
        <f>SUM(N14:N16)</f>
        <v>0</v>
      </c>
      <c r="O25" s="166">
        <f>SUM(O14:O16)</f>
        <v>6.0000000000000001E-3</v>
      </c>
      <c r="P25" s="166">
        <v>0</v>
      </c>
      <c r="Q25" s="166">
        <v>0</v>
      </c>
      <c r="R25" s="166">
        <v>0</v>
      </c>
      <c r="S25" s="167">
        <v>100</v>
      </c>
      <c r="T25" s="166"/>
      <c r="U25" s="166"/>
      <c r="V25" s="166"/>
      <c r="W25" s="165" t="s">
        <v>179</v>
      </c>
      <c r="AJ25" s="49" t="s">
        <v>196</v>
      </c>
      <c r="AK25" s="49"/>
    </row>
    <row r="26" spans="2:44">
      <c r="J26" s="169"/>
      <c r="K26" s="166"/>
      <c r="L26" s="166"/>
      <c r="M26" s="166"/>
      <c r="N26" s="166"/>
      <c r="O26" s="166"/>
      <c r="P26" s="166"/>
      <c r="Q26" s="166"/>
      <c r="R26" s="168" t="s">
        <v>192</v>
      </c>
      <c r="S26" s="167">
        <v>0</v>
      </c>
      <c r="T26" s="166"/>
      <c r="U26" s="166"/>
      <c r="V26" s="166"/>
      <c r="W26" s="165" t="s">
        <v>179</v>
      </c>
      <c r="AJ26" s="329" t="s">
        <v>148</v>
      </c>
      <c r="AK26" s="329"/>
      <c r="AL26" s="329"/>
      <c r="AM26" s="329"/>
      <c r="AN26" s="329"/>
      <c r="AO26" s="329"/>
      <c r="AP26" s="329"/>
      <c r="AQ26" s="329"/>
      <c r="AR26" s="329"/>
    </row>
    <row r="27" spans="2:44">
      <c r="J27" s="164"/>
      <c r="K27" s="161"/>
      <c r="L27" s="161"/>
      <c r="M27" s="161"/>
      <c r="N27" s="161"/>
      <c r="O27" s="161"/>
      <c r="P27" s="161"/>
      <c r="Q27" s="161"/>
      <c r="R27" s="163" t="s">
        <v>193</v>
      </c>
      <c r="S27" s="162">
        <v>100</v>
      </c>
      <c r="T27" s="161"/>
      <c r="U27" s="161"/>
      <c r="V27" s="161"/>
      <c r="W27" s="160" t="s">
        <v>179</v>
      </c>
      <c r="AJ27" s="41" t="s">
        <v>153</v>
      </c>
      <c r="AK27" s="41" t="s">
        <v>154</v>
      </c>
      <c r="AL27" s="41" t="s">
        <v>155</v>
      </c>
      <c r="AM27" s="41" t="s">
        <v>156</v>
      </c>
      <c r="AN27" s="41" t="s">
        <v>157</v>
      </c>
      <c r="AO27" s="41" t="s">
        <v>158</v>
      </c>
      <c r="AP27" s="41" t="s">
        <v>159</v>
      </c>
      <c r="AQ27" s="41" t="s">
        <v>160</v>
      </c>
      <c r="AR27" s="42" t="s">
        <v>161</v>
      </c>
    </row>
    <row r="28" spans="2:44">
      <c r="J28" s="159"/>
      <c r="K28" s="159"/>
      <c r="L28" s="159"/>
      <c r="M28" s="159"/>
      <c r="N28" s="159"/>
      <c r="O28" s="159"/>
      <c r="P28" s="159"/>
      <c r="Q28" s="159"/>
      <c r="R28" s="159"/>
      <c r="S28" s="159"/>
      <c r="T28" s="159"/>
      <c r="U28" s="159"/>
      <c r="V28" s="159"/>
      <c r="W28" s="159" t="s">
        <v>179</v>
      </c>
      <c r="AJ28" s="43">
        <v>1</v>
      </c>
      <c r="AK28" s="43" t="s">
        <v>112</v>
      </c>
      <c r="AL28" s="43" t="s">
        <v>112</v>
      </c>
      <c r="AM28" s="43" t="s">
        <v>112</v>
      </c>
      <c r="AN28" s="43" t="s">
        <v>112</v>
      </c>
      <c r="AO28" s="43" t="s">
        <v>112</v>
      </c>
      <c r="AP28" s="43" t="s">
        <v>112</v>
      </c>
      <c r="AQ28" s="43" t="s">
        <v>112</v>
      </c>
      <c r="AR28" s="44">
        <v>0</v>
      </c>
    </row>
    <row r="29" spans="2:44">
      <c r="AJ29" s="43">
        <v>2</v>
      </c>
      <c r="AK29" s="43" t="s">
        <v>112</v>
      </c>
      <c r="AL29" s="43" t="s">
        <v>112</v>
      </c>
      <c r="AM29" s="43" t="s">
        <v>112</v>
      </c>
      <c r="AN29" s="43" t="s">
        <v>112</v>
      </c>
      <c r="AO29" s="43" t="s">
        <v>112</v>
      </c>
      <c r="AP29" s="43" t="s">
        <v>112</v>
      </c>
      <c r="AQ29" s="43" t="s">
        <v>112</v>
      </c>
      <c r="AR29" s="44">
        <v>0</v>
      </c>
    </row>
    <row r="30" spans="2:44">
      <c r="AJ30" s="43">
        <v>3</v>
      </c>
      <c r="AK30" s="43" t="s">
        <v>112</v>
      </c>
      <c r="AL30" s="43" t="s">
        <v>112</v>
      </c>
      <c r="AM30" s="43" t="s">
        <v>112</v>
      </c>
      <c r="AN30" s="43" t="s">
        <v>112</v>
      </c>
      <c r="AO30" s="43" t="s">
        <v>112</v>
      </c>
      <c r="AP30" s="43" t="s">
        <v>112</v>
      </c>
      <c r="AQ30" s="43" t="s">
        <v>112</v>
      </c>
      <c r="AR30" s="44">
        <v>0</v>
      </c>
    </row>
    <row r="31" spans="2:44">
      <c r="AJ31" s="43">
        <v>4</v>
      </c>
      <c r="AK31" s="45">
        <v>2.0122690000000001E-3</v>
      </c>
      <c r="AL31" s="45">
        <v>4.9738799999999998E-4</v>
      </c>
      <c r="AM31" s="45" t="s">
        <v>112</v>
      </c>
      <c r="AN31" s="45" t="s">
        <v>112</v>
      </c>
      <c r="AO31" s="45" t="s">
        <v>112</v>
      </c>
      <c r="AP31" s="45" t="s">
        <v>112</v>
      </c>
      <c r="AQ31" s="45" t="s">
        <v>112</v>
      </c>
      <c r="AR31" s="45">
        <v>2.5096559999999999E-3</v>
      </c>
    </row>
    <row r="32" spans="2:44">
      <c r="AJ32" s="43">
        <v>5</v>
      </c>
      <c r="AK32" s="45">
        <v>6.9542850000000002E-3</v>
      </c>
      <c r="AL32" s="45">
        <v>5.3168820000000002E-3</v>
      </c>
      <c r="AM32" s="45" t="s">
        <v>112</v>
      </c>
      <c r="AN32" s="45">
        <v>1.3487690000000001E-3</v>
      </c>
      <c r="AO32" s="45" t="s">
        <v>112</v>
      </c>
      <c r="AP32" s="45" t="s">
        <v>112</v>
      </c>
      <c r="AQ32" s="45" t="s">
        <v>112</v>
      </c>
      <c r="AR32" s="45">
        <v>1.3619935E-2</v>
      </c>
    </row>
    <row r="33" spans="5:44">
      <c r="AJ33" s="43">
        <v>6</v>
      </c>
      <c r="AK33" s="45">
        <v>86.08044434</v>
      </c>
      <c r="AL33" s="45">
        <v>0.42624071200000002</v>
      </c>
      <c r="AM33" s="45" t="s">
        <v>112</v>
      </c>
      <c r="AN33" s="45">
        <v>0.58100563299999997</v>
      </c>
      <c r="AO33" s="45" t="s">
        <v>112</v>
      </c>
      <c r="AP33" s="45" t="s">
        <v>112</v>
      </c>
      <c r="AQ33" s="45" t="s">
        <v>112</v>
      </c>
      <c r="AR33" s="45">
        <v>87.087692259999997</v>
      </c>
    </row>
    <row r="34" spans="5:44">
      <c r="AJ34" s="43">
        <v>7</v>
      </c>
      <c r="AK34" s="45">
        <v>9.4722185139999997</v>
      </c>
      <c r="AL34" s="45">
        <v>1.0982258E-2</v>
      </c>
      <c r="AM34" s="45" t="s">
        <v>112</v>
      </c>
      <c r="AN34" s="45">
        <v>4.8228979999999999E-3</v>
      </c>
      <c r="AO34" s="45" t="s">
        <v>112</v>
      </c>
      <c r="AP34" s="45" t="s">
        <v>112</v>
      </c>
      <c r="AQ34" s="45" t="s">
        <v>112</v>
      </c>
      <c r="AR34" s="45">
        <v>9.4880237580000006</v>
      </c>
    </row>
    <row r="35" spans="5:44">
      <c r="E35" s="61" t="s">
        <v>197</v>
      </c>
      <c r="F35" s="31" t="s">
        <v>198</v>
      </c>
      <c r="G35" s="1" t="s">
        <v>199</v>
      </c>
      <c r="AJ35" s="43">
        <v>8</v>
      </c>
      <c r="AK35" s="45">
        <v>3.2154757979999999</v>
      </c>
      <c r="AL35" s="45">
        <v>3.0950319E-2</v>
      </c>
      <c r="AM35" s="45" t="s">
        <v>112</v>
      </c>
      <c r="AN35" s="45">
        <v>4.9831167000000003E-2</v>
      </c>
      <c r="AO35" s="45" t="s">
        <v>112</v>
      </c>
      <c r="AP35" s="45" t="s">
        <v>112</v>
      </c>
      <c r="AQ35" s="45" t="s">
        <v>112</v>
      </c>
      <c r="AR35" s="45">
        <v>3.2962572579999998</v>
      </c>
    </row>
    <row r="36" spans="5:44">
      <c r="E36" s="61" t="s">
        <v>200</v>
      </c>
      <c r="F36" s="31" t="s">
        <v>201</v>
      </c>
      <c r="AJ36" s="43">
        <v>9</v>
      </c>
      <c r="AK36" s="45">
        <v>1.1423086000000001E-2</v>
      </c>
      <c r="AL36" s="45">
        <v>9.861145E-3</v>
      </c>
      <c r="AM36" s="45">
        <v>1.813711E-3</v>
      </c>
      <c r="AN36" s="45">
        <v>2.8594829999999999E-3</v>
      </c>
      <c r="AO36" s="45" t="s">
        <v>112</v>
      </c>
      <c r="AP36" s="45" t="s">
        <v>112</v>
      </c>
      <c r="AQ36" s="45" t="s">
        <v>112</v>
      </c>
      <c r="AR36" s="45">
        <v>2.5957424E-2</v>
      </c>
    </row>
    <row r="37" spans="5:44">
      <c r="E37" s="61" t="s">
        <v>202</v>
      </c>
      <c r="F37" s="31" t="s">
        <v>201</v>
      </c>
      <c r="AJ37" s="43">
        <v>10</v>
      </c>
      <c r="AK37" s="45">
        <v>8.1343739999999998E-3</v>
      </c>
      <c r="AL37" s="45">
        <v>5.5980630000000003E-3</v>
      </c>
      <c r="AM37" s="45">
        <v>2.1723039999999999E-3</v>
      </c>
      <c r="AN37" s="45">
        <v>2.4345370000000001E-3</v>
      </c>
      <c r="AO37" s="45" t="s">
        <v>112</v>
      </c>
      <c r="AP37" s="45" t="s">
        <v>112</v>
      </c>
      <c r="AQ37" s="45" t="s">
        <v>112</v>
      </c>
      <c r="AR37" s="45">
        <v>1.8339278000000001E-2</v>
      </c>
    </row>
    <row r="38" spans="5:44">
      <c r="E38" s="61" t="s">
        <v>203</v>
      </c>
      <c r="F38" s="31">
        <v>23</v>
      </c>
      <c r="AJ38" s="43">
        <v>11</v>
      </c>
      <c r="AK38" s="45">
        <v>4.8064830000000003E-3</v>
      </c>
      <c r="AL38" s="45">
        <v>7.1874979999999996E-3</v>
      </c>
      <c r="AM38" s="45">
        <v>3.6480589999999999E-3</v>
      </c>
      <c r="AN38" s="45" t="s">
        <v>112</v>
      </c>
      <c r="AO38" s="45" t="s">
        <v>112</v>
      </c>
      <c r="AP38" s="45" t="s">
        <v>112</v>
      </c>
      <c r="AQ38" s="45" t="s">
        <v>112</v>
      </c>
      <c r="AR38" s="45">
        <v>1.5642039999999999E-2</v>
      </c>
    </row>
    <row r="39" spans="5:44">
      <c r="AJ39" s="43">
        <v>12</v>
      </c>
      <c r="AK39" s="45">
        <v>1.3737879999999999E-3</v>
      </c>
      <c r="AL39" s="45" t="s">
        <v>112</v>
      </c>
      <c r="AM39" s="45">
        <v>3.0380120000000001E-3</v>
      </c>
      <c r="AN39" s="45" t="s">
        <v>112</v>
      </c>
      <c r="AO39" s="45" t="s">
        <v>112</v>
      </c>
      <c r="AP39" s="45" t="s">
        <v>112</v>
      </c>
      <c r="AQ39" s="45" t="s">
        <v>112</v>
      </c>
      <c r="AR39" s="45">
        <v>4.4117999999999996E-3</v>
      </c>
    </row>
    <row r="40" spans="5:44">
      <c r="AJ40" s="43">
        <v>13</v>
      </c>
      <c r="AK40" s="43" t="s">
        <v>112</v>
      </c>
      <c r="AL40" s="43" t="s">
        <v>112</v>
      </c>
      <c r="AM40" s="43" t="s">
        <v>112</v>
      </c>
      <c r="AN40" s="43" t="s">
        <v>112</v>
      </c>
      <c r="AO40" s="43" t="s">
        <v>112</v>
      </c>
      <c r="AP40" s="43" t="s">
        <v>112</v>
      </c>
      <c r="AQ40" s="43" t="s">
        <v>112</v>
      </c>
      <c r="AR40" s="44">
        <v>0</v>
      </c>
    </row>
    <row r="41" spans="5:44">
      <c r="AJ41" s="43">
        <v>14</v>
      </c>
      <c r="AK41" s="43" t="s">
        <v>112</v>
      </c>
      <c r="AL41" s="43" t="s">
        <v>112</v>
      </c>
      <c r="AM41" s="43" t="s">
        <v>112</v>
      </c>
      <c r="AN41" s="43" t="s">
        <v>112</v>
      </c>
      <c r="AO41" s="43" t="s">
        <v>112</v>
      </c>
      <c r="AP41" s="43" t="s">
        <v>112</v>
      </c>
      <c r="AQ41" s="43" t="s">
        <v>112</v>
      </c>
      <c r="AR41" s="44">
        <v>0</v>
      </c>
    </row>
    <row r="42" spans="5:44">
      <c r="AJ42" s="43">
        <v>15</v>
      </c>
      <c r="AK42" s="43" t="s">
        <v>112</v>
      </c>
      <c r="AL42" s="43" t="s">
        <v>112</v>
      </c>
      <c r="AM42" s="43" t="s">
        <v>112</v>
      </c>
      <c r="AN42" s="43" t="s">
        <v>112</v>
      </c>
      <c r="AO42" s="43" t="s">
        <v>112</v>
      </c>
      <c r="AP42" s="43" t="s">
        <v>112</v>
      </c>
      <c r="AQ42" s="43" t="s">
        <v>112</v>
      </c>
      <c r="AR42" s="44">
        <v>0</v>
      </c>
    </row>
    <row r="43" spans="5:44">
      <c r="AJ43" s="43"/>
      <c r="AK43" s="43"/>
      <c r="AL43" s="43"/>
      <c r="AM43" s="43"/>
      <c r="AN43" s="43"/>
      <c r="AO43" s="43"/>
      <c r="AP43" s="43"/>
      <c r="AQ43" s="43"/>
      <c r="AR43" s="44"/>
    </row>
    <row r="44" spans="5:44">
      <c r="AJ44" s="41" t="s">
        <v>161</v>
      </c>
      <c r="AK44" s="46">
        <v>98.802841189999995</v>
      </c>
      <c r="AL44" s="46">
        <v>0.49663424499999997</v>
      </c>
      <c r="AM44" s="46">
        <v>1.0672087E-2</v>
      </c>
      <c r="AN44" s="46">
        <v>0.64230251299999996</v>
      </c>
      <c r="AO44" s="46">
        <v>0</v>
      </c>
      <c r="AP44" s="46">
        <v>0</v>
      </c>
      <c r="AQ44" s="46">
        <v>0</v>
      </c>
      <c r="AR44" s="47">
        <v>99.952445979999993</v>
      </c>
    </row>
    <row r="45" spans="5:44">
      <c r="AJ45" s="41"/>
      <c r="AK45" s="41"/>
      <c r="AL45" s="41"/>
      <c r="AM45" s="41"/>
      <c r="AN45" s="41"/>
      <c r="AO45" s="41"/>
      <c r="AP45" s="41"/>
      <c r="AQ45" s="41" t="s">
        <v>192</v>
      </c>
      <c r="AR45" s="47">
        <v>4.7558017000000001E-2</v>
      </c>
    </row>
    <row r="46" spans="5:44">
      <c r="AJ46" s="41"/>
      <c r="AK46" s="41"/>
      <c r="AL46" s="41"/>
      <c r="AM46" s="41"/>
      <c r="AN46" s="41"/>
      <c r="AO46" s="41"/>
      <c r="AP46" s="41"/>
      <c r="AQ46" s="41" t="s">
        <v>193</v>
      </c>
      <c r="AR46" s="48">
        <v>100.0000076</v>
      </c>
    </row>
  </sheetData>
  <mergeCells count="7">
    <mergeCell ref="AJ26:AR26"/>
    <mergeCell ref="AJ2:AR2"/>
    <mergeCell ref="J1:W1"/>
    <mergeCell ref="B2:C2"/>
    <mergeCell ref="Y2:AG2"/>
    <mergeCell ref="E13:F13"/>
    <mergeCell ref="G13:G14"/>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0DBBC-12FA-4EB1-ADAB-15691BC92A28}">
  <sheetPr codeName="Sheet4"/>
  <dimension ref="B1:AJ46"/>
  <sheetViews>
    <sheetView topLeftCell="O9" zoomScale="120" zoomScaleNormal="120" workbookViewId="0">
      <selection activeCell="Y3" sqref="Y3"/>
    </sheetView>
  </sheetViews>
  <sheetFormatPr defaultColWidth="8.7109375" defaultRowHeight="15"/>
  <cols>
    <col min="1" max="3" width="8.7109375" style="12"/>
    <col min="4" max="4" width="15.5703125" style="12" customWidth="1"/>
    <col min="5" max="16" width="8.7109375" style="12"/>
    <col min="17" max="17" width="14.5703125" style="15" bestFit="1" customWidth="1"/>
    <col min="18" max="18" width="14.5703125" style="12" bestFit="1" customWidth="1"/>
    <col min="19" max="16384" width="8.7109375" style="12"/>
  </cols>
  <sheetData>
    <row r="1" spans="2:32" ht="18.75">
      <c r="D1" s="100" t="s">
        <v>204</v>
      </c>
      <c r="E1" s="101"/>
      <c r="F1" s="101"/>
      <c r="G1" s="101"/>
      <c r="H1" s="101"/>
      <c r="I1" s="101"/>
      <c r="J1" s="101"/>
      <c r="K1" s="101"/>
      <c r="L1" s="101"/>
      <c r="M1" s="101"/>
      <c r="N1" s="101"/>
      <c r="O1" s="101"/>
    </row>
    <row r="2" spans="2:32" ht="15.75" thickBot="1"/>
    <row r="3" spans="2:32" ht="15.75" thickBot="1">
      <c r="C3" s="102" t="s">
        <v>205</v>
      </c>
      <c r="D3" s="103"/>
      <c r="E3" s="336" t="s">
        <v>206</v>
      </c>
      <c r="F3" s="337"/>
      <c r="G3" s="337"/>
      <c r="H3" s="337"/>
      <c r="I3" s="337"/>
      <c r="J3" s="337"/>
      <c r="K3" s="337"/>
      <c r="L3" s="337"/>
      <c r="M3" s="337"/>
      <c r="N3" s="337"/>
      <c r="O3" s="338"/>
      <c r="Q3" s="15" t="s">
        <v>207</v>
      </c>
      <c r="R3" s="15" t="s">
        <v>208</v>
      </c>
      <c r="W3" s="12">
        <f>2000*1.2647+33.268</f>
        <v>2562.6680000000001</v>
      </c>
      <c r="AF3" s="12">
        <f>2000*1.2611+83.216</f>
        <v>2605.4160000000002</v>
      </c>
    </row>
    <row r="4" spans="2:32" ht="15.75" thickBot="1">
      <c r="B4" s="104" t="s">
        <v>209</v>
      </c>
      <c r="C4" s="105"/>
      <c r="D4" s="105"/>
      <c r="E4" s="106"/>
      <c r="F4" s="106"/>
      <c r="G4" s="106"/>
      <c r="H4" s="106"/>
      <c r="I4" s="106"/>
      <c r="J4" s="106"/>
      <c r="K4" s="106"/>
      <c r="L4" s="106"/>
      <c r="M4" s="106"/>
      <c r="N4" s="106"/>
      <c r="O4" s="107"/>
    </row>
    <row r="5" spans="2:32" ht="15.75" thickBot="1">
      <c r="B5" s="108"/>
      <c r="C5" s="108"/>
      <c r="D5" s="109"/>
      <c r="E5" s="110">
        <v>1</v>
      </c>
      <c r="F5" s="110">
        <v>2</v>
      </c>
      <c r="G5" s="110">
        <v>3</v>
      </c>
      <c r="H5" s="110">
        <v>4</v>
      </c>
      <c r="I5" s="110">
        <v>5</v>
      </c>
      <c r="J5" s="110">
        <v>6</v>
      </c>
      <c r="K5" s="110">
        <v>7</v>
      </c>
      <c r="L5" s="110">
        <v>8</v>
      </c>
      <c r="M5" s="110">
        <v>9</v>
      </c>
      <c r="N5" s="110">
        <v>10</v>
      </c>
      <c r="O5" s="111" t="s">
        <v>210</v>
      </c>
    </row>
    <row r="6" spans="2:32">
      <c r="B6" s="112" t="s">
        <v>211</v>
      </c>
      <c r="C6" s="112">
        <v>1000</v>
      </c>
      <c r="D6" s="103"/>
      <c r="E6" s="113">
        <v>21.506</v>
      </c>
      <c r="F6" s="113">
        <v>21.63</v>
      </c>
      <c r="G6" s="113">
        <v>21.51</v>
      </c>
      <c r="H6" s="113">
        <v>21.475000000000001</v>
      </c>
      <c r="I6" s="113">
        <v>21.641999999999999</v>
      </c>
      <c r="J6" s="113">
        <v>21.587</v>
      </c>
      <c r="K6" s="113">
        <v>21.600999999999999</v>
      </c>
      <c r="L6" s="113">
        <v>21.626000000000001</v>
      </c>
      <c r="M6" s="113">
        <v>21.664000000000001</v>
      </c>
      <c r="N6" s="113">
        <v>21.687999999999999</v>
      </c>
      <c r="O6" s="103">
        <v>21.591999999999999</v>
      </c>
      <c r="Q6" s="114">
        <f>AVERAGE(E6:O6)</f>
        <v>21.592818181818178</v>
      </c>
      <c r="R6" s="114">
        <f>Q6*60</f>
        <v>1295.5690909090906</v>
      </c>
    </row>
    <row r="7" spans="2:32">
      <c r="B7" s="108"/>
      <c r="C7" s="108">
        <v>2000</v>
      </c>
      <c r="D7" s="109"/>
      <c r="E7" s="12">
        <v>42.783999999999999</v>
      </c>
      <c r="F7" s="12">
        <v>42.920999999999999</v>
      </c>
      <c r="G7" s="12">
        <v>42.819000000000003</v>
      </c>
      <c r="H7" s="12">
        <v>42.667000000000002</v>
      </c>
      <c r="I7" s="12">
        <v>42.81</v>
      </c>
      <c r="J7" s="12">
        <v>42.618000000000002</v>
      </c>
      <c r="K7" s="12">
        <v>42.78</v>
      </c>
      <c r="L7" s="12">
        <v>42.743000000000002</v>
      </c>
      <c r="M7" s="12">
        <v>42.643999999999998</v>
      </c>
      <c r="N7" s="12">
        <v>42.728999999999999</v>
      </c>
      <c r="O7" s="109">
        <v>42.750999999999998</v>
      </c>
      <c r="Q7" s="114">
        <f t="shared" ref="Q7:Q9" si="0">AVERAGE(E7:O7)</f>
        <v>42.751454545454543</v>
      </c>
      <c r="R7" s="114">
        <f t="shared" ref="R7:R9" si="1">Q7*60</f>
        <v>2565.0872727272726</v>
      </c>
    </row>
    <row r="8" spans="2:32">
      <c r="B8" s="108"/>
      <c r="C8" s="108">
        <v>2500</v>
      </c>
      <c r="D8" s="109"/>
      <c r="E8" s="12">
        <v>53.420999999999999</v>
      </c>
      <c r="F8" s="12">
        <v>53.384999999999998</v>
      </c>
      <c r="G8" s="12">
        <v>53.344000000000001</v>
      </c>
      <c r="H8" s="12">
        <v>53.31</v>
      </c>
      <c r="I8" s="12">
        <v>53.298999999999999</v>
      </c>
      <c r="J8" s="12">
        <v>53.302</v>
      </c>
      <c r="K8" s="12">
        <v>53.273000000000003</v>
      </c>
      <c r="L8" s="12">
        <v>53.31</v>
      </c>
      <c r="M8" s="12">
        <v>53.363999999999997</v>
      </c>
      <c r="N8" s="12">
        <v>53.293999999999997</v>
      </c>
      <c r="O8" s="109">
        <v>53.33</v>
      </c>
      <c r="Q8" s="114">
        <f t="shared" si="0"/>
        <v>53.330181818181821</v>
      </c>
      <c r="R8" s="114">
        <f t="shared" si="1"/>
        <v>3199.8109090909093</v>
      </c>
    </row>
    <row r="9" spans="2:32" ht="15.75" thickBot="1">
      <c r="B9" s="115"/>
      <c r="C9" s="115">
        <v>3000</v>
      </c>
      <c r="D9" s="116"/>
      <c r="E9" s="117">
        <v>63.75</v>
      </c>
      <c r="F9" s="117">
        <v>63.728999999999999</v>
      </c>
      <c r="G9" s="117">
        <v>63.661999999999999</v>
      </c>
      <c r="H9" s="117">
        <v>63.713000000000001</v>
      </c>
      <c r="I9" s="117">
        <v>63.722999999999999</v>
      </c>
      <c r="J9" s="117">
        <v>63.531999999999996</v>
      </c>
      <c r="K9" s="117">
        <v>63.671999999999997</v>
      </c>
      <c r="L9" s="117">
        <v>63.75</v>
      </c>
      <c r="M9" s="117">
        <v>63.737000000000002</v>
      </c>
      <c r="N9" s="117">
        <v>63.83</v>
      </c>
      <c r="O9" s="116">
        <v>63.709000000000003</v>
      </c>
      <c r="Q9" s="114">
        <f t="shared" si="0"/>
        <v>63.709727272727271</v>
      </c>
      <c r="R9" s="114">
        <f t="shared" si="1"/>
        <v>3822.5836363636363</v>
      </c>
    </row>
    <row r="10" spans="2:32" ht="15.75" thickBot="1">
      <c r="B10" s="108"/>
      <c r="C10" s="108"/>
      <c r="D10" s="109"/>
      <c r="O10" s="109"/>
    </row>
    <row r="11" spans="2:32">
      <c r="B11" s="112" t="s">
        <v>212</v>
      </c>
      <c r="C11" s="112">
        <v>1000</v>
      </c>
      <c r="D11" s="103"/>
      <c r="E11" s="113">
        <v>22.423999999999999</v>
      </c>
      <c r="F11" s="113">
        <v>22.425999999999998</v>
      </c>
      <c r="G11" s="113">
        <v>22.4</v>
      </c>
      <c r="H11" s="113">
        <v>22.425999999999998</v>
      </c>
      <c r="I11" s="113">
        <v>22.411999999999999</v>
      </c>
      <c r="J11" s="113">
        <v>22.402999999999999</v>
      </c>
      <c r="K11" s="113">
        <v>22.355</v>
      </c>
      <c r="L11" s="113">
        <v>22.395</v>
      </c>
      <c r="M11" s="113">
        <v>22.399000000000001</v>
      </c>
      <c r="N11" s="113">
        <v>22.425999999999998</v>
      </c>
      <c r="O11" s="103">
        <v>22.405999999999999</v>
      </c>
      <c r="Q11" s="114">
        <f>AVERAGE(E11:O11)</f>
        <v>22.406545454545451</v>
      </c>
      <c r="R11" s="114">
        <f>Q11*60</f>
        <v>1344.3927272727271</v>
      </c>
    </row>
    <row r="12" spans="2:32">
      <c r="B12" s="108"/>
      <c r="C12" s="108">
        <v>2000</v>
      </c>
      <c r="D12" s="109"/>
      <c r="E12" s="12">
        <v>43.399000000000001</v>
      </c>
      <c r="F12" s="12">
        <v>43.529000000000003</v>
      </c>
      <c r="G12" s="12">
        <v>43.430999999999997</v>
      </c>
      <c r="H12" s="12">
        <v>43.41</v>
      </c>
      <c r="I12" s="12">
        <v>43.371000000000002</v>
      </c>
      <c r="J12" s="12">
        <v>43.393000000000001</v>
      </c>
      <c r="K12" s="12">
        <v>43.439</v>
      </c>
      <c r="L12" s="12">
        <v>43.392000000000003</v>
      </c>
      <c r="M12" s="12">
        <v>43.43</v>
      </c>
      <c r="N12" s="12">
        <v>43.430999999999997</v>
      </c>
      <c r="O12" s="109">
        <v>43.421999999999997</v>
      </c>
      <c r="Q12" s="114">
        <f t="shared" ref="Q12:Q14" si="2">AVERAGE(E12:O12)</f>
        <v>43.422454545454549</v>
      </c>
      <c r="R12" s="114">
        <f t="shared" ref="R12:R14" si="3">Q12*60</f>
        <v>2605.3472727272729</v>
      </c>
    </row>
    <row r="13" spans="2:32">
      <c r="B13" s="108"/>
      <c r="C13" s="108">
        <v>2500</v>
      </c>
      <c r="D13" s="109"/>
      <c r="E13" s="12">
        <v>53.939</v>
      </c>
      <c r="F13" s="12">
        <v>54.002000000000002</v>
      </c>
      <c r="G13" s="12">
        <v>53.97</v>
      </c>
      <c r="H13" s="12">
        <v>54.000999999999998</v>
      </c>
      <c r="I13" s="12">
        <v>54.04</v>
      </c>
      <c r="J13" s="12">
        <v>54.002000000000002</v>
      </c>
      <c r="K13" s="12">
        <v>53.982999999999997</v>
      </c>
      <c r="L13" s="12">
        <v>53.826999999999998</v>
      </c>
      <c r="M13" s="12">
        <v>53.734000000000002</v>
      </c>
      <c r="N13" s="12">
        <v>53.820999999999998</v>
      </c>
      <c r="O13" s="109">
        <v>53.930999999999997</v>
      </c>
      <c r="Q13" s="114">
        <f t="shared" si="2"/>
        <v>53.93181818181818</v>
      </c>
      <c r="R13" s="114">
        <f t="shared" si="3"/>
        <v>3235.909090909091</v>
      </c>
    </row>
    <row r="14" spans="2:32" ht="15.75" thickBot="1">
      <c r="B14" s="115"/>
      <c r="C14" s="115">
        <v>3000</v>
      </c>
      <c r="D14" s="116"/>
      <c r="E14" s="117">
        <v>64.575999999999993</v>
      </c>
      <c r="F14" s="117">
        <v>64.519000000000005</v>
      </c>
      <c r="G14" s="117">
        <v>64.465999999999994</v>
      </c>
      <c r="H14" s="117">
        <v>64.453000000000003</v>
      </c>
      <c r="I14" s="117">
        <v>64.41</v>
      </c>
      <c r="J14" s="117">
        <v>64.450999999999993</v>
      </c>
      <c r="K14" s="117">
        <v>64.424000000000007</v>
      </c>
      <c r="L14" s="117">
        <v>64.287999999999997</v>
      </c>
      <c r="M14" s="117">
        <v>64.52</v>
      </c>
      <c r="N14" s="117">
        <v>64.335999999999999</v>
      </c>
      <c r="O14" s="116">
        <v>64.444000000000003</v>
      </c>
      <c r="Q14" s="114">
        <f t="shared" si="2"/>
        <v>64.444272727272718</v>
      </c>
      <c r="R14" s="114">
        <f t="shared" si="3"/>
        <v>3866.656363636363</v>
      </c>
    </row>
    <row r="15" spans="2:32" ht="15.75" thickBot="1">
      <c r="B15" s="108"/>
      <c r="C15" s="108"/>
      <c r="D15" s="109"/>
      <c r="O15" s="109"/>
    </row>
    <row r="16" spans="2:32">
      <c r="B16" s="112" t="s">
        <v>213</v>
      </c>
      <c r="C16" s="112">
        <v>1000</v>
      </c>
      <c r="D16" s="103"/>
      <c r="E16" s="113">
        <v>21.949000000000002</v>
      </c>
      <c r="F16" s="113">
        <v>21.896000000000001</v>
      </c>
      <c r="G16" s="113">
        <v>21.978999999999999</v>
      </c>
      <c r="H16" s="113">
        <v>21.841000000000001</v>
      </c>
      <c r="I16" s="113">
        <v>21.91</v>
      </c>
      <c r="J16" s="113">
        <v>21.904</v>
      </c>
      <c r="K16" s="113">
        <v>21.890999999999998</v>
      </c>
      <c r="L16" s="113">
        <v>21.879000000000001</v>
      </c>
      <c r="M16" s="113">
        <v>21.881</v>
      </c>
      <c r="N16" s="113">
        <v>21.92</v>
      </c>
      <c r="O16" s="103">
        <v>21.905000000000001</v>
      </c>
      <c r="Q16" s="114">
        <f>AVERAGE(E16:O16)</f>
        <v>21.904999999999998</v>
      </c>
      <c r="R16" s="114">
        <f>Q16*60</f>
        <v>1314.3</v>
      </c>
    </row>
    <row r="17" spans="2:18">
      <c r="B17" s="108"/>
      <c r="C17" s="108">
        <v>2000</v>
      </c>
      <c r="D17" s="109"/>
      <c r="E17" s="12">
        <v>42.825000000000003</v>
      </c>
      <c r="F17" s="12">
        <v>42.735999999999997</v>
      </c>
      <c r="G17" s="12">
        <v>42.795000000000002</v>
      </c>
      <c r="H17" s="12">
        <v>42.582999999999998</v>
      </c>
      <c r="I17" s="12">
        <v>42.826999999999998</v>
      </c>
      <c r="J17" s="12">
        <v>42.613</v>
      </c>
      <c r="K17" s="12">
        <v>42.844999999999999</v>
      </c>
      <c r="L17" s="12">
        <v>42.892000000000003</v>
      </c>
      <c r="M17" s="12">
        <v>42.81</v>
      </c>
      <c r="N17" s="12">
        <v>43.024999999999999</v>
      </c>
      <c r="O17" s="109">
        <v>42.795000000000002</v>
      </c>
      <c r="Q17" s="114">
        <f t="shared" ref="Q17:Q19" si="4">AVERAGE(E17:O17)</f>
        <v>42.795090909090909</v>
      </c>
      <c r="R17" s="114">
        <f t="shared" ref="R17:R19" si="5">Q17*60</f>
        <v>2567.7054545454544</v>
      </c>
    </row>
    <row r="18" spans="2:18">
      <c r="B18" s="108"/>
      <c r="C18" s="108">
        <v>2500</v>
      </c>
      <c r="D18" s="109"/>
      <c r="E18" s="12">
        <v>53.179000000000002</v>
      </c>
      <c r="F18" s="12">
        <v>53.506</v>
      </c>
      <c r="G18" s="12">
        <v>53.140999999999998</v>
      </c>
      <c r="H18" s="12">
        <v>53.207999999999998</v>
      </c>
      <c r="I18" s="12">
        <v>53.171999999999997</v>
      </c>
      <c r="J18" s="12">
        <v>53.319000000000003</v>
      </c>
      <c r="K18" s="12">
        <v>53.685000000000002</v>
      </c>
      <c r="L18" s="12">
        <v>53.753999999999998</v>
      </c>
      <c r="M18" s="12">
        <v>53.722999999999999</v>
      </c>
      <c r="N18" s="12">
        <v>53.972999999999999</v>
      </c>
      <c r="O18" s="109">
        <v>53.466000000000001</v>
      </c>
      <c r="Q18" s="114">
        <f t="shared" si="4"/>
        <v>53.466000000000008</v>
      </c>
      <c r="R18" s="114">
        <f t="shared" si="5"/>
        <v>3207.9600000000005</v>
      </c>
    </row>
    <row r="19" spans="2:18" ht="15.75" thickBot="1">
      <c r="B19" s="115"/>
      <c r="C19" s="115">
        <v>3000</v>
      </c>
      <c r="D19" s="116"/>
      <c r="E19" s="117">
        <v>63.747</v>
      </c>
      <c r="F19" s="117">
        <v>63.761000000000003</v>
      </c>
      <c r="G19" s="117">
        <v>63.823999999999998</v>
      </c>
      <c r="H19" s="117">
        <v>63.82</v>
      </c>
      <c r="I19" s="117">
        <v>63.768000000000001</v>
      </c>
      <c r="J19" s="117">
        <v>63.646000000000001</v>
      </c>
      <c r="K19" s="117">
        <v>63.704000000000001</v>
      </c>
      <c r="L19" s="117">
        <v>63.698</v>
      </c>
      <c r="M19" s="117">
        <v>63.732999999999997</v>
      </c>
      <c r="N19" s="117">
        <v>63.786000000000001</v>
      </c>
      <c r="O19" s="116">
        <v>63.756999999999998</v>
      </c>
      <c r="Q19" s="114">
        <f t="shared" si="4"/>
        <v>63.749454545454526</v>
      </c>
      <c r="R19" s="114">
        <f t="shared" si="5"/>
        <v>3824.9672727272714</v>
      </c>
    </row>
    <row r="20" spans="2:18" ht="15.75" thickBot="1">
      <c r="B20" s="108"/>
      <c r="C20" s="108"/>
      <c r="D20" s="109"/>
      <c r="O20" s="109"/>
    </row>
    <row r="21" spans="2:18">
      <c r="B21" s="112" t="s">
        <v>214</v>
      </c>
      <c r="C21" s="112">
        <v>1000</v>
      </c>
      <c r="D21" s="103"/>
      <c r="E21" s="113">
        <v>21.899000000000001</v>
      </c>
      <c r="F21" s="113">
        <v>21.867999999999999</v>
      </c>
      <c r="G21" s="113">
        <v>21.864000000000001</v>
      </c>
      <c r="H21" s="113">
        <v>21.89</v>
      </c>
      <c r="I21" s="113">
        <v>21.9</v>
      </c>
      <c r="J21" s="113">
        <v>21.899000000000001</v>
      </c>
      <c r="K21" s="113">
        <v>21.901</v>
      </c>
      <c r="L21" s="113">
        <v>21.940999999999999</v>
      </c>
      <c r="M21" s="113">
        <v>21.96</v>
      </c>
      <c r="N21" s="113">
        <v>21.960999999999999</v>
      </c>
      <c r="O21" s="103">
        <v>21.908000000000001</v>
      </c>
      <c r="Q21" s="114">
        <f>AVERAGE(E21:O21)</f>
        <v>21.908272727272731</v>
      </c>
      <c r="R21" s="114">
        <f>Q21*60</f>
        <v>1314.4963636363639</v>
      </c>
    </row>
    <row r="22" spans="2:18">
      <c r="B22" s="108"/>
      <c r="C22" s="108">
        <v>2000</v>
      </c>
      <c r="D22" s="109"/>
      <c r="E22" s="12">
        <v>42.932000000000002</v>
      </c>
      <c r="F22" s="12">
        <v>42.957999999999998</v>
      </c>
      <c r="G22" s="12">
        <v>42.933999999999997</v>
      </c>
      <c r="H22" s="12">
        <v>42.857999999999997</v>
      </c>
      <c r="I22" s="12">
        <v>43.018000000000001</v>
      </c>
      <c r="J22" s="12">
        <v>42.999000000000002</v>
      </c>
      <c r="K22" s="12">
        <v>42.97</v>
      </c>
      <c r="L22" s="12">
        <v>42.978999999999999</v>
      </c>
      <c r="M22" s="12">
        <v>42.936999999999998</v>
      </c>
      <c r="N22" s="12">
        <v>42.981999999999999</v>
      </c>
      <c r="O22" s="109">
        <v>42.956000000000003</v>
      </c>
      <c r="Q22" s="114">
        <f t="shared" ref="Q22:Q24" si="6">AVERAGE(E22:O22)</f>
        <v>42.956636363636363</v>
      </c>
      <c r="R22" s="114">
        <f t="shared" ref="R22:R24" si="7">Q22*60</f>
        <v>2577.3981818181819</v>
      </c>
    </row>
    <row r="23" spans="2:18">
      <c r="B23" s="108"/>
      <c r="C23" s="108">
        <v>2500</v>
      </c>
      <c r="D23" s="109"/>
      <c r="E23" s="12">
        <v>53.514000000000003</v>
      </c>
      <c r="F23" s="12">
        <v>53.645000000000003</v>
      </c>
      <c r="G23" s="12">
        <v>53.607999999999997</v>
      </c>
      <c r="H23" s="12">
        <v>54.466999999999999</v>
      </c>
      <c r="I23" s="12">
        <v>53.604999999999997</v>
      </c>
      <c r="J23" s="12">
        <v>53.628999999999998</v>
      </c>
      <c r="K23" s="12">
        <v>53.581000000000003</v>
      </c>
      <c r="L23" s="12">
        <v>53.618000000000002</v>
      </c>
      <c r="M23" s="12">
        <v>53.695</v>
      </c>
      <c r="N23" s="12">
        <v>53.48</v>
      </c>
      <c r="O23" s="109">
        <v>53.683999999999997</v>
      </c>
      <c r="Q23" s="114">
        <f t="shared" si="6"/>
        <v>53.684181818181813</v>
      </c>
      <c r="R23" s="114">
        <f t="shared" si="7"/>
        <v>3221.0509090909086</v>
      </c>
    </row>
    <row r="24" spans="2:18" ht="15.75" thickBot="1">
      <c r="B24" s="115"/>
      <c r="C24" s="115">
        <v>3000</v>
      </c>
      <c r="D24" s="116"/>
      <c r="E24" s="117">
        <v>64.25</v>
      </c>
      <c r="F24" s="117">
        <v>64.155000000000001</v>
      </c>
      <c r="G24" s="117">
        <v>64.23</v>
      </c>
      <c r="H24" s="117">
        <v>64.38</v>
      </c>
      <c r="I24" s="117">
        <v>64.28</v>
      </c>
      <c r="J24" s="117">
        <v>64.218999999999994</v>
      </c>
      <c r="K24" s="117">
        <v>64.247</v>
      </c>
      <c r="L24" s="117">
        <v>64.271000000000001</v>
      </c>
      <c r="M24" s="117">
        <v>64.168999999999997</v>
      </c>
      <c r="N24" s="117">
        <v>64.194000000000003</v>
      </c>
      <c r="O24" s="116">
        <v>64.239000000000004</v>
      </c>
      <c r="Q24" s="114">
        <f t="shared" si="6"/>
        <v>64.239454545454535</v>
      </c>
      <c r="R24" s="114">
        <f t="shared" si="7"/>
        <v>3854.3672727272719</v>
      </c>
    </row>
    <row r="25" spans="2:18" ht="15.75" thickBot="1"/>
    <row r="26" spans="2:18" ht="15.75" thickBot="1">
      <c r="B26" s="102" t="s">
        <v>215</v>
      </c>
      <c r="C26" s="113"/>
      <c r="D26" s="113"/>
      <c r="E26" s="118"/>
      <c r="F26" s="118"/>
      <c r="G26" s="118"/>
      <c r="H26" s="118"/>
      <c r="I26" s="118"/>
      <c r="J26" s="118"/>
      <c r="K26" s="118"/>
      <c r="L26" s="118"/>
      <c r="M26" s="118"/>
      <c r="N26" s="118"/>
      <c r="O26" s="119"/>
    </row>
    <row r="27" spans="2:18" ht="15.75" thickBot="1">
      <c r="B27" s="112"/>
      <c r="C27" s="112"/>
      <c r="D27" s="103"/>
      <c r="E27" s="120">
        <v>1</v>
      </c>
      <c r="F27" s="120">
        <v>2</v>
      </c>
      <c r="G27" s="120">
        <v>3</v>
      </c>
      <c r="H27" s="120">
        <v>4</v>
      </c>
      <c r="I27" s="120">
        <v>5</v>
      </c>
      <c r="J27" s="120">
        <v>6</v>
      </c>
      <c r="K27" s="120">
        <v>7</v>
      </c>
      <c r="L27" s="120">
        <v>8</v>
      </c>
      <c r="M27" s="120">
        <v>9</v>
      </c>
      <c r="N27" s="120">
        <v>10</v>
      </c>
      <c r="O27" s="121" t="s">
        <v>210</v>
      </c>
    </row>
    <row r="28" spans="2:18">
      <c r="B28" s="112" t="s">
        <v>216</v>
      </c>
      <c r="C28" s="112">
        <v>1000</v>
      </c>
      <c r="D28" s="103"/>
      <c r="E28" s="113">
        <v>21.765000000000001</v>
      </c>
      <c r="F28" s="113">
        <v>21.759</v>
      </c>
      <c r="G28" s="113">
        <v>21.753</v>
      </c>
      <c r="H28" s="113">
        <v>21.684999999999999</v>
      </c>
      <c r="I28" s="113">
        <v>21.741</v>
      </c>
      <c r="J28" s="113">
        <v>21.728000000000002</v>
      </c>
      <c r="K28" s="113">
        <v>21.738</v>
      </c>
      <c r="L28" s="113">
        <v>21.745999999999999</v>
      </c>
      <c r="M28" s="113">
        <v>21.766999999999999</v>
      </c>
      <c r="N28" s="113">
        <v>21.748000000000001</v>
      </c>
      <c r="O28" s="103">
        <v>21.742999999999999</v>
      </c>
      <c r="Q28" s="114">
        <f>AVERAGE(E28:O28)</f>
        <v>21.742999999999999</v>
      </c>
      <c r="R28" s="114">
        <f>Q28*60</f>
        <v>1304.58</v>
      </c>
    </row>
    <row r="29" spans="2:18">
      <c r="B29" s="108"/>
      <c r="C29" s="108">
        <v>2000</v>
      </c>
      <c r="D29" s="109"/>
      <c r="E29" s="12">
        <v>42.655000000000001</v>
      </c>
      <c r="F29" s="12">
        <v>42.656999999999996</v>
      </c>
      <c r="G29" s="12">
        <v>42.658000000000001</v>
      </c>
      <c r="H29" s="12">
        <v>42.683</v>
      </c>
      <c r="I29" s="12">
        <v>42.662999999999997</v>
      </c>
      <c r="J29" s="12">
        <v>42.521999999999998</v>
      </c>
      <c r="K29" s="12">
        <v>42.57</v>
      </c>
      <c r="L29" s="12">
        <v>42.710999999999999</v>
      </c>
      <c r="M29" s="12">
        <v>42.616</v>
      </c>
      <c r="N29" s="12">
        <v>42.594999999999999</v>
      </c>
      <c r="O29" s="109">
        <v>42.633000000000003</v>
      </c>
      <c r="Q29" s="114">
        <f t="shared" ref="Q29:Q31" si="8">AVERAGE(E29:O29)</f>
        <v>42.632999999999988</v>
      </c>
      <c r="R29" s="114">
        <f t="shared" ref="R29:R31" si="9">Q29*60</f>
        <v>2557.9799999999991</v>
      </c>
    </row>
    <row r="30" spans="2:18">
      <c r="B30" s="108"/>
      <c r="C30" s="108">
        <v>2500</v>
      </c>
      <c r="D30" s="109"/>
      <c r="E30" s="12">
        <v>53.985999999999997</v>
      </c>
      <c r="F30" s="12">
        <v>52.994</v>
      </c>
      <c r="G30" s="12">
        <v>53.064999999999998</v>
      </c>
      <c r="H30" s="12">
        <v>53</v>
      </c>
      <c r="I30" s="12">
        <v>52.942999999999998</v>
      </c>
      <c r="J30" s="12">
        <v>52.957999999999998</v>
      </c>
      <c r="K30" s="12">
        <v>53.015000000000001</v>
      </c>
      <c r="L30" s="12">
        <v>53.058</v>
      </c>
      <c r="M30" s="12">
        <v>53.036000000000001</v>
      </c>
      <c r="N30" s="12">
        <v>53.031999999999996</v>
      </c>
      <c r="O30" s="109">
        <v>53.107999999999997</v>
      </c>
      <c r="Q30" s="114">
        <f t="shared" si="8"/>
        <v>53.108636363636357</v>
      </c>
      <c r="R30" s="114">
        <f t="shared" si="9"/>
        <v>3186.5181818181813</v>
      </c>
    </row>
    <row r="31" spans="2:18" ht="15.75" thickBot="1">
      <c r="B31" s="115"/>
      <c r="C31" s="115">
        <v>3000</v>
      </c>
      <c r="D31" s="116"/>
      <c r="E31" s="117">
        <v>63.475000000000001</v>
      </c>
      <c r="F31" s="117">
        <v>63.392000000000003</v>
      </c>
      <c r="G31" s="117">
        <v>63.344000000000001</v>
      </c>
      <c r="H31" s="117">
        <v>63.363999999999997</v>
      </c>
      <c r="I31" s="117">
        <v>63.356000000000002</v>
      </c>
      <c r="J31" s="117">
        <v>63.392000000000003</v>
      </c>
      <c r="K31" s="117">
        <v>63.374000000000002</v>
      </c>
      <c r="L31" s="117">
        <v>63.552999999999997</v>
      </c>
      <c r="M31" s="117">
        <v>63.771000000000001</v>
      </c>
      <c r="N31" s="117">
        <v>63.694000000000003</v>
      </c>
      <c r="O31" s="116">
        <v>63.470999999999997</v>
      </c>
      <c r="Q31" s="114">
        <f t="shared" si="8"/>
        <v>63.471454545454549</v>
      </c>
      <c r="R31" s="114">
        <f t="shared" si="9"/>
        <v>3808.2872727272729</v>
      </c>
    </row>
    <row r="32" spans="2:18" ht="15.75" thickBot="1">
      <c r="B32" s="108"/>
      <c r="C32" s="108"/>
      <c r="D32" s="109"/>
      <c r="O32" s="109"/>
    </row>
    <row r="33" spans="2:36">
      <c r="B33" s="112" t="s">
        <v>217</v>
      </c>
      <c r="C33" s="112">
        <v>1000</v>
      </c>
      <c r="D33" s="103"/>
      <c r="E33" s="113">
        <v>21.353000000000002</v>
      </c>
      <c r="F33" s="113">
        <v>21.350999999999999</v>
      </c>
      <c r="G33" s="113">
        <v>21.382999999999999</v>
      </c>
      <c r="H33" s="113">
        <v>21.350999999999999</v>
      </c>
      <c r="I33" s="113">
        <v>21.358000000000001</v>
      </c>
      <c r="J33" s="113">
        <v>21.36</v>
      </c>
      <c r="K33" s="113">
        <v>21.393000000000001</v>
      </c>
      <c r="L33" s="113">
        <v>21.411999999999999</v>
      </c>
      <c r="M33" s="113">
        <v>21.355</v>
      </c>
      <c r="N33" s="113">
        <v>21.4</v>
      </c>
      <c r="O33" s="103">
        <v>21.370999999999999</v>
      </c>
      <c r="Q33" s="114">
        <f>AVERAGE(E33:O33)</f>
        <v>21.371545454545455</v>
      </c>
      <c r="R33" s="114">
        <f>Q33*60</f>
        <v>1282.2927272727272</v>
      </c>
    </row>
    <row r="34" spans="2:36">
      <c r="B34" s="108"/>
      <c r="C34" s="108">
        <v>2000</v>
      </c>
      <c r="D34" s="109"/>
      <c r="E34" s="12">
        <v>42.442</v>
      </c>
      <c r="F34" s="12">
        <v>42.356999999999999</v>
      </c>
      <c r="G34" s="12">
        <v>42.305999999999997</v>
      </c>
      <c r="H34" s="12">
        <v>42.328000000000003</v>
      </c>
      <c r="I34" s="12">
        <v>42.353000000000002</v>
      </c>
      <c r="J34" s="12">
        <v>42.289000000000001</v>
      </c>
      <c r="K34" s="12">
        <v>42.334000000000003</v>
      </c>
      <c r="L34" s="12">
        <v>42.298000000000002</v>
      </c>
      <c r="M34" s="12">
        <v>42.295999999999999</v>
      </c>
      <c r="N34" s="12">
        <v>41.454000000000001</v>
      </c>
      <c r="O34" s="109">
        <v>42.244999999999997</v>
      </c>
      <c r="Q34" s="114">
        <f t="shared" ref="Q34:Q36" si="10">AVERAGE(E34:O34)</f>
        <v>42.245636363636365</v>
      </c>
      <c r="R34" s="114">
        <f t="shared" ref="R34:R36" si="11">Q34*60</f>
        <v>2534.7381818181821</v>
      </c>
    </row>
    <row r="35" spans="2:36">
      <c r="B35" s="108"/>
      <c r="C35" s="108">
        <v>2500</v>
      </c>
      <c r="D35" s="109"/>
      <c r="E35" s="12">
        <v>52.819000000000003</v>
      </c>
      <c r="F35" s="12">
        <v>52.865000000000002</v>
      </c>
      <c r="G35" s="12">
        <v>52.796999999999997</v>
      </c>
      <c r="H35" s="12">
        <v>52.773000000000003</v>
      </c>
      <c r="I35" s="12">
        <v>52.750999999999998</v>
      </c>
      <c r="J35" s="12">
        <v>52.848999999999997</v>
      </c>
      <c r="K35" s="12">
        <v>52.939</v>
      </c>
      <c r="L35" s="12">
        <v>52.728000000000002</v>
      </c>
      <c r="M35" s="12">
        <v>52.718000000000004</v>
      </c>
      <c r="N35" s="12">
        <v>52.715000000000003</v>
      </c>
      <c r="O35" s="109">
        <v>52.795999999999999</v>
      </c>
      <c r="Q35" s="114">
        <f t="shared" si="10"/>
        <v>52.795454545454554</v>
      </c>
      <c r="R35" s="114">
        <f t="shared" si="11"/>
        <v>3167.7272727272734</v>
      </c>
    </row>
    <row r="36" spans="2:36" ht="15.75" thickBot="1">
      <c r="B36" s="115"/>
      <c r="C36" s="115">
        <v>3000</v>
      </c>
      <c r="D36" s="116"/>
      <c r="E36" s="117">
        <v>63.011000000000003</v>
      </c>
      <c r="F36" s="117">
        <v>63.031999999999996</v>
      </c>
      <c r="G36" s="117">
        <v>62.999000000000002</v>
      </c>
      <c r="H36" s="117">
        <v>63.012</v>
      </c>
      <c r="I36" s="117">
        <v>63.104999999999997</v>
      </c>
      <c r="J36" s="117">
        <v>63.118000000000002</v>
      </c>
      <c r="K36" s="117">
        <v>63.112000000000002</v>
      </c>
      <c r="L36" s="117">
        <v>63.146000000000001</v>
      </c>
      <c r="M36" s="117">
        <v>63.046999999999997</v>
      </c>
      <c r="N36" s="117">
        <v>62.969000000000001</v>
      </c>
      <c r="O36" s="116">
        <v>63.055</v>
      </c>
      <c r="Q36" s="114">
        <f t="shared" si="10"/>
        <v>63.055090909090907</v>
      </c>
      <c r="R36" s="114">
        <f t="shared" si="11"/>
        <v>3783.3054545454543</v>
      </c>
    </row>
    <row r="37" spans="2:36" ht="15.75" thickBot="1">
      <c r="B37" s="108"/>
      <c r="C37" s="108"/>
      <c r="D37" s="109"/>
      <c r="O37" s="109"/>
      <c r="Y37" s="12">
        <f>2000*1.2525+52.826</f>
        <v>2557.826</v>
      </c>
    </row>
    <row r="38" spans="2:36">
      <c r="B38" s="112" t="s">
        <v>218</v>
      </c>
      <c r="C38" s="112">
        <v>1000</v>
      </c>
      <c r="D38" s="103"/>
      <c r="E38" s="113">
        <v>21.498999999999999</v>
      </c>
      <c r="F38" s="113">
        <v>21.523</v>
      </c>
      <c r="G38" s="113">
        <v>21.523</v>
      </c>
      <c r="H38" s="113">
        <v>21.53</v>
      </c>
      <c r="I38" s="113">
        <v>21.524000000000001</v>
      </c>
      <c r="J38" s="113">
        <v>21.536999999999999</v>
      </c>
      <c r="K38" s="113">
        <v>21.521000000000001</v>
      </c>
      <c r="L38" s="113">
        <v>21.536000000000001</v>
      </c>
      <c r="M38" s="113">
        <v>21.545000000000002</v>
      </c>
      <c r="N38" s="113">
        <v>21.533999999999999</v>
      </c>
      <c r="O38" s="103">
        <v>21.527000000000001</v>
      </c>
      <c r="Q38" s="114">
        <f>AVERAGE(E38:O38)</f>
        <v>21.527181818181816</v>
      </c>
      <c r="R38" s="114">
        <f>Q38*60</f>
        <v>1291.630909090909</v>
      </c>
    </row>
    <row r="39" spans="2:36">
      <c r="B39" s="108"/>
      <c r="C39" s="108">
        <v>2000</v>
      </c>
      <c r="D39" s="109"/>
      <c r="E39" s="12">
        <v>42.436999999999998</v>
      </c>
      <c r="F39" s="12">
        <v>42.424999999999997</v>
      </c>
      <c r="G39" s="12">
        <v>42.4</v>
      </c>
      <c r="H39" s="12">
        <v>42.337000000000003</v>
      </c>
      <c r="I39" s="12">
        <v>42.396999999999998</v>
      </c>
      <c r="J39" s="12">
        <v>42.396000000000001</v>
      </c>
      <c r="K39" s="12">
        <v>42.381999999999998</v>
      </c>
      <c r="L39" s="12">
        <v>42.491999999999997</v>
      </c>
      <c r="M39" s="12">
        <v>42.436</v>
      </c>
      <c r="N39" s="12">
        <v>42.44</v>
      </c>
      <c r="O39" s="109">
        <v>42.414000000000001</v>
      </c>
      <c r="Q39" s="114">
        <f t="shared" ref="Q39:Q41" si="12">AVERAGE(E39:O39)</f>
        <v>42.414181818181817</v>
      </c>
      <c r="R39" s="114">
        <f t="shared" ref="R39:R41" si="13">Q39*60</f>
        <v>2544.8509090909092</v>
      </c>
    </row>
    <row r="40" spans="2:36">
      <c r="B40" s="108"/>
      <c r="C40" s="108">
        <v>2500</v>
      </c>
      <c r="D40" s="109"/>
      <c r="E40" s="12">
        <v>52.86</v>
      </c>
      <c r="F40" s="12">
        <v>52.780999999999999</v>
      </c>
      <c r="G40" s="12">
        <v>52.828000000000003</v>
      </c>
      <c r="H40" s="12">
        <v>52.838000000000001</v>
      </c>
      <c r="I40" s="12">
        <v>52.784999999999997</v>
      </c>
      <c r="J40" s="12">
        <v>52.805</v>
      </c>
      <c r="K40" s="12">
        <v>52.872999999999998</v>
      </c>
      <c r="L40" s="12">
        <v>52.82</v>
      </c>
      <c r="M40" s="12">
        <v>52.835000000000001</v>
      </c>
      <c r="N40" s="12">
        <v>52.826000000000001</v>
      </c>
      <c r="O40" s="109">
        <v>52.825000000000003</v>
      </c>
      <c r="Q40" s="114">
        <f t="shared" si="12"/>
        <v>52.82509090909091</v>
      </c>
      <c r="R40" s="114">
        <f t="shared" si="13"/>
        <v>3169.5054545454545</v>
      </c>
    </row>
    <row r="41" spans="2:36" ht="15.75" thickBot="1">
      <c r="B41" s="115"/>
      <c r="C41" s="115">
        <v>3000</v>
      </c>
      <c r="D41" s="116"/>
      <c r="E41" s="117">
        <v>63.281999999999996</v>
      </c>
      <c r="F41" s="117">
        <v>63.26</v>
      </c>
      <c r="G41" s="117">
        <v>63.314</v>
      </c>
      <c r="H41" s="117">
        <v>63.320999999999998</v>
      </c>
      <c r="I41" s="117">
        <v>63.308999999999997</v>
      </c>
      <c r="J41" s="117">
        <v>63.359000000000002</v>
      </c>
      <c r="K41" s="117">
        <v>63.356999999999999</v>
      </c>
      <c r="L41" s="117">
        <v>63.366</v>
      </c>
      <c r="M41" s="117">
        <v>63.384</v>
      </c>
      <c r="N41" s="117">
        <v>63.386000000000003</v>
      </c>
      <c r="O41" s="116">
        <v>63.332999999999998</v>
      </c>
      <c r="Q41" s="114">
        <f t="shared" si="12"/>
        <v>63.333727272727266</v>
      </c>
      <c r="R41" s="114">
        <f t="shared" si="13"/>
        <v>3800.0236363636359</v>
      </c>
    </row>
    <row r="42" spans="2:36" ht="15.75" thickBot="1">
      <c r="B42" s="108"/>
      <c r="C42" s="108"/>
      <c r="D42" s="109"/>
      <c r="O42" s="109"/>
    </row>
    <row r="43" spans="2:36">
      <c r="B43" s="112" t="s">
        <v>219</v>
      </c>
      <c r="C43" s="112">
        <v>1000</v>
      </c>
      <c r="D43" s="103"/>
      <c r="E43" s="113">
        <v>21.096</v>
      </c>
      <c r="F43" s="113">
        <v>21.064</v>
      </c>
      <c r="G43" s="113">
        <v>21.068999999999999</v>
      </c>
      <c r="H43" s="113">
        <v>21.096</v>
      </c>
      <c r="I43" s="113">
        <v>21.096</v>
      </c>
      <c r="J43" s="113">
        <v>21.102</v>
      </c>
      <c r="K43" s="113">
        <v>21.093</v>
      </c>
      <c r="L43" s="113">
        <v>21.117000000000001</v>
      </c>
      <c r="M43" s="113">
        <v>21.087</v>
      </c>
      <c r="N43" s="113">
        <v>21.128</v>
      </c>
      <c r="O43" s="103">
        <v>21.094000000000001</v>
      </c>
      <c r="Q43" s="114">
        <f>AVERAGE(E43:O43)</f>
        <v>21.094727272727269</v>
      </c>
      <c r="R43" s="114">
        <f>Q43*60</f>
        <v>1265.6836363636362</v>
      </c>
    </row>
    <row r="44" spans="2:36">
      <c r="B44" s="108"/>
      <c r="C44" s="108">
        <v>2000</v>
      </c>
      <c r="D44" s="109"/>
      <c r="E44" s="12">
        <v>42.01</v>
      </c>
      <c r="F44" s="12">
        <v>42.005000000000003</v>
      </c>
      <c r="G44" s="12">
        <v>41.982999999999997</v>
      </c>
      <c r="H44" s="12">
        <v>41.994999999999997</v>
      </c>
      <c r="I44" s="12">
        <v>42.042000000000002</v>
      </c>
      <c r="J44" s="12">
        <v>42.03</v>
      </c>
      <c r="K44" s="12">
        <v>42.018999999999998</v>
      </c>
      <c r="L44" s="12">
        <v>42.034100000000002</v>
      </c>
      <c r="M44" s="12">
        <v>42.073999999999998</v>
      </c>
      <c r="N44" s="12">
        <v>42.070999999999998</v>
      </c>
      <c r="O44" s="109">
        <v>42.026000000000003</v>
      </c>
      <c r="Q44" s="114">
        <f t="shared" ref="Q44:Q46" si="14">AVERAGE(E44:O44)</f>
        <v>42.026281818181822</v>
      </c>
      <c r="R44" s="114">
        <f t="shared" ref="R44:R46" si="15">Q44*60</f>
        <v>2521.5769090909093</v>
      </c>
    </row>
    <row r="45" spans="2:36">
      <c r="B45" s="108"/>
      <c r="C45" s="108">
        <v>2500</v>
      </c>
      <c r="D45" s="109"/>
      <c r="E45" s="12">
        <v>52.534999999999997</v>
      </c>
      <c r="F45" s="12">
        <v>52.475999999999999</v>
      </c>
      <c r="G45" s="12">
        <v>52.476999999999997</v>
      </c>
      <c r="H45" s="12">
        <v>52.472999999999999</v>
      </c>
      <c r="I45" s="12">
        <v>52.457999999999998</v>
      </c>
      <c r="J45" s="12">
        <v>52.45</v>
      </c>
      <c r="K45" s="12">
        <v>52.465000000000003</v>
      </c>
      <c r="L45" s="12">
        <v>52.433999999999997</v>
      </c>
      <c r="M45" s="12">
        <v>52.472000000000001</v>
      </c>
      <c r="N45" s="12">
        <v>52.493000000000002</v>
      </c>
      <c r="O45" s="109">
        <v>52.472999999999999</v>
      </c>
      <c r="Q45" s="114">
        <f t="shared" si="14"/>
        <v>52.473272727272722</v>
      </c>
      <c r="R45" s="114">
        <f t="shared" si="15"/>
        <v>3148.3963636363633</v>
      </c>
      <c r="AJ45" s="12">
        <f>1.2521*2000+31.401</f>
        <v>2535.6009999999997</v>
      </c>
    </row>
    <row r="46" spans="2:36" ht="15.75" thickBot="1">
      <c r="B46" s="115"/>
      <c r="C46" s="115">
        <v>3000</v>
      </c>
      <c r="D46" s="116"/>
      <c r="E46" s="117">
        <v>62.936999999999998</v>
      </c>
      <c r="F46" s="117">
        <v>62.973999999999997</v>
      </c>
      <c r="G46" s="117">
        <v>62.97</v>
      </c>
      <c r="H46" s="117">
        <v>62.985999999999997</v>
      </c>
      <c r="I46" s="117">
        <v>62.972999999999999</v>
      </c>
      <c r="J46" s="117">
        <v>62.970999999999997</v>
      </c>
      <c r="K46" s="117">
        <v>62.962000000000003</v>
      </c>
      <c r="L46" s="117">
        <v>62.947000000000003</v>
      </c>
      <c r="M46" s="117">
        <v>62.938000000000002</v>
      </c>
      <c r="N46" s="117">
        <v>62.969000000000001</v>
      </c>
      <c r="O46" s="116">
        <v>62.962000000000003</v>
      </c>
      <c r="Q46" s="114">
        <f t="shared" si="14"/>
        <v>62.962636363636371</v>
      </c>
      <c r="R46" s="114">
        <f t="shared" si="15"/>
        <v>3777.758181818182</v>
      </c>
    </row>
  </sheetData>
  <mergeCells count="1">
    <mergeCell ref="E3:O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57C84-44B1-4FB2-8E37-2ADB53B2974D}">
  <sheetPr codeName="Sheet1"/>
  <dimension ref="A1:Q32"/>
  <sheetViews>
    <sheetView zoomScale="90" zoomScaleNormal="90" workbookViewId="0">
      <selection activeCell="I24" sqref="I24"/>
    </sheetView>
  </sheetViews>
  <sheetFormatPr defaultColWidth="9.140625" defaultRowHeight="15"/>
  <cols>
    <col min="1" max="5" width="9.140625" style="12"/>
    <col min="6" max="6" width="26.85546875" style="15" customWidth="1"/>
    <col min="7" max="7" width="30.85546875" style="15" customWidth="1"/>
    <col min="8" max="8" width="9.28515625" style="15" bestFit="1" customWidth="1"/>
    <col min="9" max="9" width="10" style="15" bestFit="1" customWidth="1"/>
    <col min="10" max="10" width="21.7109375" style="15" customWidth="1"/>
    <col min="11" max="11" width="27.5703125" style="15" bestFit="1" customWidth="1"/>
    <col min="12" max="12" width="25.28515625" style="15" bestFit="1" customWidth="1"/>
    <col min="13" max="13" width="13.5703125" style="15" bestFit="1" customWidth="1"/>
    <col min="14" max="14" width="9.140625" style="12"/>
    <col min="15" max="15" width="14.7109375" style="12" bestFit="1" customWidth="1"/>
    <col min="16" max="16" width="14.28515625" style="12" bestFit="1" customWidth="1"/>
    <col min="17" max="17" width="13.7109375" style="12" bestFit="1" customWidth="1"/>
    <col min="18" max="16384" width="9.140625" style="12"/>
  </cols>
  <sheetData>
    <row r="1" spans="1:17">
      <c r="F1" s="339"/>
      <c r="G1" s="339"/>
      <c r="H1" s="339"/>
      <c r="I1" s="339"/>
      <c r="J1" s="339"/>
      <c r="K1" s="339"/>
      <c r="L1" s="339"/>
      <c r="M1" s="339"/>
    </row>
    <row r="2" spans="1:17">
      <c r="A2" s="12">
        <v>0</v>
      </c>
      <c r="H2" s="15" t="s">
        <v>220</v>
      </c>
      <c r="K2" s="15" t="s">
        <v>221</v>
      </c>
    </row>
    <row r="3" spans="1:17" ht="30">
      <c r="F3" s="30" t="s">
        <v>222</v>
      </c>
      <c r="G3" s="29" t="s">
        <v>223</v>
      </c>
      <c r="H3" s="29" t="s">
        <v>224</v>
      </c>
      <c r="I3" s="29" t="s">
        <v>225</v>
      </c>
      <c r="J3" s="29" t="s">
        <v>226</v>
      </c>
      <c r="K3" s="29" t="s">
        <v>224</v>
      </c>
      <c r="L3" s="29" t="s">
        <v>225</v>
      </c>
      <c r="M3" s="28" t="s">
        <v>226</v>
      </c>
    </row>
    <row r="4" spans="1:17">
      <c r="F4" s="27" t="s">
        <v>227</v>
      </c>
      <c r="G4" s="26" t="s">
        <v>228</v>
      </c>
      <c r="H4" s="26">
        <v>80.23</v>
      </c>
      <c r="I4" s="23">
        <v>442000000</v>
      </c>
      <c r="J4" s="281">
        <v>1.8131700000000001E-7</v>
      </c>
      <c r="K4" s="15">
        <v>19.77</v>
      </c>
      <c r="L4" s="26">
        <v>4556250</v>
      </c>
      <c r="M4" s="25">
        <v>4.3390999999999997E-6</v>
      </c>
      <c r="P4" s="281">
        <v>1.8131700000000001E-7</v>
      </c>
      <c r="Q4" s="12">
        <f>1.63/10000000</f>
        <v>1.6299999999999999E-7</v>
      </c>
    </row>
    <row r="5" spans="1:17">
      <c r="F5" s="24" t="s">
        <v>229</v>
      </c>
      <c r="G5" s="22" t="s">
        <v>230</v>
      </c>
      <c r="H5" s="22">
        <v>60.13</v>
      </c>
      <c r="I5" s="23">
        <v>334000000</v>
      </c>
      <c r="J5" s="281">
        <v>1.8009099999999999E-7</v>
      </c>
      <c r="K5" s="22">
        <v>39.869999999999997</v>
      </c>
      <c r="L5" s="22">
        <v>9023977</v>
      </c>
      <c r="M5" s="21">
        <v>4.4182299999999999E-6</v>
      </c>
      <c r="P5" s="281">
        <v>1.8009099999999999E-7</v>
      </c>
      <c r="Q5" s="12">
        <f>1.74/1000000</f>
        <v>1.7400000000000001E-6</v>
      </c>
    </row>
    <row r="6" spans="1:17">
      <c r="F6" s="24" t="s">
        <v>231</v>
      </c>
      <c r="G6" s="22" t="s">
        <v>232</v>
      </c>
      <c r="H6" s="22">
        <v>40.24</v>
      </c>
      <c r="I6" s="23">
        <v>229000000</v>
      </c>
      <c r="J6" s="281">
        <v>1.7604899999999999E-7</v>
      </c>
      <c r="K6" s="22">
        <v>59.76</v>
      </c>
      <c r="L6" s="22">
        <v>13285364</v>
      </c>
      <c r="M6" s="21">
        <v>4.4981799999999999E-6</v>
      </c>
      <c r="P6" s="281">
        <v>1.7604899999999999E-7</v>
      </c>
      <c r="Q6" s="12">
        <f>1.79/1000000</f>
        <v>1.79E-6</v>
      </c>
    </row>
    <row r="7" spans="1:17">
      <c r="F7" s="24" t="s">
        <v>233</v>
      </c>
      <c r="G7" s="22" t="s">
        <v>234</v>
      </c>
      <c r="H7" s="22">
        <v>20.43</v>
      </c>
      <c r="I7" s="23">
        <v>125000000</v>
      </c>
      <c r="J7" s="281">
        <v>1.6383899999999999E-7</v>
      </c>
      <c r="K7" s="22">
        <v>79.569999999999993</v>
      </c>
      <c r="L7" s="22">
        <v>17515766</v>
      </c>
      <c r="M7" s="21">
        <v>4.5427599999999997E-6</v>
      </c>
    </row>
    <row r="8" spans="1:17">
      <c r="F8" s="20"/>
      <c r="G8" s="19"/>
      <c r="H8" s="19"/>
      <c r="I8" s="19"/>
      <c r="J8" s="282">
        <v>1.7532399999999999E-7</v>
      </c>
      <c r="K8" s="19"/>
      <c r="L8" s="19"/>
      <c r="M8" s="18">
        <v>4.4495700000000002E-6</v>
      </c>
    </row>
    <row r="11" spans="1:17">
      <c r="L11" s="12"/>
      <c r="M11" s="12"/>
    </row>
    <row r="12" spans="1:17">
      <c r="L12" s="12"/>
      <c r="M12" s="12"/>
    </row>
    <row r="13" spans="1:17">
      <c r="L13"/>
    </row>
    <row r="14" spans="1:17">
      <c r="J14" s="16" t="s">
        <v>235</v>
      </c>
      <c r="K14" s="10">
        <f>-0.0000000000244761948*K15^2 + 0.00000000584415609*K15 + 0.00000423201041</f>
        <v>4.3391030538799999E-6</v>
      </c>
      <c r="L14" s="15" t="s">
        <v>236</v>
      </c>
    </row>
    <row r="15" spans="1:17">
      <c r="J15" s="16" t="s">
        <v>221</v>
      </c>
      <c r="K15" s="33">
        <v>20</v>
      </c>
    </row>
    <row r="28" spans="3:12" s="15" customFormat="1">
      <c r="C28" s="12"/>
      <c r="D28" s="12"/>
      <c r="E28" s="12"/>
      <c r="J28" s="16" t="s">
        <v>235</v>
      </c>
      <c r="K28" s="11">
        <f>1.07154555E-13*K29^3 - 0.0000000000231369299*K29^2 + 0.00000000170314458*K29 + 0.000000137948036</f>
        <v>1.6361339208E-7</v>
      </c>
      <c r="L28" s="15" t="s">
        <v>236</v>
      </c>
    </row>
    <row r="29" spans="3:12" s="15" customFormat="1">
      <c r="C29" s="12"/>
      <c r="D29" s="12"/>
      <c r="E29" s="12"/>
      <c r="J29" s="17" t="s">
        <v>220</v>
      </c>
      <c r="K29" s="16">
        <v>20</v>
      </c>
    </row>
    <row r="32" spans="3:12" s="15" customFormat="1">
      <c r="C32" s="12"/>
      <c r="D32" s="12"/>
      <c r="E32" s="12"/>
    </row>
  </sheetData>
  <mergeCells count="1">
    <mergeCell ref="F1:M1"/>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FC7A2-72ED-4070-AECF-163F284C6EB5}">
  <sheetPr codeName="Sheet2"/>
  <dimension ref="B3:C6"/>
  <sheetViews>
    <sheetView workbookViewId="0">
      <selection activeCell="Q52" sqref="Q52"/>
    </sheetView>
  </sheetViews>
  <sheetFormatPr defaultColWidth="8.7109375" defaultRowHeight="14.25"/>
  <cols>
    <col min="1" max="2" width="8.7109375" style="13"/>
    <col min="3" max="3" width="14.28515625" style="13" bestFit="1" customWidth="1"/>
    <col min="4" max="16384" width="8.7109375" style="13"/>
  </cols>
  <sheetData>
    <row r="3" spans="2:3">
      <c r="B3" s="13" t="s">
        <v>237</v>
      </c>
      <c r="C3" s="14">
        <v>4.5427599999999997E-6</v>
      </c>
    </row>
    <row r="4" spans="2:3">
      <c r="B4" s="13" t="s">
        <v>238</v>
      </c>
      <c r="C4" s="14">
        <v>1.7580900000000001E-7</v>
      </c>
    </row>
    <row r="6" spans="2:3">
      <c r="C6" s="14"/>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47CD7-6734-4A15-BCF2-6A214FFB29A3}">
  <sheetPr codeName="Sheet3"/>
  <dimension ref="D5:L28"/>
  <sheetViews>
    <sheetView workbookViewId="0">
      <selection activeCell="U23" sqref="U23"/>
    </sheetView>
  </sheetViews>
  <sheetFormatPr defaultRowHeight="15"/>
  <cols>
    <col min="6" max="6" width="11.140625" bestFit="1" customWidth="1"/>
    <col min="7" max="7" width="11" bestFit="1" customWidth="1"/>
    <col min="8" max="8" width="13.140625" bestFit="1" customWidth="1"/>
    <col min="9" max="9" width="8" bestFit="1" customWidth="1"/>
    <col min="10" max="10" width="12.28515625" bestFit="1" customWidth="1"/>
    <col min="11" max="11" width="15.85546875" bestFit="1" customWidth="1"/>
  </cols>
  <sheetData>
    <row r="5" spans="4:12">
      <c r="D5" s="49" t="s">
        <v>196</v>
      </c>
    </row>
    <row r="6" spans="4:12">
      <c r="D6" t="s">
        <v>239</v>
      </c>
    </row>
    <row r="8" spans="4:12">
      <c r="D8" s="329" t="s">
        <v>148</v>
      </c>
      <c r="E8" s="329"/>
      <c r="F8" s="329"/>
      <c r="G8" s="329"/>
      <c r="H8" s="329"/>
      <c r="I8" s="329"/>
      <c r="J8" s="329"/>
      <c r="K8" s="329"/>
      <c r="L8" s="329"/>
    </row>
    <row r="9" spans="4:12">
      <c r="D9" s="41" t="s">
        <v>153</v>
      </c>
      <c r="E9" s="41" t="s">
        <v>154</v>
      </c>
      <c r="F9" s="41" t="s">
        <v>155</v>
      </c>
      <c r="G9" s="41" t="s">
        <v>156</v>
      </c>
      <c r="H9" s="41" t="s">
        <v>157</v>
      </c>
      <c r="I9" s="41" t="s">
        <v>158</v>
      </c>
      <c r="J9" s="41" t="s">
        <v>159</v>
      </c>
      <c r="K9" s="41" t="s">
        <v>160</v>
      </c>
      <c r="L9" s="42" t="s">
        <v>161</v>
      </c>
    </row>
    <row r="10" spans="4:12">
      <c r="D10" s="43">
        <v>1</v>
      </c>
      <c r="E10" s="43" t="s">
        <v>112</v>
      </c>
      <c r="F10" s="43" t="s">
        <v>112</v>
      </c>
      <c r="G10" s="43" t="s">
        <v>112</v>
      </c>
      <c r="H10" s="43" t="s">
        <v>112</v>
      </c>
      <c r="I10" s="43" t="s">
        <v>112</v>
      </c>
      <c r="J10" s="43" t="s">
        <v>112</v>
      </c>
      <c r="K10" s="43" t="s">
        <v>112</v>
      </c>
      <c r="L10" s="44">
        <v>0</v>
      </c>
    </row>
    <row r="11" spans="4:12">
      <c r="D11" s="43">
        <v>2</v>
      </c>
      <c r="E11" s="43" t="s">
        <v>112</v>
      </c>
      <c r="F11" s="43" t="s">
        <v>112</v>
      </c>
      <c r="G11" s="43" t="s">
        <v>112</v>
      </c>
      <c r="H11" s="43" t="s">
        <v>112</v>
      </c>
      <c r="I11" s="43" t="s">
        <v>112</v>
      </c>
      <c r="J11" s="43" t="s">
        <v>112</v>
      </c>
      <c r="K11" s="43" t="s">
        <v>112</v>
      </c>
      <c r="L11" s="44">
        <v>0</v>
      </c>
    </row>
    <row r="12" spans="4:12">
      <c r="D12" s="43">
        <v>3</v>
      </c>
      <c r="E12" s="43" t="s">
        <v>112</v>
      </c>
      <c r="F12" s="43" t="s">
        <v>112</v>
      </c>
      <c r="G12" s="43" t="s">
        <v>112</v>
      </c>
      <c r="H12" s="43" t="s">
        <v>112</v>
      </c>
      <c r="I12" s="43" t="s">
        <v>112</v>
      </c>
      <c r="J12" s="43" t="s">
        <v>112</v>
      </c>
      <c r="K12" s="43" t="s">
        <v>112</v>
      </c>
      <c r="L12" s="44">
        <v>0</v>
      </c>
    </row>
    <row r="13" spans="4:12">
      <c r="D13" s="43">
        <v>4</v>
      </c>
      <c r="E13" s="45">
        <v>2.0122690000000001E-3</v>
      </c>
      <c r="F13" s="45">
        <v>4.9738799999999998E-4</v>
      </c>
      <c r="G13" s="45" t="s">
        <v>112</v>
      </c>
      <c r="H13" s="45" t="s">
        <v>112</v>
      </c>
      <c r="I13" s="45" t="s">
        <v>112</v>
      </c>
      <c r="J13" s="45" t="s">
        <v>112</v>
      </c>
      <c r="K13" s="45" t="s">
        <v>112</v>
      </c>
      <c r="L13" s="45">
        <v>2.5096559999999999E-3</v>
      </c>
    </row>
    <row r="14" spans="4:12">
      <c r="D14" s="43">
        <v>5</v>
      </c>
      <c r="E14" s="45">
        <v>6.9542850000000002E-3</v>
      </c>
      <c r="F14" s="45">
        <v>5.3168820000000002E-3</v>
      </c>
      <c r="G14" s="45" t="s">
        <v>112</v>
      </c>
      <c r="H14" s="45">
        <v>1.3487690000000001E-3</v>
      </c>
      <c r="I14" s="45" t="s">
        <v>112</v>
      </c>
      <c r="J14" s="45" t="s">
        <v>112</v>
      </c>
      <c r="K14" s="45" t="s">
        <v>112</v>
      </c>
      <c r="L14" s="45">
        <v>1.3619935E-2</v>
      </c>
    </row>
    <row r="15" spans="4:12">
      <c r="D15" s="43">
        <v>6</v>
      </c>
      <c r="E15" s="45">
        <v>86.08044434</v>
      </c>
      <c r="F15" s="45">
        <v>0.42624071200000002</v>
      </c>
      <c r="G15" s="45" t="s">
        <v>112</v>
      </c>
      <c r="H15" s="45">
        <v>0.58100563299999997</v>
      </c>
      <c r="I15" s="45" t="s">
        <v>112</v>
      </c>
      <c r="J15" s="45" t="s">
        <v>112</v>
      </c>
      <c r="K15" s="45" t="s">
        <v>112</v>
      </c>
      <c r="L15" s="45">
        <v>87.087692259999997</v>
      </c>
    </row>
    <row r="16" spans="4:12">
      <c r="D16" s="43">
        <v>7</v>
      </c>
      <c r="E16" s="45">
        <v>9.4722185139999997</v>
      </c>
      <c r="F16" s="45">
        <v>1.0982258E-2</v>
      </c>
      <c r="G16" s="45" t="s">
        <v>112</v>
      </c>
      <c r="H16" s="45">
        <v>4.8228979999999999E-3</v>
      </c>
      <c r="I16" s="45" t="s">
        <v>112</v>
      </c>
      <c r="J16" s="45" t="s">
        <v>112</v>
      </c>
      <c r="K16" s="45" t="s">
        <v>112</v>
      </c>
      <c r="L16" s="45">
        <v>9.4880237580000006</v>
      </c>
    </row>
    <row r="17" spans="4:12">
      <c r="D17" s="43">
        <v>8</v>
      </c>
      <c r="E17" s="45">
        <v>3.2154757979999999</v>
      </c>
      <c r="F17" s="45">
        <v>3.0950319E-2</v>
      </c>
      <c r="G17" s="45" t="s">
        <v>112</v>
      </c>
      <c r="H17" s="45">
        <v>4.9831167000000003E-2</v>
      </c>
      <c r="I17" s="45" t="s">
        <v>112</v>
      </c>
      <c r="J17" s="45" t="s">
        <v>112</v>
      </c>
      <c r="K17" s="45" t="s">
        <v>112</v>
      </c>
      <c r="L17" s="45">
        <v>3.2962572579999998</v>
      </c>
    </row>
    <row r="18" spans="4:12">
      <c r="D18" s="43">
        <v>9</v>
      </c>
      <c r="E18" s="45">
        <v>1.1423086000000001E-2</v>
      </c>
      <c r="F18" s="45">
        <v>9.861145E-3</v>
      </c>
      <c r="G18" s="45">
        <v>1.813711E-3</v>
      </c>
      <c r="H18" s="45">
        <v>2.8594829999999999E-3</v>
      </c>
      <c r="I18" s="45" t="s">
        <v>112</v>
      </c>
      <c r="J18" s="45" t="s">
        <v>112</v>
      </c>
      <c r="K18" s="45" t="s">
        <v>112</v>
      </c>
      <c r="L18" s="45">
        <v>2.5957424E-2</v>
      </c>
    </row>
    <row r="19" spans="4:12">
      <c r="D19" s="43">
        <v>10</v>
      </c>
      <c r="E19" s="45">
        <v>8.1343739999999998E-3</v>
      </c>
      <c r="F19" s="45">
        <v>5.5980630000000003E-3</v>
      </c>
      <c r="G19" s="45">
        <v>2.1723039999999999E-3</v>
      </c>
      <c r="H19" s="45">
        <v>2.4345370000000001E-3</v>
      </c>
      <c r="I19" s="45" t="s">
        <v>112</v>
      </c>
      <c r="J19" s="45" t="s">
        <v>112</v>
      </c>
      <c r="K19" s="45" t="s">
        <v>112</v>
      </c>
      <c r="L19" s="45">
        <v>1.8339278000000001E-2</v>
      </c>
    </row>
    <row r="20" spans="4:12">
      <c r="D20" s="43">
        <v>11</v>
      </c>
      <c r="E20" s="45">
        <v>4.8064830000000003E-3</v>
      </c>
      <c r="F20" s="45">
        <v>7.1874979999999996E-3</v>
      </c>
      <c r="G20" s="45">
        <v>3.6480589999999999E-3</v>
      </c>
      <c r="H20" s="45" t="s">
        <v>112</v>
      </c>
      <c r="I20" s="45" t="s">
        <v>112</v>
      </c>
      <c r="J20" s="45" t="s">
        <v>112</v>
      </c>
      <c r="K20" s="45" t="s">
        <v>112</v>
      </c>
      <c r="L20" s="45">
        <v>1.5642039999999999E-2</v>
      </c>
    </row>
    <row r="21" spans="4:12">
      <c r="D21" s="43">
        <v>12</v>
      </c>
      <c r="E21" s="45">
        <v>1.3737879999999999E-3</v>
      </c>
      <c r="F21" s="45" t="s">
        <v>112</v>
      </c>
      <c r="G21" s="45">
        <v>3.0380120000000001E-3</v>
      </c>
      <c r="H21" s="45" t="s">
        <v>112</v>
      </c>
      <c r="I21" s="45" t="s">
        <v>112</v>
      </c>
      <c r="J21" s="45" t="s">
        <v>112</v>
      </c>
      <c r="K21" s="45" t="s">
        <v>112</v>
      </c>
      <c r="L21" s="45">
        <v>4.4117999999999996E-3</v>
      </c>
    </row>
    <row r="22" spans="4:12">
      <c r="D22" s="43">
        <v>13</v>
      </c>
      <c r="E22" s="43" t="s">
        <v>112</v>
      </c>
      <c r="F22" s="43" t="s">
        <v>112</v>
      </c>
      <c r="G22" s="43" t="s">
        <v>112</v>
      </c>
      <c r="H22" s="43" t="s">
        <v>112</v>
      </c>
      <c r="I22" s="43" t="s">
        <v>112</v>
      </c>
      <c r="J22" s="43" t="s">
        <v>112</v>
      </c>
      <c r="K22" s="43" t="s">
        <v>112</v>
      </c>
      <c r="L22" s="44">
        <v>0</v>
      </c>
    </row>
    <row r="23" spans="4:12">
      <c r="D23" s="43">
        <v>14</v>
      </c>
      <c r="E23" s="43" t="s">
        <v>112</v>
      </c>
      <c r="F23" s="43" t="s">
        <v>112</v>
      </c>
      <c r="G23" s="43" t="s">
        <v>112</v>
      </c>
      <c r="H23" s="43" t="s">
        <v>112</v>
      </c>
      <c r="I23" s="43" t="s">
        <v>112</v>
      </c>
      <c r="J23" s="43" t="s">
        <v>112</v>
      </c>
      <c r="K23" s="43" t="s">
        <v>112</v>
      </c>
      <c r="L23" s="44">
        <v>0</v>
      </c>
    </row>
    <row r="24" spans="4:12">
      <c r="D24" s="43">
        <v>15</v>
      </c>
      <c r="E24" s="43" t="s">
        <v>112</v>
      </c>
      <c r="F24" s="43" t="s">
        <v>112</v>
      </c>
      <c r="G24" s="43" t="s">
        <v>112</v>
      </c>
      <c r="H24" s="43" t="s">
        <v>112</v>
      </c>
      <c r="I24" s="43" t="s">
        <v>112</v>
      </c>
      <c r="J24" s="43" t="s">
        <v>112</v>
      </c>
      <c r="K24" s="43" t="s">
        <v>112</v>
      </c>
      <c r="L24" s="44">
        <v>0</v>
      </c>
    </row>
    <row r="25" spans="4:12">
      <c r="D25" s="43"/>
      <c r="E25" s="43"/>
      <c r="F25" s="43"/>
      <c r="G25" s="43"/>
      <c r="H25" s="43"/>
      <c r="I25" s="43"/>
      <c r="J25" s="43"/>
      <c r="K25" s="43"/>
      <c r="L25" s="44"/>
    </row>
    <row r="26" spans="4:12">
      <c r="D26" s="41" t="s">
        <v>161</v>
      </c>
      <c r="E26" s="46">
        <v>98.802841189999995</v>
      </c>
      <c r="F26" s="46">
        <v>0.49663424499999997</v>
      </c>
      <c r="G26" s="46">
        <v>1.0672087E-2</v>
      </c>
      <c r="H26" s="46">
        <v>0.64230251299999996</v>
      </c>
      <c r="I26" s="46">
        <v>0</v>
      </c>
      <c r="J26" s="46">
        <v>0</v>
      </c>
      <c r="K26" s="46">
        <v>0</v>
      </c>
      <c r="L26" s="47">
        <v>99.952445979999993</v>
      </c>
    </row>
    <row r="27" spans="4:12">
      <c r="D27" s="41"/>
      <c r="E27" s="41"/>
      <c r="F27" s="41"/>
      <c r="G27" s="41"/>
      <c r="H27" s="41"/>
      <c r="I27" s="41"/>
      <c r="J27" s="41"/>
      <c r="K27" s="41" t="s">
        <v>192</v>
      </c>
      <c r="L27" s="47">
        <v>4.7558017000000001E-2</v>
      </c>
    </row>
    <row r="28" spans="4:12">
      <c r="D28" s="41"/>
      <c r="E28" s="41"/>
      <c r="F28" s="41"/>
      <c r="G28" s="41"/>
      <c r="H28" s="41"/>
      <c r="I28" s="41"/>
      <c r="J28" s="41"/>
      <c r="K28" s="41" t="s">
        <v>193</v>
      </c>
      <c r="L28" s="48">
        <v>100.0000076</v>
      </c>
    </row>
  </sheetData>
  <mergeCells count="1">
    <mergeCell ref="D8:L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dimension ref="A1:EI196"/>
  <sheetViews>
    <sheetView zoomScale="140" zoomScaleNormal="140" workbookViewId="0">
      <pane xSplit="4" ySplit="2" topLeftCell="DV3" activePane="bottomRight" state="frozen"/>
      <selection pane="topRight" activeCell="E1" sqref="E1"/>
      <selection pane="bottomLeft" activeCell="A3" sqref="A3"/>
      <selection pane="bottomRight" activeCell="DP1" sqref="DP1"/>
    </sheetView>
  </sheetViews>
  <sheetFormatPr defaultColWidth="9.140625" defaultRowHeight="15"/>
  <cols>
    <col min="1" max="1" width="25" style="3" bestFit="1" customWidth="1"/>
    <col min="2" max="2" width="13.28515625" style="3" customWidth="1"/>
    <col min="3" max="3" width="6.85546875" style="3" customWidth="1"/>
    <col min="4" max="4" width="10" style="3" bestFit="1" customWidth="1"/>
    <col min="5" max="6" width="14" style="3" bestFit="1" customWidth="1"/>
    <col min="7" max="8" width="15.7109375" style="3" bestFit="1" customWidth="1"/>
    <col min="9" max="16" width="11.5703125" style="39" bestFit="1" customWidth="1"/>
    <col min="17" max="17" width="19.85546875" style="3" bestFit="1" customWidth="1"/>
    <col min="18" max="25" width="10.42578125" style="39" bestFit="1" customWidth="1"/>
    <col min="26" max="26" width="18.42578125" style="3" bestFit="1" customWidth="1"/>
    <col min="27" max="27" width="10.42578125" style="39" bestFit="1" customWidth="1"/>
    <col min="28" max="29" width="12" style="39" bestFit="1" customWidth="1"/>
    <col min="30" max="30" width="14.42578125" style="39" customWidth="1"/>
    <col min="31" max="34" width="12" style="39" customWidth="1"/>
    <col min="35" max="35" width="11.28515625" style="3" customWidth="1"/>
    <col min="36" max="36" width="10.140625" style="3" customWidth="1"/>
    <col min="37" max="37" width="10.140625" style="31" customWidth="1"/>
    <col min="38" max="38" width="14.7109375" style="3" customWidth="1"/>
    <col min="39" max="39" width="12" style="2" customWidth="1"/>
    <col min="40" max="40" width="14" style="2" customWidth="1"/>
    <col min="41" max="41" width="12.85546875" style="2" customWidth="1"/>
    <col min="42" max="43" width="5.28515625" style="2" customWidth="1"/>
    <col min="44" max="46" width="5.28515625" style="3" customWidth="1"/>
    <col min="47" max="47" width="6.5703125" style="3" bestFit="1" customWidth="1"/>
    <col min="48" max="49" width="5.28515625" style="3" bestFit="1" customWidth="1"/>
    <col min="50" max="60" width="5.28515625" style="2" bestFit="1" customWidth="1"/>
    <col min="61" max="61" width="5.28515625" style="3" bestFit="1" customWidth="1"/>
    <col min="62" max="62" width="6.5703125" style="56" bestFit="1" customWidth="1"/>
    <col min="63" max="92" width="5.28515625" style="2" bestFit="1" customWidth="1"/>
    <col min="93" max="95" width="3.7109375" style="2" bestFit="1" customWidth="1"/>
    <col min="96" max="101" width="5" style="2" bestFit="1" customWidth="1"/>
    <col min="102" max="110" width="3.7109375" style="2" bestFit="1" customWidth="1"/>
    <col min="111" max="116" width="5" style="2" bestFit="1" customWidth="1"/>
    <col min="117" max="117" width="12.85546875" style="2" bestFit="1" customWidth="1"/>
    <col min="118" max="118" width="12.5703125" style="3" customWidth="1"/>
    <col min="119" max="119" width="12.5703125" style="2" customWidth="1"/>
    <col min="120" max="125" width="14.140625" style="2" bestFit="1" customWidth="1"/>
    <col min="126" max="127" width="18.42578125" style="2" bestFit="1" customWidth="1"/>
    <col min="128" max="129" width="15.7109375" style="2" bestFit="1" customWidth="1"/>
    <col min="130" max="130" width="14.140625" style="2" bestFit="1" customWidth="1"/>
    <col min="131" max="131" width="15.85546875" style="2" bestFit="1" customWidth="1"/>
    <col min="132" max="132" width="18.7109375" style="2" bestFit="1" customWidth="1"/>
    <col min="133" max="134" width="14.85546875" style="2" bestFit="1" customWidth="1"/>
    <col min="135" max="135" width="14.140625" style="2" bestFit="1" customWidth="1"/>
    <col min="136" max="136" width="15.85546875" style="2" bestFit="1" customWidth="1"/>
    <col min="137" max="137" width="15.5703125" style="2" customWidth="1"/>
    <col min="138" max="138" width="14.140625" style="2" bestFit="1" customWidth="1"/>
    <col min="139" max="16384" width="9.140625" style="1"/>
  </cols>
  <sheetData>
    <row r="1" spans="1:138" s="38" customFormat="1">
      <c r="A1" s="314" t="s">
        <v>240</v>
      </c>
      <c r="B1" s="302" t="s">
        <v>241</v>
      </c>
      <c r="C1" s="302" t="s">
        <v>92</v>
      </c>
      <c r="D1" s="304" t="s">
        <v>242</v>
      </c>
      <c r="E1" s="302" t="s">
        <v>243</v>
      </c>
      <c r="F1" s="302" t="s">
        <v>244</v>
      </c>
      <c r="G1" s="302" t="s">
        <v>245</v>
      </c>
      <c r="H1" s="302" t="s">
        <v>246</v>
      </c>
      <c r="I1" s="305" t="s">
        <v>247</v>
      </c>
      <c r="J1" s="306"/>
      <c r="K1" s="306"/>
      <c r="L1" s="306"/>
      <c r="M1" s="306"/>
      <c r="N1" s="306"/>
      <c r="O1" s="306"/>
      <c r="P1" s="307"/>
      <c r="Q1" s="36" t="s">
        <v>248</v>
      </c>
      <c r="R1" s="305" t="s">
        <v>249</v>
      </c>
      <c r="S1" s="306"/>
      <c r="T1" s="306"/>
      <c r="U1" s="306"/>
      <c r="V1" s="306"/>
      <c r="W1" s="306"/>
      <c r="X1" s="306"/>
      <c r="Y1" s="307"/>
      <c r="Z1" s="37" t="s">
        <v>250</v>
      </c>
      <c r="AA1" s="305" t="s">
        <v>251</v>
      </c>
      <c r="AB1" s="306"/>
      <c r="AC1" s="306"/>
      <c r="AD1" s="306"/>
      <c r="AE1" s="306"/>
      <c r="AF1" s="306"/>
      <c r="AG1" s="306"/>
      <c r="AH1" s="307"/>
      <c r="AI1" s="308" t="s">
        <v>252</v>
      </c>
      <c r="AJ1" s="309"/>
      <c r="AK1" s="40"/>
      <c r="AL1" s="311" t="s">
        <v>253</v>
      </c>
      <c r="AM1" s="312" t="s">
        <v>254</v>
      </c>
      <c r="AN1" s="312" t="s">
        <v>255</v>
      </c>
      <c r="AO1" s="312" t="s">
        <v>256</v>
      </c>
      <c r="AP1" s="301" t="s">
        <v>257</v>
      </c>
      <c r="AQ1" s="301"/>
      <c r="AR1" s="301"/>
      <c r="AS1" s="301"/>
      <c r="AT1" s="301"/>
      <c r="AU1" s="310"/>
      <c r="AV1" s="310"/>
      <c r="AW1" s="310"/>
      <c r="AX1" s="301"/>
      <c r="AY1" s="301"/>
      <c r="AZ1" s="301"/>
      <c r="BA1" s="301"/>
      <c r="BB1" s="301"/>
      <c r="BC1" s="301"/>
      <c r="BD1" s="301"/>
      <c r="BE1" s="311" t="s">
        <v>258</v>
      </c>
      <c r="BF1" s="311"/>
      <c r="BG1" s="311"/>
      <c r="BH1" s="311"/>
      <c r="BI1" s="311"/>
      <c r="BJ1" s="311"/>
      <c r="BK1" s="311"/>
      <c r="BL1" s="311"/>
      <c r="BM1" s="311"/>
      <c r="BN1" s="311"/>
      <c r="BO1" s="311"/>
      <c r="BP1" s="311"/>
      <c r="BQ1" s="311"/>
      <c r="BR1" s="311"/>
      <c r="BS1" s="311"/>
      <c r="BT1" s="301" t="s">
        <v>259</v>
      </c>
      <c r="BU1" s="301"/>
      <c r="BV1" s="301"/>
      <c r="BW1" s="301"/>
      <c r="BX1" s="301"/>
      <c r="BY1" s="301"/>
      <c r="BZ1" s="301"/>
      <c r="CA1" s="301"/>
      <c r="CB1" s="301"/>
      <c r="CC1" s="301"/>
      <c r="CD1" s="301"/>
      <c r="CE1" s="301"/>
      <c r="CF1" s="301"/>
      <c r="CG1" s="301"/>
      <c r="CH1" s="301"/>
      <c r="CI1" s="311" t="s">
        <v>260</v>
      </c>
      <c r="CJ1" s="311"/>
      <c r="CK1" s="311"/>
      <c r="CL1" s="311"/>
      <c r="CM1" s="311"/>
      <c r="CN1" s="311"/>
      <c r="CO1" s="311"/>
      <c r="CP1" s="311"/>
      <c r="CQ1" s="311"/>
      <c r="CR1" s="311"/>
      <c r="CS1" s="311"/>
      <c r="CT1" s="311"/>
      <c r="CU1" s="311"/>
      <c r="CV1" s="311"/>
      <c r="CW1" s="311"/>
      <c r="CX1" s="301" t="s">
        <v>261</v>
      </c>
      <c r="CY1" s="301"/>
      <c r="CZ1" s="301"/>
      <c r="DA1" s="301"/>
      <c r="DB1" s="301"/>
      <c r="DC1" s="301"/>
      <c r="DD1" s="301"/>
      <c r="DE1" s="301"/>
      <c r="DF1" s="301"/>
      <c r="DG1" s="301"/>
      <c r="DH1" s="301"/>
      <c r="DI1" s="301"/>
      <c r="DJ1" s="301"/>
      <c r="DK1" s="301"/>
      <c r="DL1" s="301"/>
      <c r="DM1" s="50" t="s">
        <v>262</v>
      </c>
      <c r="DN1" s="36" t="s">
        <v>11</v>
      </c>
      <c r="DO1" s="50"/>
      <c r="DP1" s="36" t="s">
        <v>263</v>
      </c>
      <c r="DQ1" s="36" t="s">
        <v>264</v>
      </c>
      <c r="DR1" s="36" t="s">
        <v>265</v>
      </c>
      <c r="DS1" s="36" t="s">
        <v>266</v>
      </c>
      <c r="DT1" s="36" t="s">
        <v>267</v>
      </c>
      <c r="DU1" s="36" t="s">
        <v>268</v>
      </c>
      <c r="DV1" s="36" t="s">
        <v>269</v>
      </c>
      <c r="DW1" s="36" t="s">
        <v>270</v>
      </c>
      <c r="DX1" s="36" t="s">
        <v>169</v>
      </c>
      <c r="DY1" s="36" t="s">
        <v>171</v>
      </c>
      <c r="DZ1" s="36" t="s">
        <v>174</v>
      </c>
      <c r="EA1" s="36" t="s">
        <v>271</v>
      </c>
      <c r="EB1" s="36" t="s">
        <v>272</v>
      </c>
      <c r="EC1" s="36" t="s">
        <v>273</v>
      </c>
      <c r="ED1" s="36" t="s">
        <v>274</v>
      </c>
      <c r="EE1" s="36" t="s">
        <v>177</v>
      </c>
      <c r="EF1" s="36" t="s">
        <v>275</v>
      </c>
      <c r="EG1" s="36" t="s">
        <v>175</v>
      </c>
      <c r="EH1" s="36" t="s">
        <v>276</v>
      </c>
    </row>
    <row r="2" spans="1:138" s="38" customFormat="1" ht="16.5">
      <c r="A2" s="314"/>
      <c r="B2" s="303"/>
      <c r="C2" s="303"/>
      <c r="D2" s="304"/>
      <c r="E2" s="303"/>
      <c r="F2" s="303"/>
      <c r="G2" s="303"/>
      <c r="H2" s="303"/>
      <c r="I2" s="39" t="s">
        <v>277</v>
      </c>
      <c r="J2" s="39" t="s">
        <v>278</v>
      </c>
      <c r="K2" s="39" t="s">
        <v>279</v>
      </c>
      <c r="L2" s="39" t="s">
        <v>280</v>
      </c>
      <c r="M2" s="39" t="s">
        <v>281</v>
      </c>
      <c r="N2" s="39" t="s">
        <v>282</v>
      </c>
      <c r="O2" s="39" t="s">
        <v>283</v>
      </c>
      <c r="P2" s="39" t="s">
        <v>284</v>
      </c>
      <c r="Q2" s="36" t="s">
        <v>285</v>
      </c>
      <c r="R2" s="39" t="s">
        <v>214</v>
      </c>
      <c r="S2" s="39" t="s">
        <v>213</v>
      </c>
      <c r="T2" s="39" t="s">
        <v>212</v>
      </c>
      <c r="U2" s="39" t="s">
        <v>211</v>
      </c>
      <c r="V2" s="39" t="s">
        <v>286</v>
      </c>
      <c r="W2" s="39" t="s">
        <v>287</v>
      </c>
      <c r="X2" s="39" t="s">
        <v>288</v>
      </c>
      <c r="Y2" s="39" t="s">
        <v>289</v>
      </c>
      <c r="Z2" s="36" t="s">
        <v>290</v>
      </c>
      <c r="AA2" s="39" t="s">
        <v>291</v>
      </c>
      <c r="AB2" s="39" t="s">
        <v>292</v>
      </c>
      <c r="AC2" s="39" t="s">
        <v>293</v>
      </c>
      <c r="AD2" s="39" t="s">
        <v>294</v>
      </c>
      <c r="AE2" s="39" t="s">
        <v>295</v>
      </c>
      <c r="AF2" s="39" t="s">
        <v>296</v>
      </c>
      <c r="AG2" s="39" t="s">
        <v>297</v>
      </c>
      <c r="AH2" s="39" t="s">
        <v>298</v>
      </c>
      <c r="AI2" s="36" t="s">
        <v>221</v>
      </c>
      <c r="AJ2" s="36" t="s">
        <v>220</v>
      </c>
      <c r="AK2" s="40"/>
      <c r="AL2" s="311"/>
      <c r="AM2" s="313"/>
      <c r="AN2" s="313"/>
      <c r="AO2" s="313"/>
      <c r="AP2" s="51" t="s">
        <v>299</v>
      </c>
      <c r="AQ2" s="51" t="s">
        <v>300</v>
      </c>
      <c r="AR2" s="51" t="s">
        <v>301</v>
      </c>
      <c r="AS2" s="51" t="s">
        <v>302</v>
      </c>
      <c r="AT2" s="51" t="s">
        <v>303</v>
      </c>
      <c r="AU2" s="51" t="s">
        <v>304</v>
      </c>
      <c r="AV2" s="51" t="s">
        <v>305</v>
      </c>
      <c r="AW2" s="51" t="s">
        <v>306</v>
      </c>
      <c r="AX2" s="51" t="s">
        <v>307</v>
      </c>
      <c r="AY2" s="51" t="s">
        <v>308</v>
      </c>
      <c r="AZ2" s="51" t="s">
        <v>309</v>
      </c>
      <c r="BA2" s="51" t="s">
        <v>310</v>
      </c>
      <c r="BB2" s="51" t="s">
        <v>311</v>
      </c>
      <c r="BC2" s="51" t="s">
        <v>312</v>
      </c>
      <c r="BD2" s="51" t="s">
        <v>313</v>
      </c>
      <c r="BE2" s="2" t="s">
        <v>299</v>
      </c>
      <c r="BF2" s="2" t="s">
        <v>300</v>
      </c>
      <c r="BG2" s="2" t="s">
        <v>301</v>
      </c>
      <c r="BH2" s="2" t="s">
        <v>302</v>
      </c>
      <c r="BI2" s="3" t="s">
        <v>303</v>
      </c>
      <c r="BJ2" s="2" t="s">
        <v>304</v>
      </c>
      <c r="BK2" s="2" t="s">
        <v>305</v>
      </c>
      <c r="BL2" s="2" t="s">
        <v>306</v>
      </c>
      <c r="BM2" s="2" t="s">
        <v>307</v>
      </c>
      <c r="BN2" s="2" t="s">
        <v>308</v>
      </c>
      <c r="BO2" s="2" t="s">
        <v>309</v>
      </c>
      <c r="BP2" s="2" t="s">
        <v>310</v>
      </c>
      <c r="BQ2" s="2" t="s">
        <v>311</v>
      </c>
      <c r="BR2" s="2" t="s">
        <v>312</v>
      </c>
      <c r="BS2" s="2" t="s">
        <v>313</v>
      </c>
      <c r="BT2" s="51" t="s">
        <v>299</v>
      </c>
      <c r="BU2" s="51" t="s">
        <v>300</v>
      </c>
      <c r="BV2" s="51" t="s">
        <v>301</v>
      </c>
      <c r="BW2" s="51" t="s">
        <v>302</v>
      </c>
      <c r="BX2" s="51" t="s">
        <v>303</v>
      </c>
      <c r="BY2" s="51" t="s">
        <v>304</v>
      </c>
      <c r="BZ2" s="51" t="s">
        <v>305</v>
      </c>
      <c r="CA2" s="51" t="s">
        <v>306</v>
      </c>
      <c r="CB2" s="51" t="s">
        <v>307</v>
      </c>
      <c r="CC2" s="51" t="s">
        <v>308</v>
      </c>
      <c r="CD2" s="51" t="s">
        <v>309</v>
      </c>
      <c r="CE2" s="51" t="s">
        <v>310</v>
      </c>
      <c r="CF2" s="51" t="s">
        <v>311</v>
      </c>
      <c r="CG2" s="51" t="s">
        <v>312</v>
      </c>
      <c r="CH2" s="51" t="s">
        <v>313</v>
      </c>
      <c r="CI2" s="2" t="s">
        <v>299</v>
      </c>
      <c r="CJ2" s="2" t="s">
        <v>300</v>
      </c>
      <c r="CK2" s="2" t="s">
        <v>301</v>
      </c>
      <c r="CL2" s="2" t="s">
        <v>302</v>
      </c>
      <c r="CM2" s="2" t="s">
        <v>303</v>
      </c>
      <c r="CN2" s="2" t="s">
        <v>304</v>
      </c>
      <c r="CO2" s="2" t="s">
        <v>305</v>
      </c>
      <c r="CP2" s="2" t="s">
        <v>306</v>
      </c>
      <c r="CQ2" s="2" t="s">
        <v>307</v>
      </c>
      <c r="CR2" s="2" t="s">
        <v>308</v>
      </c>
      <c r="CS2" s="2" t="s">
        <v>309</v>
      </c>
      <c r="CT2" s="2" t="s">
        <v>310</v>
      </c>
      <c r="CU2" s="2" t="s">
        <v>311</v>
      </c>
      <c r="CV2" s="2" t="s">
        <v>312</v>
      </c>
      <c r="CW2" s="2" t="s">
        <v>313</v>
      </c>
      <c r="CX2" s="51" t="s">
        <v>299</v>
      </c>
      <c r="CY2" s="51" t="s">
        <v>300</v>
      </c>
      <c r="CZ2" s="51" t="s">
        <v>301</v>
      </c>
      <c r="DA2" s="51" t="s">
        <v>302</v>
      </c>
      <c r="DB2" s="51" t="s">
        <v>303</v>
      </c>
      <c r="DC2" s="51" t="s">
        <v>304</v>
      </c>
      <c r="DD2" s="51" t="s">
        <v>305</v>
      </c>
      <c r="DE2" s="51" t="s">
        <v>306</v>
      </c>
      <c r="DF2" s="51" t="s">
        <v>307</v>
      </c>
      <c r="DG2" s="51" t="s">
        <v>308</v>
      </c>
      <c r="DH2" s="51" t="s">
        <v>309</v>
      </c>
      <c r="DI2" s="51" t="s">
        <v>310</v>
      </c>
      <c r="DJ2" s="51" t="s">
        <v>311</v>
      </c>
      <c r="DK2" s="51" t="s">
        <v>312</v>
      </c>
      <c r="DL2" s="51" t="s">
        <v>313</v>
      </c>
      <c r="DM2" s="50" t="s">
        <v>314</v>
      </c>
      <c r="DN2" s="36" t="s">
        <v>314</v>
      </c>
      <c r="DO2" s="50"/>
    </row>
    <row r="3" spans="1:138">
      <c r="A3" s="4">
        <v>46120</v>
      </c>
      <c r="B3" s="8"/>
      <c r="C3" s="3">
        <v>1</v>
      </c>
      <c r="D3" s="90" t="s">
        <v>315</v>
      </c>
      <c r="E3" s="3">
        <v>190</v>
      </c>
      <c r="F3" s="3">
        <v>190.1</v>
      </c>
      <c r="G3" s="3">
        <v>24.0046</v>
      </c>
      <c r="H3" s="3">
        <v>24.0017</v>
      </c>
      <c r="I3" s="3">
        <v>819.53200000000004</v>
      </c>
      <c r="J3" s="3">
        <v>819.63599999999997</v>
      </c>
      <c r="K3" s="3">
        <v>0</v>
      </c>
      <c r="L3" s="3">
        <v>0</v>
      </c>
      <c r="M3" s="3">
        <v>819.82500000000005</v>
      </c>
      <c r="N3" s="3">
        <v>820.08600000000001</v>
      </c>
      <c r="O3" s="3">
        <v>0</v>
      </c>
      <c r="P3" s="3">
        <v>0</v>
      </c>
      <c r="Q3" s="3">
        <v>0.26474900000000001</v>
      </c>
      <c r="R3" s="3">
        <v>1999.97</v>
      </c>
      <c r="S3" s="3">
        <v>1998.71</v>
      </c>
      <c r="T3" s="3">
        <v>0</v>
      </c>
      <c r="U3" s="3">
        <v>0</v>
      </c>
      <c r="V3" s="3">
        <v>1999.78</v>
      </c>
      <c r="W3" s="3">
        <v>2000.14</v>
      </c>
      <c r="X3" s="3">
        <v>0</v>
      </c>
      <c r="Y3" s="3">
        <v>0</v>
      </c>
      <c r="Z3" s="3">
        <v>219.7</v>
      </c>
      <c r="AA3" s="3">
        <v>1.99884</v>
      </c>
      <c r="AB3" s="3">
        <v>1.9968300000000001</v>
      </c>
      <c r="AC3" s="3">
        <v>-7.3356699999999997E-2</v>
      </c>
      <c r="AD3" s="3">
        <v>6.6913500000000004E-3</v>
      </c>
      <c r="AE3" s="3">
        <v>1.9963299999999999</v>
      </c>
      <c r="AF3" s="3">
        <v>2.0002599999999999</v>
      </c>
      <c r="AG3" s="3">
        <v>-0.112909</v>
      </c>
      <c r="AH3" s="3">
        <v>0.26966000000000001</v>
      </c>
      <c r="AI3" s="7">
        <v>23.581826</v>
      </c>
      <c r="AJ3" s="7">
        <v>58.624301000000003</v>
      </c>
      <c r="AL3" s="6">
        <v>88.415359496999997</v>
      </c>
      <c r="AM3" s="6">
        <v>83.620697022000002</v>
      </c>
      <c r="AN3" s="6">
        <v>15.947485924</v>
      </c>
      <c r="AO3" s="6">
        <v>26.554679871000001</v>
      </c>
      <c r="AP3" s="6">
        <v>0</v>
      </c>
      <c r="AQ3" s="6">
        <v>0</v>
      </c>
      <c r="AR3" s="6">
        <v>6.2192425099999997E-2</v>
      </c>
      <c r="AS3" s="6">
        <v>0.1404164433</v>
      </c>
      <c r="AT3" s="6">
        <v>0.26477491860000002</v>
      </c>
      <c r="AU3" s="6">
        <v>81.083045959000003</v>
      </c>
      <c r="AV3" s="6">
        <v>8.5302314758000009</v>
      </c>
      <c r="AW3" s="6">
        <v>2.6210358142999999</v>
      </c>
      <c r="AX3" s="6">
        <v>0</v>
      </c>
      <c r="AY3" s="6">
        <v>0</v>
      </c>
      <c r="AZ3" s="6">
        <v>0</v>
      </c>
      <c r="BA3" s="6">
        <v>0</v>
      </c>
      <c r="BB3" s="6">
        <v>0</v>
      </c>
      <c r="BC3" s="6">
        <v>0</v>
      </c>
      <c r="BD3" s="6">
        <v>0</v>
      </c>
      <c r="BE3" s="6">
        <v>0</v>
      </c>
      <c r="BF3" s="6">
        <v>0</v>
      </c>
      <c r="BG3" s="6">
        <v>0</v>
      </c>
      <c r="BH3" s="6">
        <v>0.35577157139999999</v>
      </c>
      <c r="BI3" s="6">
        <v>0.43755233290000001</v>
      </c>
      <c r="BJ3" s="6">
        <v>2.7414827346999999</v>
      </c>
      <c r="BK3" s="6">
        <v>0.93520122770000003</v>
      </c>
      <c r="BL3" s="6">
        <v>0</v>
      </c>
      <c r="BM3" s="6">
        <v>0</v>
      </c>
      <c r="BN3" s="6">
        <v>0</v>
      </c>
      <c r="BO3" s="6">
        <v>0</v>
      </c>
      <c r="BP3" s="6">
        <v>0</v>
      </c>
      <c r="BQ3" s="6">
        <v>0</v>
      </c>
      <c r="BR3" s="6">
        <v>0</v>
      </c>
      <c r="BS3" s="6">
        <v>0</v>
      </c>
      <c r="BT3" s="6">
        <v>0</v>
      </c>
      <c r="BU3" s="6">
        <v>0</v>
      </c>
      <c r="BV3" s="6">
        <v>0</v>
      </c>
      <c r="BW3" s="6">
        <v>0</v>
      </c>
      <c r="BX3" s="6">
        <v>0</v>
      </c>
      <c r="BY3" s="6">
        <v>0</v>
      </c>
      <c r="BZ3" s="6">
        <v>0</v>
      </c>
      <c r="CA3" s="6">
        <v>0</v>
      </c>
      <c r="CB3" s="6">
        <v>0</v>
      </c>
      <c r="CC3" s="6">
        <v>0</v>
      </c>
      <c r="CD3" s="6">
        <v>0</v>
      </c>
      <c r="CE3" s="6">
        <v>0</v>
      </c>
      <c r="CF3" s="6">
        <v>0</v>
      </c>
      <c r="CG3" s="6">
        <v>0</v>
      </c>
      <c r="CH3" s="6">
        <v>0</v>
      </c>
      <c r="CI3" s="6">
        <v>0</v>
      </c>
      <c r="CJ3" s="6">
        <v>0</v>
      </c>
      <c r="CK3" s="6">
        <v>0</v>
      </c>
      <c r="CL3" s="6">
        <v>0</v>
      </c>
      <c r="CM3" s="6">
        <v>0</v>
      </c>
      <c r="CN3" s="6">
        <v>0.45878010990000001</v>
      </c>
      <c r="CO3" s="6"/>
      <c r="CP3" s="6"/>
      <c r="CQ3" s="6"/>
      <c r="CR3" s="6"/>
      <c r="CS3" s="6"/>
      <c r="CT3" s="6"/>
      <c r="CU3" s="6"/>
      <c r="CV3" s="6"/>
      <c r="CW3" s="6"/>
      <c r="CX3" s="6"/>
      <c r="CY3" s="6"/>
      <c r="CZ3" s="6"/>
      <c r="DA3" s="6"/>
      <c r="DB3" s="6"/>
      <c r="DC3" s="6"/>
      <c r="DD3" s="6"/>
      <c r="DE3" s="6"/>
      <c r="DF3" s="6"/>
      <c r="DG3" s="6"/>
      <c r="DH3" s="6"/>
      <c r="DI3" s="6"/>
      <c r="DJ3" s="6"/>
      <c r="DK3" s="6"/>
      <c r="DL3" s="6"/>
      <c r="DM3" s="7">
        <v>2.3695371151</v>
      </c>
      <c r="DN3" s="7">
        <f t="shared" ref="DN3:DN66" si="0">SUM(AP3:DM3)</f>
        <v>100.00002212780001</v>
      </c>
      <c r="DO3" s="7"/>
      <c r="DP3" s="6">
        <v>2.8669657000000002E-3</v>
      </c>
      <c r="DQ3" s="6">
        <v>6.2284186499999998E-2</v>
      </c>
      <c r="DR3" s="6">
        <v>0.3562964797</v>
      </c>
      <c r="DS3" s="6">
        <v>0.14062362910000001</v>
      </c>
      <c r="DT3" s="6">
        <v>0.4381979406</v>
      </c>
      <c r="DU3" s="6">
        <v>0.26516556740000002</v>
      </c>
      <c r="DV3" s="6">
        <v>3.2030973599999998E-2</v>
      </c>
      <c r="DW3" s="6">
        <v>0.1674765795</v>
      </c>
      <c r="DX3" s="6">
        <v>1.4466472864</v>
      </c>
      <c r="DY3" s="6">
        <v>1.0993727445999999</v>
      </c>
      <c r="DZ3" s="6">
        <v>81.202682495100007</v>
      </c>
      <c r="EA3" s="6">
        <v>0.5037472248</v>
      </c>
      <c r="EB3" s="6">
        <v>0.45945701</v>
      </c>
      <c r="EC3" s="6">
        <v>0.50759774449999995</v>
      </c>
      <c r="ED3" s="6">
        <v>0.42898336050000002</v>
      </c>
      <c r="EE3" s="6">
        <v>8.5428171158000001</v>
      </c>
      <c r="EF3" s="6">
        <v>1.0807484387999999</v>
      </c>
      <c r="EG3" s="6">
        <v>2.6249032021000001</v>
      </c>
      <c r="EH3" s="6">
        <v>0.63810980319999999</v>
      </c>
    </row>
    <row r="4" spans="1:138">
      <c r="A4" s="153">
        <v>46120</v>
      </c>
      <c r="B4" s="8"/>
      <c r="C4" s="3">
        <v>2</v>
      </c>
      <c r="D4" s="154" t="s">
        <v>316</v>
      </c>
      <c r="E4" s="3">
        <v>189.7</v>
      </c>
      <c r="F4" s="3">
        <v>189.8</v>
      </c>
      <c r="G4" s="3">
        <v>24.014800000000001</v>
      </c>
      <c r="H4" s="3">
        <v>24.000299999999999</v>
      </c>
      <c r="I4" s="3">
        <v>781.55</v>
      </c>
      <c r="J4" s="3">
        <v>782.92399999999998</v>
      </c>
      <c r="K4" s="3">
        <v>0</v>
      </c>
      <c r="L4" s="3">
        <v>0</v>
      </c>
      <c r="M4" s="3">
        <v>781.596</v>
      </c>
      <c r="N4" s="3">
        <v>780.46500000000003</v>
      </c>
      <c r="O4" s="3">
        <v>0</v>
      </c>
      <c r="P4" s="3">
        <v>0</v>
      </c>
      <c r="Q4" s="3">
        <v>0.332457</v>
      </c>
      <c r="R4" s="3">
        <v>2000.3</v>
      </c>
      <c r="S4" s="3">
        <v>1998.59</v>
      </c>
      <c r="T4" s="3">
        <v>0</v>
      </c>
      <c r="U4" s="3">
        <v>0</v>
      </c>
      <c r="V4" s="3">
        <v>1999.87</v>
      </c>
      <c r="W4" s="3">
        <v>2000.24</v>
      </c>
      <c r="X4" s="3">
        <v>0</v>
      </c>
      <c r="Y4" s="3">
        <v>0</v>
      </c>
      <c r="Z4" s="3">
        <v>220</v>
      </c>
      <c r="AA4" s="3">
        <v>2.0011700000000001</v>
      </c>
      <c r="AB4" s="3">
        <v>2.0010300000000001</v>
      </c>
      <c r="AC4" s="3">
        <v>-8.2762299999999997E-2</v>
      </c>
      <c r="AD4" s="3">
        <v>-1.85442E-2</v>
      </c>
      <c r="AE4" s="3">
        <v>1.9986699999999999</v>
      </c>
      <c r="AF4" s="3">
        <v>1.99657</v>
      </c>
      <c r="AG4" s="3">
        <v>-0.114037</v>
      </c>
      <c r="AH4" s="3">
        <v>-0.25709799999999999</v>
      </c>
      <c r="AI4" s="7">
        <v>22.166466</v>
      </c>
      <c r="AJ4" s="7">
        <v>59.290762999999998</v>
      </c>
      <c r="AL4" s="6">
        <v>88.289794921999999</v>
      </c>
      <c r="AM4" s="6">
        <v>83.610946655000006</v>
      </c>
      <c r="AN4" s="6">
        <v>16.068733215000002</v>
      </c>
      <c r="AO4" s="6">
        <v>26.527402878</v>
      </c>
      <c r="AP4" s="6">
        <v>0</v>
      </c>
      <c r="AQ4" s="6">
        <v>0</v>
      </c>
      <c r="AR4" s="6">
        <v>3.6769747700000001E-2</v>
      </c>
      <c r="AS4" s="6">
        <v>4.5819584300000001E-2</v>
      </c>
      <c r="AT4" s="6">
        <v>6.4356632499999997E-2</v>
      </c>
      <c r="AU4" s="6">
        <v>82.752235412999994</v>
      </c>
      <c r="AV4" s="6">
        <v>8.3845624924000006</v>
      </c>
      <c r="AW4" s="6">
        <v>2.3690841198000001</v>
      </c>
      <c r="AX4" s="6">
        <v>0</v>
      </c>
      <c r="AY4" s="6">
        <v>0</v>
      </c>
      <c r="AZ4" s="6">
        <v>0</v>
      </c>
      <c r="BA4" s="6">
        <v>0</v>
      </c>
      <c r="BB4" s="6">
        <v>0</v>
      </c>
      <c r="BC4" s="6">
        <v>0</v>
      </c>
      <c r="BD4" s="6">
        <v>0</v>
      </c>
      <c r="BE4" s="6">
        <v>0</v>
      </c>
      <c r="BF4" s="6">
        <v>0</v>
      </c>
      <c r="BG4" s="6">
        <v>0</v>
      </c>
      <c r="BH4" s="6">
        <v>0.14659333229999999</v>
      </c>
      <c r="BI4" s="6">
        <v>0.1166852191</v>
      </c>
      <c r="BJ4" s="6">
        <v>3.0759048461999998</v>
      </c>
      <c r="BK4" s="6">
        <v>0.92185974120000003</v>
      </c>
      <c r="BL4" s="6">
        <v>0</v>
      </c>
      <c r="BM4" s="6">
        <v>0</v>
      </c>
      <c r="BN4" s="6">
        <v>0</v>
      </c>
      <c r="BO4" s="6">
        <v>0</v>
      </c>
      <c r="BP4" s="6">
        <v>0</v>
      </c>
      <c r="BQ4" s="6">
        <v>0</v>
      </c>
      <c r="BR4" s="6">
        <v>0</v>
      </c>
      <c r="BS4" s="6">
        <v>0</v>
      </c>
      <c r="BT4" s="6">
        <v>0</v>
      </c>
      <c r="BU4" s="6">
        <v>0</v>
      </c>
      <c r="BV4" s="6">
        <v>0</v>
      </c>
      <c r="BW4" s="6">
        <v>0</v>
      </c>
      <c r="BX4" s="6">
        <v>0</v>
      </c>
      <c r="BY4" s="6">
        <v>0</v>
      </c>
      <c r="BZ4" s="6">
        <v>0</v>
      </c>
      <c r="CA4" s="6">
        <v>0</v>
      </c>
      <c r="CB4" s="6">
        <v>0</v>
      </c>
      <c r="CC4" s="6">
        <v>0</v>
      </c>
      <c r="CD4" s="6">
        <v>0</v>
      </c>
      <c r="CE4" s="6">
        <v>0</v>
      </c>
      <c r="CF4" s="6">
        <v>0</v>
      </c>
      <c r="CG4" s="6">
        <v>0</v>
      </c>
      <c r="CH4" s="6">
        <v>0</v>
      </c>
      <c r="CI4" s="6">
        <v>0</v>
      </c>
      <c r="CJ4" s="6">
        <v>0</v>
      </c>
      <c r="CK4" s="6">
        <v>0</v>
      </c>
      <c r="CL4" s="6">
        <v>0</v>
      </c>
      <c r="CM4" s="6">
        <v>0</v>
      </c>
      <c r="CN4" s="6">
        <v>0.4829990864</v>
      </c>
      <c r="CO4" s="6"/>
      <c r="CP4" s="6"/>
      <c r="CQ4" s="6"/>
      <c r="CR4" s="6"/>
      <c r="CS4" s="6"/>
      <c r="CT4" s="6"/>
      <c r="CU4" s="6"/>
      <c r="CV4" s="6"/>
      <c r="CW4" s="6"/>
      <c r="CX4" s="6"/>
      <c r="CY4" s="6"/>
      <c r="CZ4" s="6"/>
      <c r="DA4" s="6"/>
      <c r="DB4" s="6"/>
      <c r="DC4" s="6"/>
      <c r="DD4" s="6"/>
      <c r="DE4" s="6"/>
      <c r="DF4" s="6"/>
      <c r="DG4" s="6"/>
      <c r="DH4" s="6"/>
      <c r="DI4" s="6"/>
      <c r="DJ4" s="6"/>
      <c r="DK4" s="6"/>
      <c r="DL4" s="6"/>
      <c r="DM4" s="7">
        <v>1.6031146049</v>
      </c>
      <c r="DN4" s="7">
        <f t="shared" si="0"/>
        <v>99.999984819800005</v>
      </c>
      <c r="DO4" s="7"/>
      <c r="DP4" s="6">
        <v>2.0376804999999998E-3</v>
      </c>
      <c r="DQ4" s="6">
        <v>3.6790255500000001E-2</v>
      </c>
      <c r="DR4" s="6">
        <v>0.14667509500000001</v>
      </c>
      <c r="DS4" s="6">
        <v>4.5845139799999997E-2</v>
      </c>
      <c r="DT4" s="6">
        <v>0.11675029990000001</v>
      </c>
      <c r="DU4" s="6">
        <v>6.4392529399999995E-2</v>
      </c>
      <c r="DV4" s="6">
        <v>2.8997583300000001E-2</v>
      </c>
      <c r="DW4" s="6">
        <v>0.17084102330000001</v>
      </c>
      <c r="DX4" s="6">
        <v>1.6194692850000001</v>
      </c>
      <c r="DY4" s="6">
        <v>1.2583124638000001</v>
      </c>
      <c r="DZ4" s="6">
        <v>82.798393249499995</v>
      </c>
      <c r="EA4" s="6">
        <v>0.48698446150000002</v>
      </c>
      <c r="EB4" s="6">
        <v>0.48326846959999997</v>
      </c>
      <c r="EC4" s="6">
        <v>0.49346333739999998</v>
      </c>
      <c r="ED4" s="6">
        <v>0.4289106131</v>
      </c>
      <c r="EE4" s="6">
        <v>8.3892383575</v>
      </c>
      <c r="EF4" s="6">
        <v>0.90384262800000004</v>
      </c>
      <c r="EG4" s="6">
        <v>2.3704054355999999</v>
      </c>
      <c r="EH4" s="6">
        <v>0.1553902328</v>
      </c>
    </row>
    <row r="5" spans="1:138">
      <c r="A5" s="153">
        <v>46120</v>
      </c>
      <c r="B5" s="8"/>
      <c r="C5" s="3">
        <v>5</v>
      </c>
      <c r="D5" s="154" t="s">
        <v>317</v>
      </c>
      <c r="E5" s="3">
        <v>190</v>
      </c>
      <c r="F5" s="3">
        <v>190</v>
      </c>
      <c r="G5" s="3">
        <v>23.994499999999999</v>
      </c>
      <c r="H5" s="3">
        <v>24.0061</v>
      </c>
      <c r="I5" s="3">
        <v>754.74</v>
      </c>
      <c r="J5" s="3">
        <v>757.57399999999996</v>
      </c>
      <c r="K5" s="3">
        <v>0</v>
      </c>
      <c r="L5" s="3">
        <v>0</v>
      </c>
      <c r="M5" s="3">
        <v>755.85400000000004</v>
      </c>
      <c r="N5" s="3">
        <v>752.21400000000006</v>
      </c>
      <c r="O5" s="3">
        <v>0</v>
      </c>
      <c r="P5" s="3">
        <v>0</v>
      </c>
      <c r="Q5" s="3">
        <v>0.24838299999999999</v>
      </c>
      <c r="R5" s="3">
        <v>2000.27</v>
      </c>
      <c r="S5" s="3">
        <v>1999.94</v>
      </c>
      <c r="T5" s="3">
        <v>0</v>
      </c>
      <c r="U5" s="3">
        <v>0</v>
      </c>
      <c r="V5" s="3">
        <v>1999.88</v>
      </c>
      <c r="W5" s="3">
        <v>2000.42</v>
      </c>
      <c r="X5" s="3">
        <v>0</v>
      </c>
      <c r="Y5" s="3">
        <v>0</v>
      </c>
      <c r="Z5" s="3">
        <v>219.9</v>
      </c>
      <c r="AA5" s="3">
        <v>2.0007299999999999</v>
      </c>
      <c r="AB5" s="3">
        <v>1.99892</v>
      </c>
      <c r="AC5" s="3">
        <v>-7.6164999999999997E-2</v>
      </c>
      <c r="AD5" s="3">
        <v>-3.98628E-3</v>
      </c>
      <c r="AE5" s="3">
        <v>1.99926</v>
      </c>
      <c r="AF5" s="3">
        <v>1.99631</v>
      </c>
      <c r="AG5" s="3">
        <v>-0.11515599999999999</v>
      </c>
      <c r="AH5" s="3">
        <v>3.7424200000000002E-3</v>
      </c>
      <c r="AI5" s="7">
        <v>23.366536</v>
      </c>
      <c r="AJ5" s="7">
        <v>58.075819000000003</v>
      </c>
      <c r="AL5" s="6">
        <v>88.127716065000001</v>
      </c>
      <c r="AM5" s="6">
        <v>83.605834960999999</v>
      </c>
      <c r="AN5" s="6">
        <v>16.272115707000001</v>
      </c>
      <c r="AO5" s="6">
        <v>24.783336639000002</v>
      </c>
      <c r="AP5" s="6">
        <v>0</v>
      </c>
      <c r="AQ5" s="6">
        <v>0</v>
      </c>
      <c r="AR5" s="6">
        <v>0</v>
      </c>
      <c r="AS5" s="6">
        <v>8.2348379999999995E-3</v>
      </c>
      <c r="AT5" s="6">
        <v>2.1623713900000001E-2</v>
      </c>
      <c r="AU5" s="280">
        <v>85.969894409000005</v>
      </c>
      <c r="AV5" s="280">
        <v>9.5062856674000002</v>
      </c>
      <c r="AW5" s="280">
        <v>3.1488897800000002</v>
      </c>
      <c r="AX5" s="6">
        <v>0</v>
      </c>
      <c r="AY5" s="6">
        <v>0</v>
      </c>
      <c r="AZ5" s="6">
        <v>0</v>
      </c>
      <c r="BA5" s="6">
        <v>0</v>
      </c>
      <c r="BB5" s="6">
        <v>0</v>
      </c>
      <c r="BC5" s="6">
        <v>0</v>
      </c>
      <c r="BD5" s="6">
        <v>0</v>
      </c>
      <c r="BE5" s="6">
        <v>0</v>
      </c>
      <c r="BF5" s="6">
        <v>0</v>
      </c>
      <c r="BG5" s="6">
        <v>0</v>
      </c>
      <c r="BH5" s="6">
        <v>2.2863877999999998E-3</v>
      </c>
      <c r="BI5" s="6">
        <v>1.7265416700000001E-2</v>
      </c>
      <c r="BJ5" s="6">
        <v>0.44262209530000002</v>
      </c>
      <c r="BK5" s="6">
        <v>2.49416381E-2</v>
      </c>
      <c r="BL5" s="6">
        <v>0</v>
      </c>
      <c r="BM5" s="6">
        <v>0</v>
      </c>
      <c r="BN5" s="6">
        <v>0</v>
      </c>
      <c r="BO5" s="6">
        <v>0</v>
      </c>
      <c r="BP5" s="6">
        <v>0</v>
      </c>
      <c r="BQ5" s="6">
        <v>0</v>
      </c>
      <c r="BR5" s="6">
        <v>0</v>
      </c>
      <c r="BS5" s="6">
        <v>0</v>
      </c>
      <c r="BT5" s="6">
        <v>0</v>
      </c>
      <c r="BU5" s="6">
        <v>0</v>
      </c>
      <c r="BV5" s="6">
        <v>0</v>
      </c>
      <c r="BW5" s="6">
        <v>0</v>
      </c>
      <c r="BX5" s="6">
        <v>0</v>
      </c>
      <c r="BY5" s="6">
        <v>0</v>
      </c>
      <c r="BZ5" s="6">
        <v>0</v>
      </c>
      <c r="CA5" s="6">
        <v>0</v>
      </c>
      <c r="CB5" s="6">
        <v>0</v>
      </c>
      <c r="CC5" s="6">
        <v>0</v>
      </c>
      <c r="CD5" s="6">
        <v>0</v>
      </c>
      <c r="CE5" s="6">
        <v>0</v>
      </c>
      <c r="CF5" s="6">
        <v>0</v>
      </c>
      <c r="CG5" s="6">
        <v>0</v>
      </c>
      <c r="CH5" s="6">
        <v>0</v>
      </c>
      <c r="CI5" s="6">
        <v>0</v>
      </c>
      <c r="CJ5" s="6">
        <v>0</v>
      </c>
      <c r="CK5" s="6">
        <v>0</v>
      </c>
      <c r="CL5" s="6">
        <v>0</v>
      </c>
      <c r="CM5" s="6">
        <v>0</v>
      </c>
      <c r="CN5" s="6">
        <v>0.55082243679999998</v>
      </c>
      <c r="CO5" s="6"/>
      <c r="CP5" s="6"/>
      <c r="CQ5" s="6"/>
      <c r="CR5" s="6"/>
      <c r="CS5" s="6"/>
      <c r="CT5" s="6"/>
      <c r="CU5" s="6"/>
      <c r="CV5" s="6"/>
      <c r="CW5" s="6"/>
      <c r="CX5" s="6"/>
      <c r="CY5" s="6"/>
      <c r="CZ5" s="6"/>
      <c r="DA5" s="6"/>
      <c r="DB5" s="6"/>
      <c r="DC5" s="6"/>
      <c r="DD5" s="6"/>
      <c r="DE5" s="6"/>
      <c r="DF5" s="6"/>
      <c r="DG5" s="6"/>
      <c r="DH5" s="6"/>
      <c r="DI5" s="6"/>
      <c r="DJ5" s="6"/>
      <c r="DK5" s="6"/>
      <c r="DL5" s="6"/>
      <c r="DM5" s="7">
        <v>0.30714353919999998</v>
      </c>
      <c r="DN5" s="7">
        <f t="shared" si="0"/>
        <v>100.00000992220002</v>
      </c>
      <c r="DO5" s="7"/>
      <c r="DP5" s="6">
        <v>2.2871954999999999E-3</v>
      </c>
      <c r="DR5" s="6">
        <v>2.1307240000000001E-3</v>
      </c>
      <c r="DS5" s="6">
        <v>8.2377474999999999E-3</v>
      </c>
      <c r="DT5" s="6">
        <v>1.7271515000000001E-2</v>
      </c>
      <c r="DU5" s="6">
        <v>2.1631352600000001E-2</v>
      </c>
      <c r="DV5" s="6">
        <v>2.1088840000000001E-3</v>
      </c>
      <c r="DW5" s="6">
        <v>4.9772981600000002E-2</v>
      </c>
      <c r="DX5" s="6">
        <v>0.39089658859999998</v>
      </c>
      <c r="DZ5" s="6">
        <v>86.000259399399994</v>
      </c>
      <c r="EA5" s="6">
        <v>0.55101698639999996</v>
      </c>
      <c r="EB5" s="6"/>
      <c r="EC5" s="6">
        <v>1.12941302E-2</v>
      </c>
      <c r="ED5" s="6">
        <v>9.5096435547000002</v>
      </c>
      <c r="EE5" s="6">
        <v>0.13413476939999999</v>
      </c>
      <c r="EF5" s="6">
        <v>3.1500020027</v>
      </c>
      <c r="EG5" s="6">
        <v>0.1243695989</v>
      </c>
      <c r="EH5" s="6"/>
    </row>
    <row r="6" spans="1:138">
      <c r="A6" s="153">
        <v>46120</v>
      </c>
      <c r="B6" s="8"/>
      <c r="C6" s="3">
        <v>6</v>
      </c>
      <c r="D6" s="154" t="s">
        <v>318</v>
      </c>
      <c r="E6" s="3">
        <v>190</v>
      </c>
      <c r="F6" s="3">
        <v>190</v>
      </c>
      <c r="G6" s="3">
        <v>24.000299999999999</v>
      </c>
      <c r="H6" s="3">
        <v>23.990200000000002</v>
      </c>
      <c r="I6" s="3">
        <v>784.38099999999997</v>
      </c>
      <c r="J6" s="3">
        <v>784.822</v>
      </c>
      <c r="K6" s="3">
        <v>0</v>
      </c>
      <c r="L6" s="3">
        <v>0</v>
      </c>
      <c r="M6" s="3">
        <v>784.81600000000003</v>
      </c>
      <c r="N6" s="3">
        <v>782.41399999999999</v>
      </c>
      <c r="O6" s="3">
        <v>0</v>
      </c>
      <c r="P6" s="3">
        <v>0</v>
      </c>
      <c r="Q6" s="3">
        <v>0.262405</v>
      </c>
      <c r="R6" s="3">
        <v>2000.71</v>
      </c>
      <c r="S6" s="3">
        <v>1999.71</v>
      </c>
      <c r="T6" s="3">
        <v>0</v>
      </c>
      <c r="U6" s="3">
        <v>0</v>
      </c>
      <c r="V6" s="3">
        <v>1999.91</v>
      </c>
      <c r="W6" s="3">
        <v>2000.27</v>
      </c>
      <c r="X6" s="3">
        <v>0</v>
      </c>
      <c r="Y6" s="3">
        <v>0</v>
      </c>
      <c r="Z6" s="3">
        <v>219.9</v>
      </c>
      <c r="AA6" s="3">
        <v>1.99943</v>
      </c>
      <c r="AB6" s="3">
        <v>2.0002200000000001</v>
      </c>
      <c r="AC6" s="3">
        <v>-8.4052600000000005E-2</v>
      </c>
      <c r="AD6" s="3">
        <v>-2.2019600000000002E-3</v>
      </c>
      <c r="AE6" s="3">
        <v>2.00298</v>
      </c>
      <c r="AF6" s="3">
        <v>1.9999499999999999</v>
      </c>
      <c r="AG6" s="3">
        <v>-9.3431200000000006E-2</v>
      </c>
      <c r="AH6" s="3">
        <v>-3.5524800000000002E-2</v>
      </c>
      <c r="AI6" s="7">
        <v>22.253473</v>
      </c>
      <c r="AJ6" s="7">
        <v>59.348591999999996</v>
      </c>
      <c r="AL6" s="6">
        <v>88.257369995000005</v>
      </c>
      <c r="AM6" s="6">
        <v>83.609375</v>
      </c>
      <c r="AN6" s="6">
        <v>15.994470595999999</v>
      </c>
      <c r="AO6" s="6">
        <v>28.051004410000001</v>
      </c>
      <c r="AP6" s="6">
        <v>0</v>
      </c>
      <c r="AQ6" s="6">
        <v>0</v>
      </c>
      <c r="AR6" s="6">
        <v>7.1534544199999994E-2</v>
      </c>
      <c r="AS6" s="6">
        <v>4.9571722700000001E-2</v>
      </c>
      <c r="AT6" s="6">
        <v>2.3701230100000002E-2</v>
      </c>
      <c r="AU6" s="6">
        <v>80.745018005000006</v>
      </c>
      <c r="AV6" s="6">
        <v>7.5231051444999997</v>
      </c>
      <c r="AW6" s="6">
        <v>1.7587445974</v>
      </c>
      <c r="AX6" s="6">
        <v>0</v>
      </c>
      <c r="AY6" s="6">
        <v>0</v>
      </c>
      <c r="AZ6" s="6">
        <v>0</v>
      </c>
      <c r="BA6" s="6">
        <v>0</v>
      </c>
      <c r="BB6" s="6">
        <v>0</v>
      </c>
      <c r="BC6" s="6">
        <v>0</v>
      </c>
      <c r="BD6" s="6">
        <v>0</v>
      </c>
      <c r="BE6" s="6">
        <v>0</v>
      </c>
      <c r="BF6" s="6">
        <v>0</v>
      </c>
      <c r="BG6" s="6">
        <v>0</v>
      </c>
      <c r="BH6" s="6">
        <v>0.23335926230000001</v>
      </c>
      <c r="BI6" s="6">
        <v>9.5941379699999996E-2</v>
      </c>
      <c r="BJ6" s="6">
        <v>5.3967938423000001</v>
      </c>
      <c r="BK6" s="6">
        <v>1.5692658424000001</v>
      </c>
      <c r="BL6" s="6">
        <v>0</v>
      </c>
      <c r="BM6" s="6">
        <v>0</v>
      </c>
      <c r="BN6" s="6">
        <v>0</v>
      </c>
      <c r="BO6" s="6">
        <v>0</v>
      </c>
      <c r="BP6" s="6">
        <v>0</v>
      </c>
      <c r="BQ6" s="6">
        <v>0</v>
      </c>
      <c r="BR6" s="6">
        <v>0</v>
      </c>
      <c r="BS6" s="6">
        <v>0</v>
      </c>
      <c r="BT6" s="6">
        <v>0</v>
      </c>
      <c r="BU6" s="6">
        <v>0</v>
      </c>
      <c r="BV6" s="6">
        <v>0</v>
      </c>
      <c r="BW6" s="6">
        <v>0</v>
      </c>
      <c r="BX6" s="6">
        <v>0</v>
      </c>
      <c r="BY6" s="6">
        <v>0</v>
      </c>
      <c r="BZ6" s="6">
        <v>0</v>
      </c>
      <c r="CA6" s="6">
        <v>0</v>
      </c>
      <c r="CB6" s="6">
        <v>0</v>
      </c>
      <c r="CC6" s="6">
        <v>0</v>
      </c>
      <c r="CD6" s="6">
        <v>0</v>
      </c>
      <c r="CE6" s="6">
        <v>0</v>
      </c>
      <c r="CF6" s="6">
        <v>0</v>
      </c>
      <c r="CG6" s="6">
        <v>0</v>
      </c>
      <c r="CH6" s="6">
        <v>0</v>
      </c>
      <c r="CI6" s="6">
        <v>0</v>
      </c>
      <c r="CJ6" s="6">
        <v>0</v>
      </c>
      <c r="CK6" s="6">
        <v>0</v>
      </c>
      <c r="CL6" s="6">
        <v>0</v>
      </c>
      <c r="CM6" s="6">
        <v>0</v>
      </c>
      <c r="CN6" s="6">
        <v>0.44129380579999999</v>
      </c>
      <c r="CO6" s="6"/>
      <c r="CP6" s="6"/>
      <c r="CQ6" s="6"/>
      <c r="CR6" s="6"/>
      <c r="CS6" s="6"/>
      <c r="CT6" s="6"/>
      <c r="CU6" s="6"/>
      <c r="CV6" s="6"/>
      <c r="CW6" s="6"/>
      <c r="CX6" s="6"/>
      <c r="CY6" s="6"/>
      <c r="CZ6" s="6"/>
      <c r="DA6" s="6"/>
      <c r="DB6" s="6"/>
      <c r="DC6" s="6"/>
      <c r="DD6" s="6"/>
      <c r="DE6" s="6"/>
      <c r="DF6" s="6"/>
      <c r="DG6" s="6"/>
      <c r="DH6" s="6"/>
      <c r="DI6" s="6"/>
      <c r="DJ6" s="6"/>
      <c r="DK6" s="6"/>
      <c r="DL6" s="6"/>
      <c r="DM6" s="7">
        <v>2.0916876793000001</v>
      </c>
      <c r="DN6" s="7">
        <f t="shared" si="0"/>
        <v>100.00001705569998</v>
      </c>
      <c r="DO6" s="7"/>
      <c r="DP6" s="6">
        <v>1.3643811E-3</v>
      </c>
      <c r="DQ6" s="6">
        <v>7.1562312500000003E-2</v>
      </c>
      <c r="DR6" s="6">
        <v>0.23344986140000001</v>
      </c>
      <c r="DS6" s="6">
        <v>4.9590967600000001E-2</v>
      </c>
      <c r="DT6" s="6">
        <v>9.5978625100000006E-2</v>
      </c>
      <c r="DU6" s="6">
        <v>2.3710429700000001E-2</v>
      </c>
      <c r="DV6" s="6">
        <v>5.65688871E-2</v>
      </c>
      <c r="DW6" s="6">
        <v>0.31616276500000001</v>
      </c>
      <c r="DX6" s="6">
        <v>2.9737091063999999</v>
      </c>
      <c r="DY6" s="6">
        <v>2.0524482727</v>
      </c>
      <c r="DZ6" s="6">
        <v>80.7763671875</v>
      </c>
      <c r="EA6" s="6">
        <v>0.74855005740000002</v>
      </c>
      <c r="EB6" s="6">
        <v>0.44146510960000002</v>
      </c>
      <c r="EC6" s="6">
        <v>0.81051385399999998</v>
      </c>
      <c r="ED6" s="6">
        <v>0.75936114789999998</v>
      </c>
      <c r="EE6" s="6">
        <v>7.5260257720999997</v>
      </c>
      <c r="EF6" s="6">
        <v>1.2701462507000001</v>
      </c>
      <c r="EG6" s="6">
        <v>1.7594274282</v>
      </c>
      <c r="EH6" s="6">
        <v>3.3622168000000001E-2</v>
      </c>
    </row>
    <row r="7" spans="1:138">
      <c r="A7" s="153">
        <v>46120</v>
      </c>
      <c r="B7" s="8"/>
      <c r="C7" s="3">
        <v>1</v>
      </c>
      <c r="D7" s="154" t="s">
        <v>319</v>
      </c>
      <c r="E7" s="3">
        <v>190</v>
      </c>
      <c r="F7" s="3">
        <v>190</v>
      </c>
      <c r="G7" s="3">
        <v>24.013300000000001</v>
      </c>
      <c r="H7" s="3">
        <v>23.994499999999999</v>
      </c>
      <c r="I7" s="3">
        <v>746.34</v>
      </c>
      <c r="J7" s="3">
        <v>746.42200000000003</v>
      </c>
      <c r="K7" s="3">
        <v>0</v>
      </c>
      <c r="L7" s="3">
        <v>0</v>
      </c>
      <c r="M7" s="3">
        <v>746.822</v>
      </c>
      <c r="N7" s="3">
        <v>745.88599999999997</v>
      </c>
      <c r="O7" s="3">
        <v>0</v>
      </c>
      <c r="P7" s="3">
        <v>0</v>
      </c>
      <c r="Q7" s="3">
        <v>0.359877</v>
      </c>
      <c r="R7" s="3">
        <v>2001.57</v>
      </c>
      <c r="S7" s="3">
        <v>1999.87</v>
      </c>
      <c r="T7" s="3">
        <v>0</v>
      </c>
      <c r="U7" s="3">
        <v>0</v>
      </c>
      <c r="V7" s="3">
        <v>1999.55</v>
      </c>
      <c r="W7" s="3">
        <v>1999.09</v>
      </c>
      <c r="X7" s="3">
        <v>0</v>
      </c>
      <c r="Y7" s="3">
        <v>0</v>
      </c>
      <c r="Z7" s="3">
        <v>220</v>
      </c>
      <c r="AA7" s="3">
        <v>2.0014799999999999</v>
      </c>
      <c r="AB7" s="3">
        <v>2.00034</v>
      </c>
      <c r="AC7" s="3">
        <v>-7.7979900000000005E-2</v>
      </c>
      <c r="AD7" s="3">
        <v>-7.3243700000000002E-3</v>
      </c>
      <c r="AE7" s="3">
        <v>2.0014599999999998</v>
      </c>
      <c r="AF7" s="3">
        <v>2.0031599999999998</v>
      </c>
      <c r="AG7" s="3">
        <v>-6.6163200000000005E-2</v>
      </c>
      <c r="AH7" s="3">
        <v>-0.24332699999999999</v>
      </c>
      <c r="AI7" s="7">
        <v>24.104657</v>
      </c>
      <c r="AJ7" s="7">
        <v>58.758333</v>
      </c>
      <c r="AL7" s="6">
        <v>88.218704224000007</v>
      </c>
      <c r="AM7" s="6">
        <v>83.607757567999997</v>
      </c>
      <c r="AN7" s="6">
        <v>16.098691939999998</v>
      </c>
      <c r="AO7" s="6">
        <v>26.610477447000001</v>
      </c>
      <c r="AP7" s="6">
        <v>0</v>
      </c>
      <c r="AQ7" s="6">
        <v>0</v>
      </c>
      <c r="AR7" s="6">
        <v>4.2025063199999997E-2</v>
      </c>
      <c r="AS7" s="6">
        <v>2.8201008199999999E-2</v>
      </c>
      <c r="AT7" s="6">
        <v>1.3695600400000001E-2</v>
      </c>
      <c r="AU7" s="6">
        <v>83.105369568</v>
      </c>
      <c r="AV7" s="6">
        <v>8.3135890960999994</v>
      </c>
      <c r="AW7" s="6">
        <v>2.2755796908999999</v>
      </c>
      <c r="AX7" s="6">
        <v>0</v>
      </c>
      <c r="AY7" s="6">
        <v>0</v>
      </c>
      <c r="AZ7" s="6">
        <v>0</v>
      </c>
      <c r="BA7" s="6">
        <v>0</v>
      </c>
      <c r="BB7" s="6">
        <v>0</v>
      </c>
      <c r="BC7" s="6">
        <v>0</v>
      </c>
      <c r="BD7" s="6">
        <v>0</v>
      </c>
      <c r="BE7" s="6">
        <v>0</v>
      </c>
      <c r="BF7" s="6">
        <v>0</v>
      </c>
      <c r="BG7" s="6">
        <v>0</v>
      </c>
      <c r="BH7" s="6">
        <v>0.13843996820000001</v>
      </c>
      <c r="BI7" s="6">
        <v>5.6082800000000002E-2</v>
      </c>
      <c r="BJ7" s="6">
        <v>3.2100019455000002</v>
      </c>
      <c r="BK7" s="6">
        <v>0.93117153640000005</v>
      </c>
      <c r="BL7" s="6">
        <v>0</v>
      </c>
      <c r="BM7" s="6">
        <v>0</v>
      </c>
      <c r="BN7" s="6">
        <v>0</v>
      </c>
      <c r="BO7" s="6">
        <v>0</v>
      </c>
      <c r="BP7" s="6">
        <v>0</v>
      </c>
      <c r="BQ7" s="6">
        <v>0</v>
      </c>
      <c r="BR7" s="6">
        <v>0</v>
      </c>
      <c r="BS7" s="6">
        <v>0</v>
      </c>
      <c r="BT7" s="6">
        <v>0</v>
      </c>
      <c r="BU7" s="6">
        <v>0</v>
      </c>
      <c r="BV7" s="6">
        <v>0</v>
      </c>
      <c r="BW7" s="6">
        <v>0</v>
      </c>
      <c r="BX7" s="6">
        <v>0</v>
      </c>
      <c r="BY7" s="6">
        <v>0</v>
      </c>
      <c r="BZ7" s="6">
        <v>0</v>
      </c>
      <c r="CA7" s="6">
        <v>0</v>
      </c>
      <c r="CB7" s="6">
        <v>0</v>
      </c>
      <c r="CC7" s="6">
        <v>0</v>
      </c>
      <c r="CD7" s="6">
        <v>0</v>
      </c>
      <c r="CE7" s="6">
        <v>0</v>
      </c>
      <c r="CF7" s="6">
        <v>0</v>
      </c>
      <c r="CG7" s="6">
        <v>0</v>
      </c>
      <c r="CH7" s="6">
        <v>0</v>
      </c>
      <c r="CI7" s="6">
        <v>0</v>
      </c>
      <c r="CJ7" s="6">
        <v>0</v>
      </c>
      <c r="CK7" s="6">
        <v>0</v>
      </c>
      <c r="CL7" s="6">
        <v>0</v>
      </c>
      <c r="CM7" s="6">
        <v>0</v>
      </c>
      <c r="CN7" s="6">
        <v>0.46289610860000002</v>
      </c>
      <c r="CO7" s="6"/>
      <c r="CP7" s="6"/>
      <c r="CQ7" s="6"/>
      <c r="CR7" s="6"/>
      <c r="CS7" s="6"/>
      <c r="CT7" s="6"/>
      <c r="CU7" s="6"/>
      <c r="CV7" s="6"/>
      <c r="CW7" s="6"/>
      <c r="CX7" s="6"/>
      <c r="CY7" s="6"/>
      <c r="CZ7" s="6"/>
      <c r="DA7" s="6"/>
      <c r="DB7" s="6"/>
      <c r="DC7" s="6"/>
      <c r="DD7" s="6"/>
      <c r="DE7" s="6"/>
      <c r="DF7" s="6"/>
      <c r="DG7" s="6"/>
      <c r="DH7" s="6"/>
      <c r="DI7" s="6"/>
      <c r="DJ7" s="6"/>
      <c r="DK7" s="6"/>
      <c r="DL7" s="6"/>
      <c r="DM7" s="7">
        <v>1.4229755401999999</v>
      </c>
      <c r="DN7" s="7">
        <f t="shared" si="0"/>
        <v>100.00002792570001</v>
      </c>
      <c r="DO7" s="7"/>
      <c r="DP7" s="6">
        <v>1.0367233999999999E-3</v>
      </c>
      <c r="DQ7" s="6">
        <v>4.2036909599999998E-2</v>
      </c>
      <c r="DR7" s="6">
        <v>0.1384789944</v>
      </c>
      <c r="DS7" s="6">
        <v>2.8208957999999999E-2</v>
      </c>
      <c r="DT7" s="6">
        <v>5.6098610200000003E-2</v>
      </c>
      <c r="DU7" s="6">
        <v>1.36994608E-2</v>
      </c>
      <c r="DV7" s="6">
        <v>3.26203033E-2</v>
      </c>
      <c r="DW7" s="6">
        <v>0.18171834949999999</v>
      </c>
      <c r="DX7" s="6">
        <v>1.6962819098999999</v>
      </c>
      <c r="DY7" s="6">
        <v>1.3002862930000001</v>
      </c>
      <c r="DZ7" s="6">
        <v>83.128791809099994</v>
      </c>
      <c r="EA7" s="6">
        <v>0.50311362739999999</v>
      </c>
      <c r="EB7" s="6">
        <v>0.46302661299999998</v>
      </c>
      <c r="EC7" s="6">
        <v>0.49657970670000001</v>
      </c>
      <c r="ED7" s="6">
        <v>0.43485432860000001</v>
      </c>
      <c r="EE7" s="6">
        <v>8.3159322738999997</v>
      </c>
      <c r="EF7" s="6">
        <v>0.86751812699999997</v>
      </c>
      <c r="EG7" s="6">
        <v>2.2762210369</v>
      </c>
      <c r="EH7" s="6">
        <v>2.3488383700000001E-2</v>
      </c>
    </row>
    <row r="8" spans="1:138">
      <c r="A8" s="153">
        <v>46120</v>
      </c>
      <c r="B8" s="8"/>
      <c r="C8" s="3">
        <v>2</v>
      </c>
      <c r="D8" s="154" t="s">
        <v>320</v>
      </c>
      <c r="E8" s="3">
        <v>190</v>
      </c>
      <c r="F8" s="3">
        <v>190</v>
      </c>
      <c r="G8" s="3">
        <v>23.995999999999999</v>
      </c>
      <c r="H8" s="3">
        <v>23.998799999999999</v>
      </c>
      <c r="I8" s="3">
        <v>766.04600000000005</v>
      </c>
      <c r="J8" s="3">
        <v>766.29300000000001</v>
      </c>
      <c r="K8" s="3">
        <v>0</v>
      </c>
      <c r="L8" s="3">
        <v>0</v>
      </c>
      <c r="M8" s="3">
        <v>766.31899999999996</v>
      </c>
      <c r="N8" s="3">
        <v>765.25400000000002</v>
      </c>
      <c r="O8" s="3">
        <v>0</v>
      </c>
      <c r="P8" s="3">
        <v>0</v>
      </c>
      <c r="Q8" s="3">
        <v>0.185756</v>
      </c>
      <c r="R8" s="3">
        <v>2000.08</v>
      </c>
      <c r="S8" s="3">
        <v>2000.41</v>
      </c>
      <c r="T8" s="3">
        <v>0</v>
      </c>
      <c r="U8" s="3">
        <v>0</v>
      </c>
      <c r="V8" s="3">
        <v>1999.95</v>
      </c>
      <c r="W8" s="3">
        <v>1999.73</v>
      </c>
      <c r="X8" s="3">
        <v>0</v>
      </c>
      <c r="Y8" s="3">
        <v>0</v>
      </c>
      <c r="Z8" s="3">
        <v>220</v>
      </c>
      <c r="AA8" s="3">
        <v>2</v>
      </c>
      <c r="AB8" s="3">
        <v>2.0001899999999999</v>
      </c>
      <c r="AC8" s="3">
        <v>-6.1351799999999998E-2</v>
      </c>
      <c r="AD8" s="3">
        <v>8.56933E-3</v>
      </c>
      <c r="AE8" s="3">
        <v>2.0011999999999999</v>
      </c>
      <c r="AF8" s="3">
        <v>1.9992799999999999</v>
      </c>
      <c r="AG8" s="3">
        <v>-8.82053E-2</v>
      </c>
      <c r="AH8" s="3">
        <v>-2.52444E-2</v>
      </c>
      <c r="AI8" s="7">
        <v>21.805333999999998</v>
      </c>
      <c r="AJ8" s="7">
        <v>60.018318000000001</v>
      </c>
      <c r="AL8" s="6">
        <v>88.220924377000003</v>
      </c>
      <c r="AM8" s="6">
        <v>83.607803344999994</v>
      </c>
      <c r="AN8" s="6">
        <v>16.112298965000001</v>
      </c>
      <c r="AO8" s="6">
        <v>26.479305267000001</v>
      </c>
      <c r="AP8" s="6">
        <v>0</v>
      </c>
      <c r="AQ8" s="6">
        <v>0</v>
      </c>
      <c r="AR8" s="6">
        <v>3.6710880699999997E-2</v>
      </c>
      <c r="AS8" s="6">
        <v>2.41849162E-2</v>
      </c>
      <c r="AT8" s="6">
        <v>1.1443716499999999E-2</v>
      </c>
      <c r="AU8" s="6">
        <v>83.269905089999995</v>
      </c>
      <c r="AV8" s="6">
        <v>8.4190587997000002</v>
      </c>
      <c r="AW8" s="6">
        <v>2.3493876456999998</v>
      </c>
      <c r="AX8" s="6">
        <v>0</v>
      </c>
      <c r="AY8" s="6">
        <v>0</v>
      </c>
      <c r="AZ8" s="6">
        <v>0</v>
      </c>
      <c r="BA8" s="6">
        <v>0</v>
      </c>
      <c r="BB8" s="6">
        <v>0</v>
      </c>
      <c r="BC8" s="6">
        <v>0</v>
      </c>
      <c r="BD8" s="6">
        <v>0</v>
      </c>
      <c r="BE8" s="6">
        <v>0</v>
      </c>
      <c r="BF8" s="6">
        <v>0</v>
      </c>
      <c r="BG8" s="6">
        <v>0</v>
      </c>
      <c r="BH8" s="6">
        <v>0.1214239597</v>
      </c>
      <c r="BI8" s="6">
        <v>4.8441141799999997E-2</v>
      </c>
      <c r="BJ8" s="6">
        <v>3.0429360867000002</v>
      </c>
      <c r="BK8" s="6">
        <v>0.86683171989999996</v>
      </c>
      <c r="BL8" s="6">
        <v>0</v>
      </c>
      <c r="BM8" s="6">
        <v>0</v>
      </c>
      <c r="BN8" s="6">
        <v>0</v>
      </c>
      <c r="BO8" s="6">
        <v>0</v>
      </c>
      <c r="BP8" s="6">
        <v>0</v>
      </c>
      <c r="BQ8" s="6">
        <v>0</v>
      </c>
      <c r="BR8" s="6">
        <v>0</v>
      </c>
      <c r="BS8" s="6">
        <v>0</v>
      </c>
      <c r="BT8" s="6">
        <v>0</v>
      </c>
      <c r="BU8" s="6">
        <v>0</v>
      </c>
      <c r="BV8" s="6">
        <v>0</v>
      </c>
      <c r="BW8" s="6">
        <v>0</v>
      </c>
      <c r="BX8" s="6">
        <v>0</v>
      </c>
      <c r="BY8" s="6">
        <v>0</v>
      </c>
      <c r="BZ8" s="6">
        <v>0</v>
      </c>
      <c r="CA8" s="6">
        <v>0</v>
      </c>
      <c r="CB8" s="6">
        <v>0</v>
      </c>
      <c r="CC8" s="6">
        <v>0</v>
      </c>
      <c r="CD8" s="6">
        <v>0</v>
      </c>
      <c r="CE8" s="6">
        <v>0</v>
      </c>
      <c r="CF8" s="6">
        <v>0</v>
      </c>
      <c r="CG8" s="6">
        <v>0</v>
      </c>
      <c r="CH8" s="6">
        <v>0</v>
      </c>
      <c r="CI8" s="6">
        <v>0</v>
      </c>
      <c r="CJ8" s="6">
        <v>0</v>
      </c>
      <c r="CK8" s="6">
        <v>0</v>
      </c>
      <c r="CL8" s="6">
        <v>0</v>
      </c>
      <c r="CM8" s="6">
        <v>0</v>
      </c>
      <c r="CN8" s="6">
        <v>0.47651261090000002</v>
      </c>
      <c r="CO8" s="6"/>
      <c r="CP8" s="6"/>
      <c r="CQ8" s="6"/>
      <c r="CR8" s="6"/>
      <c r="CS8" s="6"/>
      <c r="CT8" s="6"/>
      <c r="CU8" s="6"/>
      <c r="CV8" s="6"/>
      <c r="CW8" s="6"/>
      <c r="CX8" s="6"/>
      <c r="CY8" s="6"/>
      <c r="CZ8" s="6"/>
      <c r="DA8" s="6"/>
      <c r="DB8" s="6"/>
      <c r="DC8" s="6"/>
      <c r="DD8" s="6"/>
      <c r="DE8" s="6"/>
      <c r="DF8" s="6"/>
      <c r="DG8" s="6"/>
      <c r="DH8" s="6"/>
      <c r="DI8" s="6"/>
      <c r="DJ8" s="6"/>
      <c r="DK8" s="6"/>
      <c r="DL8" s="6"/>
      <c r="DM8" s="7">
        <v>1.3331185579</v>
      </c>
      <c r="DN8" s="7">
        <f t="shared" si="0"/>
        <v>99.999955125699984</v>
      </c>
      <c r="DO8" s="7"/>
      <c r="DP8" s="6">
        <v>8.6385780000000005E-4</v>
      </c>
      <c r="DQ8" s="6">
        <v>3.6720771300000003E-2</v>
      </c>
      <c r="DR8" s="6">
        <v>0.1214566678</v>
      </c>
      <c r="DS8" s="6">
        <v>2.4191431699999998E-2</v>
      </c>
      <c r="DT8" s="6">
        <v>4.84541915E-2</v>
      </c>
      <c r="DU8" s="6">
        <v>1.14467992E-2</v>
      </c>
      <c r="DV8" s="6">
        <v>3.0724382000000001E-2</v>
      </c>
      <c r="DW8" s="6">
        <v>0.17209702730000001</v>
      </c>
      <c r="DX8" s="6">
        <v>1.5932530165000001</v>
      </c>
      <c r="DY8" s="6">
        <v>1.2476813792999999</v>
      </c>
      <c r="DZ8" s="6">
        <v>83.292335510300006</v>
      </c>
      <c r="EA8" s="6">
        <v>0.46989583969999998</v>
      </c>
      <c r="EB8" s="6">
        <v>0.47664096950000001</v>
      </c>
      <c r="EC8" s="6">
        <v>0.4642119408</v>
      </c>
      <c r="ED8" s="6">
        <v>0.40285328030000001</v>
      </c>
      <c r="EE8" s="6">
        <v>8.4213266373</v>
      </c>
      <c r="EF8" s="6">
        <v>0.81409865619999999</v>
      </c>
      <c r="EG8" s="6">
        <v>2.3500204085999998</v>
      </c>
      <c r="EH8" s="6">
        <v>2.17415504E-2</v>
      </c>
    </row>
    <row r="9" spans="1:138">
      <c r="A9" s="153">
        <v>46121</v>
      </c>
      <c r="B9" s="8"/>
      <c r="C9" s="3">
        <v>5</v>
      </c>
      <c r="D9" s="154" t="s">
        <v>321</v>
      </c>
      <c r="E9" s="3">
        <v>190</v>
      </c>
      <c r="F9" s="3">
        <v>190</v>
      </c>
      <c r="G9" s="3">
        <v>23.961200000000002</v>
      </c>
      <c r="H9" s="3">
        <v>24.0075</v>
      </c>
      <c r="I9" s="3">
        <v>763.178</v>
      </c>
      <c r="J9" s="3">
        <v>760.71199999999999</v>
      </c>
      <c r="K9" s="3">
        <v>0</v>
      </c>
      <c r="L9" s="3">
        <v>0</v>
      </c>
      <c r="M9" s="3">
        <v>761.80399999999997</v>
      </c>
      <c r="N9" s="3">
        <v>764.32899999999995</v>
      </c>
      <c r="O9" s="3">
        <v>0</v>
      </c>
      <c r="P9" s="3">
        <v>0</v>
      </c>
      <c r="Q9" s="3">
        <v>0.29286400000000001</v>
      </c>
      <c r="R9" s="3">
        <v>1999.76</v>
      </c>
      <c r="S9" s="3">
        <v>1999.81</v>
      </c>
      <c r="T9" s="3">
        <v>0</v>
      </c>
      <c r="U9" s="3">
        <v>0</v>
      </c>
      <c r="V9" s="3">
        <v>2000.12</v>
      </c>
      <c r="W9" s="3">
        <v>2000.27</v>
      </c>
      <c r="X9" s="3">
        <v>0</v>
      </c>
      <c r="Y9" s="3">
        <v>0</v>
      </c>
      <c r="Z9" s="3">
        <v>219.9</v>
      </c>
      <c r="AA9" s="3">
        <v>2.0019100000000001</v>
      </c>
      <c r="AB9" s="3">
        <v>2.0009600000000001</v>
      </c>
      <c r="AC9" s="3">
        <v>-6.3301499999999997E-2</v>
      </c>
      <c r="AD9" s="3">
        <v>-2.8293599999999999E-3</v>
      </c>
      <c r="AE9" s="3">
        <v>1.99793</v>
      </c>
      <c r="AF9" s="3">
        <v>2.0017800000000001</v>
      </c>
      <c r="AG9" s="3">
        <v>-9.8218600000000003E-2</v>
      </c>
      <c r="AH9" s="3">
        <v>1.5474799999999999E-3</v>
      </c>
      <c r="AI9" s="7">
        <v>23.407451999999999</v>
      </c>
      <c r="AJ9" s="7">
        <v>58.500475999999999</v>
      </c>
      <c r="AL9" s="6">
        <v>88.090354919000006</v>
      </c>
      <c r="AM9" s="6">
        <v>83.605171204000001</v>
      </c>
      <c r="AN9" s="6">
        <v>16.287557602</v>
      </c>
      <c r="AO9" s="6">
        <v>24.812828064000001</v>
      </c>
      <c r="AP9" s="6">
        <v>0</v>
      </c>
      <c r="AQ9" s="6">
        <v>0</v>
      </c>
      <c r="AR9" s="6">
        <v>0</v>
      </c>
      <c r="AS9" s="6">
        <v>1.7248455E-3</v>
      </c>
      <c r="AT9" s="6">
        <v>5.9430422E-3</v>
      </c>
      <c r="AU9" s="280">
        <v>86.138435364000003</v>
      </c>
      <c r="AV9" s="280">
        <v>9.4945898056000004</v>
      </c>
      <c r="AW9" s="280">
        <v>3.1289646626000001</v>
      </c>
      <c r="AX9" s="6">
        <v>0</v>
      </c>
      <c r="AY9" s="6">
        <v>0</v>
      </c>
      <c r="AZ9" s="6">
        <v>0</v>
      </c>
      <c r="BA9" s="6">
        <v>0</v>
      </c>
      <c r="BB9" s="6">
        <v>0</v>
      </c>
      <c r="BC9" s="6">
        <v>0</v>
      </c>
      <c r="BD9" s="6">
        <v>0</v>
      </c>
      <c r="BE9" s="6">
        <v>0</v>
      </c>
      <c r="BF9" s="6">
        <v>0</v>
      </c>
      <c r="BG9" s="6">
        <v>0</v>
      </c>
      <c r="BH9" s="6">
        <v>0</v>
      </c>
      <c r="BI9" s="6">
        <v>4.6695694000000003E-3</v>
      </c>
      <c r="BJ9" s="6">
        <v>0.42853561039999999</v>
      </c>
      <c r="BK9" s="6">
        <v>8.1720388999999994E-3</v>
      </c>
      <c r="BL9" s="6">
        <v>0</v>
      </c>
      <c r="BM9" s="6">
        <v>0</v>
      </c>
      <c r="BN9" s="6">
        <v>0</v>
      </c>
      <c r="BO9" s="6">
        <v>0</v>
      </c>
      <c r="BP9" s="6">
        <v>0</v>
      </c>
      <c r="BQ9" s="6">
        <v>0</v>
      </c>
      <c r="BR9" s="6">
        <v>0</v>
      </c>
      <c r="BS9" s="6">
        <v>0</v>
      </c>
      <c r="BT9" s="6">
        <v>0</v>
      </c>
      <c r="BU9" s="6">
        <v>0</v>
      </c>
      <c r="BV9" s="6">
        <v>0</v>
      </c>
      <c r="BW9" s="6">
        <v>0</v>
      </c>
      <c r="BX9" s="6">
        <v>0</v>
      </c>
      <c r="BY9" s="6">
        <v>0</v>
      </c>
      <c r="BZ9" s="6">
        <v>0</v>
      </c>
      <c r="CA9" s="6">
        <v>0</v>
      </c>
      <c r="CB9" s="6">
        <v>0</v>
      </c>
      <c r="CC9" s="6">
        <v>0</v>
      </c>
      <c r="CD9" s="6">
        <v>0</v>
      </c>
      <c r="CE9" s="6">
        <v>0</v>
      </c>
      <c r="CF9" s="6">
        <v>0</v>
      </c>
      <c r="CG9" s="6">
        <v>0</v>
      </c>
      <c r="CH9" s="6">
        <v>0</v>
      </c>
      <c r="CI9" s="6">
        <v>0</v>
      </c>
      <c r="CJ9" s="6">
        <v>0</v>
      </c>
      <c r="CK9" s="6">
        <v>0</v>
      </c>
      <c r="CL9" s="6">
        <v>0</v>
      </c>
      <c r="CM9" s="6">
        <v>0</v>
      </c>
      <c r="CN9" s="6">
        <v>0.57978087659999999</v>
      </c>
      <c r="CO9" s="6"/>
      <c r="CP9" s="6"/>
      <c r="CQ9" s="6"/>
      <c r="CR9" s="6"/>
      <c r="CS9" s="6"/>
      <c r="CT9" s="6"/>
      <c r="CU9" s="6"/>
      <c r="CV9" s="6"/>
      <c r="CW9" s="6"/>
      <c r="CX9" s="6"/>
      <c r="CY9" s="6"/>
      <c r="CZ9" s="6"/>
      <c r="DA9" s="6"/>
      <c r="DB9" s="6"/>
      <c r="DC9" s="6"/>
      <c r="DD9" s="6"/>
      <c r="DE9" s="6"/>
      <c r="DF9" s="6"/>
      <c r="DG9" s="6"/>
      <c r="DH9" s="6"/>
      <c r="DI9" s="6"/>
      <c r="DJ9" s="6"/>
      <c r="DK9" s="6"/>
      <c r="DL9" s="6"/>
      <c r="DM9" s="7">
        <v>0.20915928480000001</v>
      </c>
      <c r="DN9" s="7">
        <f t="shared" si="0"/>
        <v>99.999975099999986</v>
      </c>
      <c r="DO9" s="7"/>
      <c r="DP9" s="6">
        <v>1.7252481E-3</v>
      </c>
      <c r="DQ9" s="6">
        <v>4.6706591000000002E-3</v>
      </c>
      <c r="DR9" s="6">
        <v>5.9444294000000003E-3</v>
      </c>
      <c r="DS9" s="6">
        <v>1.5077635E-3</v>
      </c>
      <c r="DT9" s="6">
        <v>4.1467022200000002E-2</v>
      </c>
      <c r="DU9" s="6">
        <v>0.38566085700000002</v>
      </c>
      <c r="DV9" s="6">
        <v>86.158538818400004</v>
      </c>
      <c r="DW9" s="6">
        <v>0.57991617920000005</v>
      </c>
      <c r="DX9" s="6">
        <v>4.1954946000000003E-3</v>
      </c>
      <c r="DY9" s="6">
        <v>3.9784516999999998E-3</v>
      </c>
      <c r="DZ9" s="6">
        <v>1.01307724E-2</v>
      </c>
      <c r="EA9" s="6">
        <v>9.4968061447000007</v>
      </c>
      <c r="EB9" s="6">
        <v>0.10982592400000001</v>
      </c>
      <c r="EC9" s="6">
        <v>3.1296949387000002</v>
      </c>
      <c r="ED9" s="6">
        <v>6.5932862499999995E-2</v>
      </c>
      <c r="EE9" s="6"/>
      <c r="EF9" s="6"/>
      <c r="EG9" s="6"/>
      <c r="EH9" s="6"/>
    </row>
    <row r="10" spans="1:138">
      <c r="A10" s="153">
        <v>46121</v>
      </c>
      <c r="B10" s="8"/>
      <c r="C10" s="3">
        <v>6</v>
      </c>
      <c r="D10" s="154" t="s">
        <v>322</v>
      </c>
      <c r="E10" s="3">
        <v>190</v>
      </c>
      <c r="F10" s="3">
        <v>190</v>
      </c>
      <c r="G10" s="3">
        <v>23.955400000000001</v>
      </c>
      <c r="H10" s="3">
        <v>23.990200000000002</v>
      </c>
      <c r="I10" s="3">
        <v>802.07600000000002</v>
      </c>
      <c r="J10" s="3">
        <v>802.54700000000003</v>
      </c>
      <c r="K10" s="3">
        <v>0</v>
      </c>
      <c r="L10" s="3">
        <v>0</v>
      </c>
      <c r="M10" s="3">
        <v>801.93600000000004</v>
      </c>
      <c r="N10" s="3">
        <v>801.84</v>
      </c>
      <c r="O10" s="3">
        <v>0</v>
      </c>
      <c r="P10" s="3">
        <v>0</v>
      </c>
      <c r="Q10" s="3">
        <v>0.27065099999999997</v>
      </c>
      <c r="R10" s="3">
        <v>2000.14</v>
      </c>
      <c r="S10" s="3">
        <v>2000.61</v>
      </c>
      <c r="T10" s="3">
        <v>0</v>
      </c>
      <c r="U10" s="3">
        <v>0</v>
      </c>
      <c r="V10" s="3">
        <v>1999.92</v>
      </c>
      <c r="W10" s="3">
        <v>1998.98</v>
      </c>
      <c r="X10" s="3">
        <v>0</v>
      </c>
      <c r="Y10" s="3">
        <v>0</v>
      </c>
      <c r="Z10" s="3">
        <v>220</v>
      </c>
      <c r="AA10" s="3">
        <v>1.99939</v>
      </c>
      <c r="AB10" s="3">
        <v>2.0004400000000002</v>
      </c>
      <c r="AC10" s="3">
        <v>-5.99026E-2</v>
      </c>
      <c r="AD10" s="3">
        <v>-3.1880300000000001E-3</v>
      </c>
      <c r="AE10" s="3">
        <v>2.0026099999999998</v>
      </c>
      <c r="AF10" s="3">
        <v>1.9986600000000001</v>
      </c>
      <c r="AG10" s="3">
        <v>-8.0312099999999997E-2</v>
      </c>
      <c r="AH10" s="3">
        <v>-3.4593499999999999E-2</v>
      </c>
      <c r="AI10" s="7">
        <v>22.594453000000001</v>
      </c>
      <c r="AJ10" s="7">
        <v>59.152436000000002</v>
      </c>
      <c r="AL10" s="6">
        <v>88.238639831</v>
      </c>
      <c r="AM10" s="6">
        <v>83.608642578000001</v>
      </c>
      <c r="AN10" s="6">
        <v>16.007287979000001</v>
      </c>
      <c r="AO10" s="6">
        <v>27.970733642999999</v>
      </c>
      <c r="AP10" s="6">
        <v>0</v>
      </c>
      <c r="AQ10" s="6">
        <v>0</v>
      </c>
      <c r="AR10" s="6">
        <v>7.24467263E-2</v>
      </c>
      <c r="AS10" s="6">
        <v>4.4775739299999999E-2</v>
      </c>
      <c r="AT10" s="6">
        <v>1.17345573E-2</v>
      </c>
      <c r="AU10" s="6">
        <v>80.987594604999998</v>
      </c>
      <c r="AV10" s="6">
        <v>7.5566210746999998</v>
      </c>
      <c r="AW10" s="6">
        <v>1.7823793887999999</v>
      </c>
      <c r="AX10" s="6">
        <v>0</v>
      </c>
      <c r="AY10" s="6">
        <v>0</v>
      </c>
      <c r="AZ10" s="6">
        <v>0</v>
      </c>
      <c r="BA10" s="6">
        <v>0</v>
      </c>
      <c r="BB10" s="6">
        <v>0</v>
      </c>
      <c r="BC10" s="6">
        <v>0</v>
      </c>
      <c r="BD10" s="6">
        <v>0</v>
      </c>
      <c r="BE10" s="6">
        <v>0</v>
      </c>
      <c r="BF10" s="6">
        <v>0</v>
      </c>
      <c r="BG10" s="6">
        <v>0</v>
      </c>
      <c r="BH10" s="6">
        <v>0.2273811251</v>
      </c>
      <c r="BI10" s="6">
        <v>7.6894454700000003E-2</v>
      </c>
      <c r="BJ10" s="6">
        <v>5.2709808349999996</v>
      </c>
      <c r="BK10" s="6">
        <v>1.5156230927000001</v>
      </c>
      <c r="BL10" s="6">
        <v>0</v>
      </c>
      <c r="BM10" s="6">
        <v>0</v>
      </c>
      <c r="BN10" s="6">
        <v>0</v>
      </c>
      <c r="BO10" s="6">
        <v>0</v>
      </c>
      <c r="BP10" s="6">
        <v>0</v>
      </c>
      <c r="BQ10" s="6">
        <v>0</v>
      </c>
      <c r="BR10" s="6">
        <v>0</v>
      </c>
      <c r="BS10" s="6">
        <v>0</v>
      </c>
      <c r="BT10" s="6">
        <v>0</v>
      </c>
      <c r="BU10" s="6">
        <v>0</v>
      </c>
      <c r="BV10" s="6">
        <v>0</v>
      </c>
      <c r="BW10" s="6">
        <v>0</v>
      </c>
      <c r="BX10" s="6">
        <v>0</v>
      </c>
      <c r="BY10" s="6">
        <v>0</v>
      </c>
      <c r="BZ10" s="6">
        <v>0</v>
      </c>
      <c r="CA10" s="6">
        <v>0</v>
      </c>
      <c r="CB10" s="6">
        <v>0</v>
      </c>
      <c r="CC10" s="6">
        <v>0</v>
      </c>
      <c r="CD10" s="6">
        <v>0</v>
      </c>
      <c r="CE10" s="6">
        <v>0</v>
      </c>
      <c r="CF10" s="6">
        <v>0</v>
      </c>
      <c r="CG10" s="6">
        <v>0</v>
      </c>
      <c r="CH10" s="6">
        <v>0</v>
      </c>
      <c r="CI10" s="6">
        <v>0</v>
      </c>
      <c r="CJ10" s="6">
        <v>0</v>
      </c>
      <c r="CK10" s="6">
        <v>0</v>
      </c>
      <c r="CL10" s="6">
        <v>0</v>
      </c>
      <c r="CM10" s="6">
        <v>0</v>
      </c>
      <c r="CN10" s="6">
        <v>0.44187012310000001</v>
      </c>
      <c r="CO10" s="6"/>
      <c r="CP10" s="6"/>
      <c r="CQ10" s="6"/>
      <c r="CR10" s="6"/>
      <c r="CS10" s="6"/>
      <c r="CT10" s="6"/>
      <c r="CU10" s="6"/>
      <c r="CV10" s="6"/>
      <c r="CW10" s="6"/>
      <c r="CX10" s="6"/>
      <c r="CY10" s="6"/>
      <c r="CZ10" s="6"/>
      <c r="DA10" s="6"/>
      <c r="DB10" s="6"/>
      <c r="DC10" s="6"/>
      <c r="DD10" s="6"/>
      <c r="DE10" s="6"/>
      <c r="DF10" s="6"/>
      <c r="DG10" s="6"/>
      <c r="DH10" s="6"/>
      <c r="DI10" s="6"/>
      <c r="DJ10" s="6"/>
      <c r="DK10" s="6"/>
      <c r="DL10" s="6"/>
      <c r="DM10" s="7">
        <v>2.0117118358999999</v>
      </c>
      <c r="DN10" s="7">
        <f t="shared" si="0"/>
        <v>100.00001355789999</v>
      </c>
      <c r="DO10" s="7"/>
      <c r="DP10" s="6">
        <v>1.0217624E-3</v>
      </c>
      <c r="DQ10" s="6">
        <v>7.2466611900000005E-2</v>
      </c>
      <c r="DR10" s="6">
        <v>0.2274435461</v>
      </c>
      <c r="DS10" s="6">
        <v>4.4788029E-2</v>
      </c>
      <c r="DT10" s="6">
        <v>7.6915562199999996E-2</v>
      </c>
      <c r="DU10" s="6">
        <v>1.1737777899999999E-2</v>
      </c>
      <c r="DV10" s="6">
        <v>5.5982775999999998E-2</v>
      </c>
      <c r="DW10" s="6">
        <v>0.31539735200000002</v>
      </c>
      <c r="DX10" s="6">
        <v>2.8949968815</v>
      </c>
      <c r="DY10" s="6">
        <v>2.0060503483000001</v>
      </c>
      <c r="DZ10" s="6">
        <v>81.009819030800003</v>
      </c>
      <c r="EA10" s="6">
        <v>0.75283348559999996</v>
      </c>
      <c r="EB10" s="6">
        <v>0.44199141860000002</v>
      </c>
      <c r="EC10" s="6">
        <v>0.78428077699999998</v>
      </c>
      <c r="ED10" s="6">
        <v>0.73175829650000002</v>
      </c>
      <c r="EE10" s="6">
        <v>7.5586948395000002</v>
      </c>
      <c r="EF10" s="6">
        <v>1.2195942402</v>
      </c>
      <c r="EG10" s="6">
        <v>1.7828685044999999</v>
      </c>
      <c r="EH10" s="6">
        <v>1.13696037E-2</v>
      </c>
    </row>
    <row r="11" spans="1:138">
      <c r="A11" s="153">
        <v>46121</v>
      </c>
      <c r="B11" s="8"/>
      <c r="C11" s="3">
        <v>1</v>
      </c>
      <c r="D11" s="154" t="s">
        <v>323</v>
      </c>
      <c r="E11" s="3">
        <v>190</v>
      </c>
      <c r="F11" s="3">
        <v>190</v>
      </c>
      <c r="G11" s="3">
        <v>24.0032</v>
      </c>
      <c r="H11" s="3">
        <v>23.993099999999998</v>
      </c>
      <c r="I11" s="3">
        <v>800.11300000000006</v>
      </c>
      <c r="J11" s="3">
        <v>800.79399999999998</v>
      </c>
      <c r="K11" s="3">
        <v>0</v>
      </c>
      <c r="L11" s="3">
        <v>0</v>
      </c>
      <c r="M11" s="3">
        <v>799.95500000000004</v>
      </c>
      <c r="N11" s="3">
        <v>800.322</v>
      </c>
      <c r="O11" s="3">
        <v>0</v>
      </c>
      <c r="P11" s="3">
        <v>0</v>
      </c>
      <c r="Q11" s="3">
        <v>0.240064</v>
      </c>
      <c r="R11" s="3">
        <v>1999.91</v>
      </c>
      <c r="S11" s="3">
        <v>2000.13</v>
      </c>
      <c r="T11" s="3">
        <v>0</v>
      </c>
      <c r="U11" s="3">
        <v>0</v>
      </c>
      <c r="V11" s="3">
        <v>1999.66</v>
      </c>
      <c r="W11" s="3">
        <v>1999.64</v>
      </c>
      <c r="X11" s="3">
        <v>0</v>
      </c>
      <c r="Y11" s="3">
        <v>0</v>
      </c>
      <c r="Z11" s="3">
        <v>219.9</v>
      </c>
      <c r="AA11" s="3">
        <v>1.9994799999999999</v>
      </c>
      <c r="AB11" s="3">
        <v>1.99969</v>
      </c>
      <c r="AC11" s="3">
        <v>-6.1655399999999999E-2</v>
      </c>
      <c r="AD11" s="3">
        <v>-1.1390700000000001E-3</v>
      </c>
      <c r="AE11" s="3">
        <v>1.9980599999999999</v>
      </c>
      <c r="AF11" s="3">
        <v>2.0023</v>
      </c>
      <c r="AG11" s="3">
        <v>-0.133934</v>
      </c>
      <c r="AH11" s="3">
        <v>-2.20774E-2</v>
      </c>
      <c r="AI11" s="7">
        <v>24.425367000000001</v>
      </c>
      <c r="AJ11" s="7">
        <v>58.728386</v>
      </c>
      <c r="AL11" s="6">
        <v>88.217498778999996</v>
      </c>
      <c r="AM11" s="6">
        <v>83.607643127000003</v>
      </c>
      <c r="AN11" s="6">
        <v>16.103294373000001</v>
      </c>
      <c r="AO11" s="6">
        <v>26.559080124000001</v>
      </c>
      <c r="AP11" s="6">
        <v>0</v>
      </c>
      <c r="AQ11" s="6">
        <v>0</v>
      </c>
      <c r="AR11" s="6">
        <v>4.2004022699999997E-2</v>
      </c>
      <c r="AS11" s="6">
        <v>2.6720398999999999E-2</v>
      </c>
      <c r="AT11" s="6">
        <v>1.05882874E-2</v>
      </c>
      <c r="AU11" s="6">
        <v>83.170242310000006</v>
      </c>
      <c r="AV11" s="6">
        <v>8.3511400222999992</v>
      </c>
      <c r="AW11" s="6">
        <v>2.2993695735999999</v>
      </c>
      <c r="AX11" s="6">
        <v>0</v>
      </c>
      <c r="AY11" s="6">
        <v>0</v>
      </c>
      <c r="AZ11" s="6">
        <v>0</v>
      </c>
      <c r="BA11" s="6">
        <v>0</v>
      </c>
      <c r="BB11" s="6">
        <v>0</v>
      </c>
      <c r="BC11" s="6">
        <v>0</v>
      </c>
      <c r="BD11" s="6">
        <v>0</v>
      </c>
      <c r="BE11" s="6">
        <v>0</v>
      </c>
      <c r="BF11" s="6">
        <v>0</v>
      </c>
      <c r="BG11" s="6">
        <v>0</v>
      </c>
      <c r="BH11" s="6">
        <v>0.13786973059999999</v>
      </c>
      <c r="BI11" s="6">
        <v>5.1444426199999997E-2</v>
      </c>
      <c r="BJ11" s="6">
        <v>3.1453611851000001</v>
      </c>
      <c r="BK11" s="6">
        <v>0.91212320329999996</v>
      </c>
      <c r="BL11" s="6">
        <v>0</v>
      </c>
      <c r="BM11" s="6">
        <v>0</v>
      </c>
      <c r="BN11" s="6">
        <v>0</v>
      </c>
      <c r="BO11" s="6">
        <v>0</v>
      </c>
      <c r="BP11" s="6">
        <v>0</v>
      </c>
      <c r="BQ11" s="6">
        <v>0</v>
      </c>
      <c r="BR11" s="6">
        <v>0</v>
      </c>
      <c r="BS11" s="6">
        <v>0</v>
      </c>
      <c r="BT11" s="6">
        <v>0</v>
      </c>
      <c r="BU11" s="6">
        <v>0</v>
      </c>
      <c r="BV11" s="6">
        <v>0</v>
      </c>
      <c r="BW11" s="6">
        <v>0</v>
      </c>
      <c r="BX11" s="6">
        <v>0</v>
      </c>
      <c r="BY11" s="6">
        <v>0</v>
      </c>
      <c r="BZ11" s="6">
        <v>0</v>
      </c>
      <c r="CA11" s="6">
        <v>0</v>
      </c>
      <c r="CB11" s="6">
        <v>0</v>
      </c>
      <c r="CC11" s="6">
        <v>0</v>
      </c>
      <c r="CD11" s="6">
        <v>0</v>
      </c>
      <c r="CE11" s="6">
        <v>0</v>
      </c>
      <c r="CF11" s="6">
        <v>0</v>
      </c>
      <c r="CG11" s="6">
        <v>0</v>
      </c>
      <c r="CH11" s="6">
        <v>0</v>
      </c>
      <c r="CI11" s="6">
        <v>0</v>
      </c>
      <c r="CJ11" s="6">
        <v>0</v>
      </c>
      <c r="CK11" s="6">
        <v>0</v>
      </c>
      <c r="CL11" s="6">
        <v>0</v>
      </c>
      <c r="CM11" s="6">
        <v>0</v>
      </c>
      <c r="CN11" s="6">
        <v>0.4591751993</v>
      </c>
      <c r="CO11" s="6"/>
      <c r="CP11" s="6"/>
      <c r="CQ11" s="6"/>
      <c r="CR11" s="6"/>
      <c r="CS11" s="6"/>
      <c r="CT11" s="6"/>
      <c r="CU11" s="6"/>
      <c r="CV11" s="6"/>
      <c r="CW11" s="6"/>
      <c r="CX11" s="6"/>
      <c r="CY11" s="6"/>
      <c r="CZ11" s="6"/>
      <c r="DA11" s="6"/>
      <c r="DB11" s="6"/>
      <c r="DC11" s="6"/>
      <c r="DD11" s="6"/>
      <c r="DE11" s="6"/>
      <c r="DF11" s="6"/>
      <c r="DG11" s="6"/>
      <c r="DH11" s="6"/>
      <c r="DI11" s="6"/>
      <c r="DJ11" s="6"/>
      <c r="DK11" s="6"/>
      <c r="DL11" s="6"/>
      <c r="DM11" s="7">
        <v>1.3939585686</v>
      </c>
      <c r="DN11" s="7">
        <f t="shared" si="0"/>
        <v>99.999996928100018</v>
      </c>
      <c r="DO11" s="7"/>
      <c r="DP11" s="6">
        <v>8.2235200000000004E-4</v>
      </c>
      <c r="DQ11" s="6">
        <v>4.2014546700000002E-2</v>
      </c>
      <c r="DR11" s="6">
        <v>0.13790427150000001</v>
      </c>
      <c r="DS11" s="6">
        <v>2.6727093399999999E-2</v>
      </c>
      <c r="DT11" s="6">
        <v>5.1457315699999999E-2</v>
      </c>
      <c r="DU11" s="6">
        <v>1.0590940700000001E-2</v>
      </c>
      <c r="DV11" s="6">
        <v>3.20282988E-2</v>
      </c>
      <c r="DW11" s="6">
        <v>0.1788240522</v>
      </c>
      <c r="DX11" s="6">
        <v>1.6594604254</v>
      </c>
      <c r="DY11" s="6">
        <v>1.2758364677</v>
      </c>
      <c r="DZ11" s="6">
        <v>83.191078185999999</v>
      </c>
      <c r="EA11" s="6">
        <v>0.5014637113</v>
      </c>
      <c r="EB11" s="6">
        <v>0.45929023619999998</v>
      </c>
      <c r="EC11" s="6">
        <v>0.48806637530000002</v>
      </c>
      <c r="ED11" s="6">
        <v>0.42428535220000002</v>
      </c>
      <c r="EE11" s="6">
        <v>8.3532323837</v>
      </c>
      <c r="EF11" s="6">
        <v>0.8488810658</v>
      </c>
      <c r="EG11" s="6">
        <v>2.2999455928999999</v>
      </c>
      <c r="EH11" s="6">
        <v>1.8073519699999999E-2</v>
      </c>
    </row>
    <row r="12" spans="1:138">
      <c r="A12" s="153">
        <v>46121</v>
      </c>
      <c r="B12" s="8"/>
      <c r="C12" s="3">
        <v>2</v>
      </c>
      <c r="D12" s="154" t="s">
        <v>324</v>
      </c>
      <c r="E12" s="3">
        <v>190</v>
      </c>
      <c r="F12" s="3">
        <v>190</v>
      </c>
      <c r="G12" s="3">
        <v>24.010400000000001</v>
      </c>
      <c r="H12" s="3">
        <v>24.000299999999999</v>
      </c>
      <c r="I12" s="3">
        <v>773.70600000000002</v>
      </c>
      <c r="J12" s="3">
        <v>770.88499999999999</v>
      </c>
      <c r="K12" s="3">
        <v>0</v>
      </c>
      <c r="L12" s="3">
        <v>0</v>
      </c>
      <c r="M12" s="3">
        <v>772.51199999999994</v>
      </c>
      <c r="N12" s="3">
        <v>775.44</v>
      </c>
      <c r="O12" s="3">
        <v>0</v>
      </c>
      <c r="P12" s="3">
        <v>0</v>
      </c>
      <c r="Q12" s="3">
        <v>0.25021100000000002</v>
      </c>
      <c r="R12" s="3">
        <v>1999.65</v>
      </c>
      <c r="S12" s="3">
        <v>1999.36</v>
      </c>
      <c r="T12" s="3">
        <v>0</v>
      </c>
      <c r="U12" s="3">
        <v>0</v>
      </c>
      <c r="V12" s="3">
        <v>2000.2</v>
      </c>
      <c r="W12" s="3">
        <v>1998.77</v>
      </c>
      <c r="X12" s="3">
        <v>0</v>
      </c>
      <c r="Y12" s="3">
        <v>0</v>
      </c>
      <c r="Z12" s="3">
        <v>220</v>
      </c>
      <c r="AA12" s="3">
        <v>0.78937500000000005</v>
      </c>
      <c r="AB12" s="3">
        <v>1.13808</v>
      </c>
      <c r="AC12" s="3">
        <v>-5.7556599999999999E-2</v>
      </c>
      <c r="AD12" s="3">
        <v>3.6276899999999998E-5</v>
      </c>
      <c r="AE12" s="3">
        <v>-0.25870199999999999</v>
      </c>
      <c r="AF12" s="3">
        <v>-1.8314299999999999</v>
      </c>
      <c r="AG12" s="3">
        <v>-0.18526300000000001</v>
      </c>
      <c r="AH12" s="3">
        <v>3.0242100000000001E-2</v>
      </c>
      <c r="AI12" s="7">
        <v>21.840240999999999</v>
      </c>
      <c r="AJ12" s="7">
        <v>60.390619999999998</v>
      </c>
      <c r="AL12" s="6">
        <v>88.213226317999997</v>
      </c>
      <c r="AM12" s="59">
        <v>83.607498168999996</v>
      </c>
      <c r="AN12" s="6">
        <v>16.112035751000001</v>
      </c>
      <c r="AO12" s="6">
        <v>26.507112502999998</v>
      </c>
      <c r="AP12" s="6">
        <v>0</v>
      </c>
      <c r="AQ12" s="6">
        <v>0</v>
      </c>
      <c r="AR12" s="6">
        <v>3.9317522200000003E-2</v>
      </c>
      <c r="AS12" s="6">
        <v>2.5144457799999999E-2</v>
      </c>
      <c r="AT12" s="6">
        <v>9.8485815999999997E-3</v>
      </c>
      <c r="AU12" s="6">
        <v>83.256011963000006</v>
      </c>
      <c r="AV12" s="6">
        <v>8.4044666289999999</v>
      </c>
      <c r="AW12" s="6">
        <v>2.3352901936000001</v>
      </c>
      <c r="AX12" s="6">
        <v>0</v>
      </c>
      <c r="AY12" s="6">
        <v>0</v>
      </c>
      <c r="AZ12" s="6">
        <v>0</v>
      </c>
      <c r="BA12" s="6">
        <v>0</v>
      </c>
      <c r="BB12" s="6">
        <v>0</v>
      </c>
      <c r="BC12" s="6">
        <v>0</v>
      </c>
      <c r="BD12" s="6">
        <v>0</v>
      </c>
      <c r="BE12" s="6">
        <v>0</v>
      </c>
      <c r="BF12" s="6">
        <v>0</v>
      </c>
      <c r="BG12" s="6">
        <v>0</v>
      </c>
      <c r="BH12" s="6">
        <v>0.12782566249999999</v>
      </c>
      <c r="BI12" s="6">
        <v>4.7998707699999997E-2</v>
      </c>
      <c r="BJ12" s="6">
        <v>3.0788979529999998</v>
      </c>
      <c r="BK12" s="6">
        <v>0.87130963800000005</v>
      </c>
      <c r="BL12" s="6">
        <v>0</v>
      </c>
      <c r="BM12" s="6">
        <v>0</v>
      </c>
      <c r="BN12" s="6">
        <v>0</v>
      </c>
      <c r="BO12" s="6">
        <v>0</v>
      </c>
      <c r="BP12" s="6">
        <v>0</v>
      </c>
      <c r="BQ12" s="6">
        <v>0</v>
      </c>
      <c r="BR12" s="6">
        <v>0</v>
      </c>
      <c r="BS12" s="6">
        <v>0</v>
      </c>
      <c r="BT12" s="6">
        <v>0</v>
      </c>
      <c r="BU12" s="6">
        <v>0</v>
      </c>
      <c r="BV12" s="6">
        <v>0</v>
      </c>
      <c r="BW12" s="6">
        <v>0</v>
      </c>
      <c r="BX12" s="6">
        <v>0</v>
      </c>
      <c r="BY12" s="6">
        <v>0</v>
      </c>
      <c r="BZ12" s="6">
        <v>0</v>
      </c>
      <c r="CA12" s="6">
        <v>0</v>
      </c>
      <c r="CB12" s="6">
        <v>0</v>
      </c>
      <c r="CC12" s="6">
        <v>0</v>
      </c>
      <c r="CD12" s="6">
        <v>0</v>
      </c>
      <c r="CE12" s="6">
        <v>0</v>
      </c>
      <c r="CF12" s="6">
        <v>0</v>
      </c>
      <c r="CG12" s="6">
        <v>0</v>
      </c>
      <c r="CH12" s="6">
        <v>0</v>
      </c>
      <c r="CI12" s="6">
        <v>0</v>
      </c>
      <c r="CJ12" s="6">
        <v>0</v>
      </c>
      <c r="CK12" s="6">
        <v>0</v>
      </c>
      <c r="CL12" s="6">
        <v>0</v>
      </c>
      <c r="CM12" s="6">
        <v>0</v>
      </c>
      <c r="CN12" s="6">
        <v>0.46661776300000002</v>
      </c>
      <c r="CO12" s="6"/>
      <c r="CP12" s="6"/>
      <c r="CQ12" s="6"/>
      <c r="CR12" s="6"/>
      <c r="CS12" s="6"/>
      <c r="CT12" s="6"/>
      <c r="CU12" s="6"/>
      <c r="CV12" s="6"/>
      <c r="CW12" s="6"/>
      <c r="CX12" s="6"/>
      <c r="CY12" s="6"/>
      <c r="CZ12" s="6"/>
      <c r="DA12" s="6"/>
      <c r="DB12" s="6"/>
      <c r="DC12" s="6"/>
      <c r="DD12" s="6"/>
      <c r="DE12" s="6"/>
      <c r="DF12" s="6"/>
      <c r="DG12" s="6"/>
      <c r="DH12" s="6"/>
      <c r="DI12" s="6"/>
      <c r="DJ12" s="6"/>
      <c r="DK12" s="6"/>
      <c r="DL12" s="6"/>
      <c r="DM12" s="7">
        <v>1.3372740746</v>
      </c>
      <c r="DN12" s="7">
        <f t="shared" si="0"/>
        <v>100.00000314600001</v>
      </c>
      <c r="DO12" s="7"/>
      <c r="DP12" s="6">
        <v>8.6474670000000003E-4</v>
      </c>
      <c r="DQ12" s="6">
        <v>3.9326604500000001E-2</v>
      </c>
      <c r="DR12" s="6">
        <v>0.12785518169999999</v>
      </c>
      <c r="DS12" s="6">
        <v>2.5150265500000001E-2</v>
      </c>
      <c r="DT12" s="6">
        <v>4.8009794199999997E-2</v>
      </c>
      <c r="DU12" s="6">
        <v>9.8508568000000001E-3</v>
      </c>
      <c r="DV12" s="6">
        <v>3.2111879400000001E-2</v>
      </c>
      <c r="DW12" s="6">
        <v>0.17723283170000001</v>
      </c>
      <c r="DX12" s="6">
        <v>1.6142468452000001</v>
      </c>
      <c r="DY12" s="6">
        <v>1.2560178041000001</v>
      </c>
      <c r="DZ12" s="6">
        <v>83.275245666499998</v>
      </c>
      <c r="EA12" s="6">
        <v>0.48408529160000002</v>
      </c>
      <c r="EB12" s="6">
        <v>0.46672555799999998</v>
      </c>
      <c r="EC12" s="6">
        <v>0.46745327120000002</v>
      </c>
      <c r="ED12" s="6">
        <v>0.4040576816</v>
      </c>
      <c r="EE12" s="6">
        <v>8.4064083098999998</v>
      </c>
      <c r="EF12" s="6">
        <v>0.81088840959999997</v>
      </c>
      <c r="EG12" s="6">
        <v>2.3358297347999999</v>
      </c>
      <c r="EH12" s="6">
        <v>1.8609818100000002E-2</v>
      </c>
    </row>
    <row r="13" spans="1:138">
      <c r="A13" s="153"/>
      <c r="B13" s="8"/>
      <c r="D13" s="154"/>
      <c r="I13" s="3"/>
      <c r="J13" s="3"/>
      <c r="K13" s="3"/>
      <c r="L13" s="3"/>
      <c r="M13" s="3"/>
      <c r="N13" s="3"/>
      <c r="O13" s="3"/>
      <c r="P13" s="3"/>
      <c r="R13" s="3"/>
      <c r="S13" s="3"/>
      <c r="T13" s="3"/>
      <c r="U13" s="3"/>
      <c r="V13" s="3"/>
      <c r="W13" s="3"/>
      <c r="X13" s="3"/>
      <c r="Y13" s="3"/>
      <c r="AA13" s="3"/>
      <c r="AB13" s="3"/>
      <c r="AC13" s="3"/>
      <c r="AD13" s="3"/>
      <c r="AE13" s="3"/>
      <c r="AF13" s="3"/>
      <c r="AG13" s="3"/>
      <c r="AH13" s="3"/>
      <c r="AI13" s="7"/>
      <c r="AJ13" s="7"/>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7"/>
      <c r="DN13" s="7"/>
      <c r="DO13" s="7"/>
    </row>
    <row r="14" spans="1:138">
      <c r="A14" s="153"/>
      <c r="B14" s="8"/>
      <c r="D14" s="154"/>
      <c r="I14" s="3"/>
      <c r="J14" s="3"/>
      <c r="K14" s="3"/>
      <c r="L14" s="3"/>
      <c r="M14" s="3"/>
      <c r="N14" s="3"/>
      <c r="O14" s="3"/>
      <c r="P14" s="3"/>
      <c r="R14" s="3"/>
      <c r="S14" s="3"/>
      <c r="T14" s="3"/>
      <c r="U14" s="3"/>
      <c r="V14" s="3"/>
      <c r="W14" s="3"/>
      <c r="X14" s="3"/>
      <c r="Y14" s="3"/>
      <c r="AA14" s="3"/>
      <c r="AB14" s="3"/>
      <c r="AC14" s="3"/>
      <c r="AD14" s="3"/>
      <c r="AE14" s="3"/>
      <c r="AF14" s="3"/>
      <c r="AG14" s="3"/>
      <c r="AH14" s="3"/>
      <c r="AI14" s="7"/>
      <c r="AJ14" s="7"/>
      <c r="AL14" s="6"/>
      <c r="AM14" s="59"/>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7"/>
      <c r="DN14" s="7"/>
      <c r="DO14" s="7"/>
    </row>
    <row r="15" spans="1:138">
      <c r="A15" s="153"/>
      <c r="B15" s="8"/>
      <c r="D15" s="154"/>
      <c r="I15" s="3"/>
      <c r="J15" s="3"/>
      <c r="K15" s="3"/>
      <c r="L15" s="3"/>
      <c r="M15" s="3"/>
      <c r="N15" s="3"/>
      <c r="O15" s="3"/>
      <c r="P15" s="3"/>
      <c r="R15" s="3"/>
      <c r="S15" s="3"/>
      <c r="T15" s="3"/>
      <c r="U15" s="3"/>
      <c r="V15" s="3"/>
      <c r="W15" s="3"/>
      <c r="X15" s="3"/>
      <c r="Y15" s="3"/>
      <c r="AA15" s="3"/>
      <c r="AB15" s="3"/>
      <c r="AC15" s="3"/>
      <c r="AD15" s="3"/>
      <c r="AE15" s="3"/>
      <c r="AF15" s="3"/>
      <c r="AG15" s="3"/>
      <c r="AH15" s="3"/>
      <c r="AI15" s="7"/>
      <c r="AJ15" s="7"/>
      <c r="AL15" s="6"/>
      <c r="AM15" s="59"/>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7"/>
      <c r="DN15" s="7"/>
      <c r="DO15" s="7"/>
    </row>
    <row r="16" spans="1:138">
      <c r="A16" s="4"/>
      <c r="B16" s="8"/>
      <c r="D16" s="90"/>
      <c r="I16" s="3"/>
      <c r="J16" s="3"/>
      <c r="K16" s="3"/>
      <c r="L16" s="3"/>
      <c r="M16" s="3"/>
      <c r="N16" s="3"/>
      <c r="O16" s="3"/>
      <c r="P16" s="3"/>
      <c r="R16" s="3"/>
      <c r="S16" s="3"/>
      <c r="T16" s="3"/>
      <c r="U16" s="3"/>
      <c r="V16" s="3"/>
      <c r="W16" s="3"/>
      <c r="X16" s="3"/>
      <c r="Y16" s="3"/>
      <c r="AA16" s="3"/>
      <c r="AB16" s="3"/>
      <c r="AC16" s="3"/>
      <c r="AD16" s="3"/>
      <c r="AE16" s="3"/>
      <c r="AF16" s="3"/>
      <c r="AG16" s="3"/>
      <c r="AH16" s="3"/>
      <c r="AI16" s="7"/>
      <c r="AJ16" s="7"/>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7"/>
      <c r="DN16" s="7"/>
      <c r="DO16" s="7"/>
    </row>
    <row r="17" spans="1:138">
      <c r="A17" s="4"/>
      <c r="B17" s="8"/>
      <c r="D17" s="90"/>
      <c r="I17" s="3"/>
      <c r="J17" s="3"/>
      <c r="K17" s="3"/>
      <c r="L17" s="3"/>
      <c r="M17" s="3"/>
      <c r="N17" s="3"/>
      <c r="O17" s="3"/>
      <c r="P17" s="3"/>
      <c r="R17" s="3"/>
      <c r="S17" s="3"/>
      <c r="T17" s="3"/>
      <c r="U17" s="3"/>
      <c r="V17" s="3"/>
      <c r="W17" s="3"/>
      <c r="X17" s="3"/>
      <c r="Y17" s="3"/>
      <c r="AA17" s="3"/>
      <c r="AB17" s="3"/>
      <c r="AC17" s="3"/>
      <c r="AD17" s="3"/>
      <c r="AE17" s="3"/>
      <c r="AF17" s="3"/>
      <c r="AG17" s="3"/>
      <c r="AH17" s="3"/>
      <c r="AI17" s="7"/>
      <c r="AJ17" s="7"/>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7"/>
      <c r="DN17" s="7"/>
      <c r="DO17" s="7"/>
    </row>
    <row r="18" spans="1:138">
      <c r="A18" s="4"/>
      <c r="B18" s="8"/>
      <c r="D18" s="90"/>
      <c r="I18" s="3"/>
      <c r="J18" s="3"/>
      <c r="K18" s="3"/>
      <c r="L18" s="3"/>
      <c r="M18" s="3"/>
      <c r="N18" s="3"/>
      <c r="O18" s="3"/>
      <c r="P18" s="3"/>
      <c r="R18" s="3"/>
      <c r="S18" s="3"/>
      <c r="T18" s="3"/>
      <c r="U18" s="3"/>
      <c r="V18" s="3"/>
      <c r="W18" s="3"/>
      <c r="X18" s="3"/>
      <c r="Y18" s="3"/>
      <c r="AA18" s="3"/>
      <c r="AB18" s="3"/>
      <c r="AC18" s="3"/>
      <c r="AD18" s="3"/>
      <c r="AE18" s="3"/>
      <c r="AF18" s="3"/>
      <c r="AG18" s="3"/>
      <c r="AH18" s="3"/>
      <c r="AI18" s="7"/>
      <c r="AJ18" s="7"/>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7"/>
      <c r="DN18" s="7"/>
      <c r="DO18" s="7"/>
    </row>
    <row r="19" spans="1:138">
      <c r="A19" s="4"/>
      <c r="B19" s="8"/>
      <c r="D19" s="90"/>
      <c r="I19" s="3"/>
      <c r="J19" s="3"/>
      <c r="K19" s="3"/>
      <c r="L19" s="3"/>
      <c r="M19" s="3"/>
      <c r="N19" s="3"/>
      <c r="O19" s="3"/>
      <c r="P19" s="3"/>
      <c r="R19" s="3"/>
      <c r="S19" s="3"/>
      <c r="T19" s="3"/>
      <c r="U19" s="3"/>
      <c r="V19" s="3"/>
      <c r="W19" s="3"/>
      <c r="X19" s="3"/>
      <c r="Y19" s="3"/>
      <c r="AA19" s="3"/>
      <c r="AB19" s="3"/>
      <c r="AC19" s="3"/>
      <c r="AD19" s="3"/>
      <c r="AE19" s="3"/>
      <c r="AF19" s="3"/>
      <c r="AG19" s="3"/>
      <c r="AH19" s="3"/>
      <c r="AI19" s="7"/>
      <c r="AJ19" s="7"/>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7"/>
      <c r="DN19" s="7"/>
      <c r="DO19" s="7"/>
    </row>
    <row r="20" spans="1:138">
      <c r="A20" s="4"/>
      <c r="B20" s="8"/>
      <c r="D20" s="90"/>
      <c r="I20" s="3"/>
      <c r="J20" s="3"/>
      <c r="K20" s="3"/>
      <c r="L20" s="3"/>
      <c r="M20" s="3"/>
      <c r="N20" s="3"/>
      <c r="O20" s="3"/>
      <c r="P20" s="3"/>
      <c r="R20" s="3"/>
      <c r="S20" s="3"/>
      <c r="T20" s="3"/>
      <c r="U20" s="3"/>
      <c r="V20" s="3"/>
      <c r="W20" s="3"/>
      <c r="X20" s="3"/>
      <c r="Y20" s="3"/>
      <c r="AA20" s="3"/>
      <c r="AB20" s="3"/>
      <c r="AC20" s="3"/>
      <c r="AD20" s="3"/>
      <c r="AE20" s="3"/>
      <c r="AF20" s="3"/>
      <c r="AG20" s="3"/>
      <c r="AH20" s="3"/>
      <c r="AI20" s="7"/>
      <c r="AJ20" s="7"/>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7"/>
      <c r="DN20" s="7"/>
      <c r="DO20" s="7"/>
    </row>
    <row r="21" spans="1:138">
      <c r="A21" s="4"/>
      <c r="B21" s="8"/>
      <c r="D21" s="90"/>
      <c r="I21" s="3"/>
      <c r="J21" s="3"/>
      <c r="K21" s="3"/>
      <c r="L21" s="3"/>
      <c r="M21" s="3"/>
      <c r="N21" s="3"/>
      <c r="O21" s="3"/>
      <c r="P21" s="3"/>
      <c r="R21" s="3"/>
      <c r="S21" s="3"/>
      <c r="T21" s="3"/>
      <c r="U21" s="3"/>
      <c r="V21" s="3"/>
      <c r="W21" s="3"/>
      <c r="X21" s="3"/>
      <c r="Y21" s="3"/>
      <c r="AA21" s="3"/>
      <c r="AB21" s="3"/>
      <c r="AC21" s="3"/>
      <c r="AD21" s="3"/>
      <c r="AE21" s="3"/>
      <c r="AF21" s="3"/>
      <c r="AG21" s="3"/>
      <c r="AH21" s="3"/>
      <c r="AI21" s="7"/>
      <c r="AJ21" s="7"/>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7"/>
      <c r="DN21" s="7"/>
      <c r="DO21" s="7"/>
    </row>
    <row r="22" spans="1:138">
      <c r="A22" s="4"/>
      <c r="B22" s="8"/>
      <c r="D22" s="90"/>
      <c r="I22" s="3"/>
      <c r="J22" s="3"/>
      <c r="K22" s="3"/>
      <c r="L22" s="3"/>
      <c r="M22" s="3"/>
      <c r="N22" s="3"/>
      <c r="O22" s="3"/>
      <c r="P22" s="3"/>
      <c r="R22" s="3"/>
      <c r="S22" s="3"/>
      <c r="T22" s="3"/>
      <c r="U22" s="3"/>
      <c r="V22" s="3"/>
      <c r="W22" s="3"/>
      <c r="X22" s="3"/>
      <c r="Y22" s="3"/>
      <c r="AA22" s="3"/>
      <c r="AB22" s="3"/>
      <c r="AC22" s="3"/>
      <c r="AD22" s="3"/>
      <c r="AE22" s="3"/>
      <c r="AF22" s="3"/>
      <c r="AG22" s="3"/>
      <c r="AH22" s="3"/>
      <c r="AI22" s="7"/>
      <c r="AJ22" s="7"/>
      <c r="AL22" s="6"/>
      <c r="AM22" s="52"/>
      <c r="AN22" s="52"/>
      <c r="AO22" s="52"/>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7"/>
      <c r="DN22" s="7"/>
      <c r="DO22" s="7"/>
    </row>
    <row r="23" spans="1:138">
      <c r="A23" s="4"/>
      <c r="B23" s="8"/>
      <c r="D23" s="90"/>
      <c r="I23" s="3"/>
      <c r="J23" s="3"/>
      <c r="K23" s="3"/>
      <c r="L23" s="3"/>
      <c r="M23" s="3"/>
      <c r="N23" s="3"/>
      <c r="O23" s="3"/>
      <c r="P23" s="3"/>
      <c r="R23" s="3"/>
      <c r="S23" s="3"/>
      <c r="T23" s="3"/>
      <c r="U23" s="3"/>
      <c r="V23" s="3"/>
      <c r="W23" s="3"/>
      <c r="X23" s="3"/>
      <c r="Y23" s="3"/>
      <c r="AA23" s="3"/>
      <c r="AB23" s="3"/>
      <c r="AC23" s="3"/>
      <c r="AD23" s="3"/>
      <c r="AE23" s="3"/>
      <c r="AF23" s="3"/>
      <c r="AG23" s="3"/>
      <c r="AH23" s="3"/>
      <c r="AI23" s="7"/>
      <c r="AJ23" s="7"/>
      <c r="AL23" s="6"/>
      <c r="AM23" s="52"/>
      <c r="AN23" s="52"/>
      <c r="AO23" s="53"/>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7"/>
      <c r="DN23" s="7"/>
      <c r="DO23" s="7"/>
    </row>
    <row r="24" spans="1:138">
      <c r="A24" s="4"/>
      <c r="B24" s="8"/>
      <c r="D24" s="90"/>
      <c r="I24" s="3"/>
      <c r="J24" s="3"/>
      <c r="K24" s="3"/>
      <c r="L24" s="3"/>
      <c r="M24" s="3"/>
      <c r="N24" s="3"/>
      <c r="O24" s="3"/>
      <c r="P24" s="3"/>
      <c r="R24" s="3"/>
      <c r="S24" s="3"/>
      <c r="T24" s="3"/>
      <c r="U24" s="3"/>
      <c r="V24" s="3"/>
      <c r="W24" s="3"/>
      <c r="X24" s="3"/>
      <c r="Y24" s="3"/>
      <c r="AA24" s="3"/>
      <c r="AB24" s="3"/>
      <c r="AC24" s="3"/>
      <c r="AD24" s="3"/>
      <c r="AE24" s="3"/>
      <c r="AF24" s="3"/>
      <c r="AG24" s="3"/>
      <c r="AH24" s="3"/>
      <c r="AI24" s="7"/>
      <c r="AJ24" s="7"/>
      <c r="AL24" s="6"/>
      <c r="AM24" s="52"/>
      <c r="AN24" s="52"/>
      <c r="AO24" s="52"/>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7"/>
      <c r="DN24" s="7"/>
      <c r="DO24" s="7"/>
    </row>
    <row r="25" spans="1:138">
      <c r="A25" s="4">
        <v>46122</v>
      </c>
      <c r="B25" s="8"/>
      <c r="C25" s="3">
        <v>5</v>
      </c>
      <c r="D25" s="90" t="s">
        <v>325</v>
      </c>
      <c r="E25" s="3">
        <v>190</v>
      </c>
      <c r="F25" s="3">
        <v>190</v>
      </c>
      <c r="G25" s="3">
        <v>23.9771</v>
      </c>
      <c r="H25" s="3">
        <v>24.000299999999999</v>
      </c>
      <c r="I25" s="3">
        <v>810.65800000000002</v>
      </c>
      <c r="J25" s="3">
        <v>806.77499999999998</v>
      </c>
      <c r="K25" s="3">
        <v>0</v>
      </c>
      <c r="L25" s="3">
        <v>0</v>
      </c>
      <c r="M25" s="3">
        <v>808.27599999999995</v>
      </c>
      <c r="N25" s="3">
        <v>812.46600000000001</v>
      </c>
      <c r="O25" s="3">
        <v>0</v>
      </c>
      <c r="P25" s="3">
        <v>0</v>
      </c>
      <c r="Q25" s="3">
        <v>0.43499700000000002</v>
      </c>
      <c r="R25" s="3">
        <v>1999.69</v>
      </c>
      <c r="S25" s="3">
        <v>2000.43</v>
      </c>
      <c r="T25" s="3">
        <v>0</v>
      </c>
      <c r="U25" s="3">
        <v>0</v>
      </c>
      <c r="V25" s="3">
        <v>1999.48</v>
      </c>
      <c r="W25" s="3">
        <v>2000.4</v>
      </c>
      <c r="X25" s="3">
        <v>0</v>
      </c>
      <c r="Y25" s="3">
        <v>0</v>
      </c>
      <c r="Z25" s="3">
        <v>220</v>
      </c>
      <c r="AA25" s="3">
        <v>1.99552</v>
      </c>
      <c r="AB25" s="3">
        <v>1.9964</v>
      </c>
      <c r="AC25" s="3">
        <v>-5.8695200000000003E-2</v>
      </c>
      <c r="AD25" s="3">
        <v>-1.35834E-3</v>
      </c>
      <c r="AE25" s="3">
        <v>2.0015299999999998</v>
      </c>
      <c r="AF25" s="3">
        <v>2.0049299999999999</v>
      </c>
      <c r="AG25" s="3">
        <v>-5.0621800000000002E-2</v>
      </c>
      <c r="AH25" s="3">
        <v>5.6877400000000002E-3</v>
      </c>
      <c r="AI25" s="7">
        <v>23.365182000000001</v>
      </c>
      <c r="AJ25" s="7">
        <v>58.641351999999998</v>
      </c>
      <c r="AL25" s="6">
        <v>88.093261718999997</v>
      </c>
      <c r="AM25" s="52">
        <v>83.605247497999997</v>
      </c>
      <c r="AN25" s="52">
        <v>16.278394699</v>
      </c>
      <c r="AO25" s="52">
        <v>24.851722717000001</v>
      </c>
      <c r="AP25" s="6">
        <v>0</v>
      </c>
      <c r="AQ25" s="6">
        <v>0</v>
      </c>
      <c r="AR25" s="6">
        <v>0</v>
      </c>
      <c r="AS25" s="6">
        <v>6.6033000999999999E-3</v>
      </c>
      <c r="AT25" s="6">
        <v>1.7517581599999998E-2</v>
      </c>
      <c r="AU25" s="280">
        <v>86.101036071999999</v>
      </c>
      <c r="AV25" s="280">
        <v>9.4516420363999991</v>
      </c>
      <c r="AW25" s="280">
        <v>3.0916702747000002</v>
      </c>
      <c r="AX25" s="6">
        <v>0</v>
      </c>
      <c r="AY25" s="6">
        <v>0</v>
      </c>
      <c r="AZ25" s="6">
        <v>0</v>
      </c>
      <c r="BA25" s="6">
        <v>0</v>
      </c>
      <c r="BB25" s="6">
        <v>0</v>
      </c>
      <c r="BC25" s="6">
        <v>0</v>
      </c>
      <c r="BD25" s="6">
        <v>0</v>
      </c>
      <c r="BE25" s="6">
        <v>0</v>
      </c>
      <c r="BF25" s="6">
        <v>0</v>
      </c>
      <c r="BG25" s="6">
        <v>0</v>
      </c>
      <c r="BH25" s="6">
        <v>1.9434597000000001E-3</v>
      </c>
      <c r="BI25" s="6">
        <v>1.3686680200000001E-2</v>
      </c>
      <c r="BJ25" s="6">
        <v>0.43947756290000001</v>
      </c>
      <c r="BK25" s="6">
        <v>1.96230747E-2</v>
      </c>
      <c r="BL25" s="6">
        <v>0</v>
      </c>
      <c r="BM25" s="6">
        <v>0</v>
      </c>
      <c r="BN25" s="6">
        <v>0</v>
      </c>
      <c r="BO25" s="6">
        <v>0</v>
      </c>
      <c r="BP25" s="6">
        <v>0</v>
      </c>
      <c r="BQ25" s="6">
        <v>0</v>
      </c>
      <c r="BR25" s="6">
        <v>0</v>
      </c>
      <c r="BS25" s="6">
        <v>0</v>
      </c>
      <c r="BT25" s="6">
        <v>0</v>
      </c>
      <c r="BU25" s="6">
        <v>0</v>
      </c>
      <c r="BV25" s="6">
        <v>0</v>
      </c>
      <c r="BW25" s="6">
        <v>0</v>
      </c>
      <c r="BX25" s="6">
        <v>0</v>
      </c>
      <c r="BY25" s="6">
        <v>0</v>
      </c>
      <c r="BZ25" s="6">
        <v>0</v>
      </c>
      <c r="CA25" s="6">
        <v>0</v>
      </c>
      <c r="CB25" s="6">
        <v>0</v>
      </c>
      <c r="CC25" s="6">
        <v>0</v>
      </c>
      <c r="CD25" s="6">
        <v>0</v>
      </c>
      <c r="CE25" s="6">
        <v>0</v>
      </c>
      <c r="CF25" s="6">
        <v>0</v>
      </c>
      <c r="CG25" s="6">
        <v>0</v>
      </c>
      <c r="CH25" s="6">
        <v>0</v>
      </c>
      <c r="CI25" s="6">
        <v>0</v>
      </c>
      <c r="CJ25" s="6">
        <v>0</v>
      </c>
      <c r="CK25" s="6">
        <v>0</v>
      </c>
      <c r="CL25" s="6">
        <v>0</v>
      </c>
      <c r="CM25" s="6">
        <v>0</v>
      </c>
      <c r="CN25" s="6">
        <v>0.59039086100000004</v>
      </c>
      <c r="CO25" s="6"/>
      <c r="CP25" s="6"/>
      <c r="CQ25" s="6"/>
      <c r="CR25" s="6"/>
      <c r="CS25" s="6"/>
      <c r="CT25" s="6"/>
      <c r="CU25" s="6"/>
      <c r="CV25" s="6"/>
      <c r="CW25" s="6"/>
      <c r="CX25" s="6"/>
      <c r="CY25" s="6"/>
      <c r="CZ25" s="6"/>
      <c r="DA25" s="6"/>
      <c r="DB25" s="6"/>
      <c r="DC25" s="6"/>
      <c r="DD25" s="6"/>
      <c r="DE25" s="6"/>
      <c r="DF25" s="6"/>
      <c r="DG25" s="6"/>
      <c r="DH25" s="6"/>
      <c r="DI25" s="6"/>
      <c r="DJ25" s="6"/>
      <c r="DK25" s="6"/>
      <c r="DL25" s="6"/>
      <c r="DM25" s="7">
        <v>0.26640781759999999</v>
      </c>
      <c r="DN25" s="7">
        <f t="shared" si="0"/>
        <v>99.999998720899981</v>
      </c>
      <c r="DO25" s="7"/>
      <c r="DP25" s="6">
        <v>1.9440536E-3</v>
      </c>
      <c r="DQ25" s="6">
        <v>6.6053177999999997E-3</v>
      </c>
      <c r="DR25" s="6">
        <v>1.4328742000000001E-3</v>
      </c>
      <c r="DS25" s="6">
        <v>1.3690860900000001E-2</v>
      </c>
      <c r="DT25" s="6">
        <v>1.7522933000000001E-2</v>
      </c>
      <c r="DU25" s="6">
        <v>1.9310142000000001E-3</v>
      </c>
      <c r="DV25" s="6">
        <v>4.7891959499999998E-2</v>
      </c>
      <c r="DW25" s="6">
        <v>0.38978886600000001</v>
      </c>
      <c r="DX25" s="6">
        <v>86.127342224100005</v>
      </c>
      <c r="DY25" s="6">
        <v>0.59057122470000001</v>
      </c>
      <c r="DZ25" s="6">
        <v>1.03283534E-2</v>
      </c>
      <c r="EA25" s="6">
        <v>9.3007161999999997E-3</v>
      </c>
      <c r="EB25" s="6">
        <v>1.0101865E-2</v>
      </c>
      <c r="EC25" s="6">
        <v>9.4545297623</v>
      </c>
      <c r="ED25" s="6">
        <v>0.1216615885</v>
      </c>
      <c r="EE25" s="6">
        <v>3.0926148891</v>
      </c>
      <c r="EF25" s="6">
        <v>0.1027482599</v>
      </c>
      <c r="EG25" s="6"/>
      <c r="EH25" s="6"/>
    </row>
    <row r="26" spans="1:138">
      <c r="A26" s="4">
        <v>46122</v>
      </c>
      <c r="B26" s="8"/>
      <c r="C26" s="3">
        <v>6</v>
      </c>
      <c r="D26" s="90" t="s">
        <v>326</v>
      </c>
      <c r="E26" s="3">
        <v>190</v>
      </c>
      <c r="F26" s="3">
        <v>190</v>
      </c>
      <c r="G26" s="3">
        <v>23.994499999999999</v>
      </c>
      <c r="H26" s="3">
        <v>23.987300000000001</v>
      </c>
      <c r="I26" s="3">
        <v>855.95600000000002</v>
      </c>
      <c r="J26" s="3">
        <v>854.20799999999997</v>
      </c>
      <c r="K26" s="3">
        <v>0</v>
      </c>
      <c r="L26" s="3">
        <v>0</v>
      </c>
      <c r="M26" s="3">
        <v>855.68</v>
      </c>
      <c r="N26" s="3">
        <v>856.81600000000003</v>
      </c>
      <c r="O26" s="3">
        <v>0</v>
      </c>
      <c r="P26" s="3">
        <v>0</v>
      </c>
      <c r="Q26" s="3">
        <v>0.17119200000000001</v>
      </c>
      <c r="R26" s="3">
        <v>1999.55</v>
      </c>
      <c r="S26" s="3">
        <v>1999.88</v>
      </c>
      <c r="T26" s="3">
        <v>0</v>
      </c>
      <c r="U26" s="3">
        <v>0</v>
      </c>
      <c r="V26" s="3">
        <v>2000.05</v>
      </c>
      <c r="W26" s="3">
        <v>2000.76</v>
      </c>
      <c r="X26" s="3">
        <v>0</v>
      </c>
      <c r="Y26" s="3">
        <v>0</v>
      </c>
      <c r="Z26" s="3">
        <v>220</v>
      </c>
      <c r="AA26" s="3">
        <v>2.0040900000000001</v>
      </c>
      <c r="AB26" s="3">
        <v>1.99987</v>
      </c>
      <c r="AC26" s="3">
        <v>-6.6349599999999995E-2</v>
      </c>
      <c r="AD26" s="3">
        <v>-7.0683999999999999E-3</v>
      </c>
      <c r="AE26" s="3">
        <v>2.0019900000000002</v>
      </c>
      <c r="AF26" s="3">
        <v>1.99634</v>
      </c>
      <c r="AG26" s="3">
        <v>-0.108407</v>
      </c>
      <c r="AH26" s="3">
        <v>-1.1387100000000001E-2</v>
      </c>
      <c r="AI26" s="7">
        <v>22.941751</v>
      </c>
      <c r="AJ26" s="7">
        <v>60.183501999999997</v>
      </c>
      <c r="AL26" s="6">
        <v>88.309020996000001</v>
      </c>
      <c r="AM26" s="52">
        <v>83.610687256000006</v>
      </c>
      <c r="AN26" s="52">
        <v>15.996446608999999</v>
      </c>
      <c r="AO26" s="52">
        <v>27.690372467</v>
      </c>
      <c r="AP26" s="6">
        <v>0</v>
      </c>
      <c r="AQ26" s="6">
        <v>0</v>
      </c>
      <c r="AR26" s="6">
        <v>6.1887245600000002E-2</v>
      </c>
      <c r="AS26" s="6">
        <v>4.39079925E-2</v>
      </c>
      <c r="AT26" s="6">
        <v>2.0247986499999999E-2</v>
      </c>
      <c r="AU26" s="6">
        <v>81.120857239000003</v>
      </c>
      <c r="AV26" s="6">
        <v>7.6584949492999996</v>
      </c>
      <c r="AW26" s="6">
        <v>1.8632283211</v>
      </c>
      <c r="AX26" s="6">
        <v>0</v>
      </c>
      <c r="AY26" s="6">
        <v>0</v>
      </c>
      <c r="AZ26" s="6">
        <v>0</v>
      </c>
      <c r="BA26" s="6">
        <v>0</v>
      </c>
      <c r="BB26" s="6">
        <v>0</v>
      </c>
      <c r="BC26" s="6">
        <v>0</v>
      </c>
      <c r="BD26" s="6">
        <v>0</v>
      </c>
      <c r="BE26" s="6">
        <v>0</v>
      </c>
      <c r="BF26" s="6">
        <v>0</v>
      </c>
      <c r="BG26" s="6">
        <v>0</v>
      </c>
      <c r="BH26" s="6">
        <v>0.20188842709999999</v>
      </c>
      <c r="BI26" s="6">
        <v>8.1779480000000002E-2</v>
      </c>
      <c r="BJ26" s="6">
        <v>4.9241046906000001</v>
      </c>
      <c r="BK26" s="6">
        <v>1.5051722527</v>
      </c>
      <c r="BL26" s="6">
        <v>0</v>
      </c>
      <c r="BM26" s="6">
        <v>0</v>
      </c>
      <c r="BN26" s="6">
        <v>0</v>
      </c>
      <c r="BO26" s="6">
        <v>0</v>
      </c>
      <c r="BP26" s="6">
        <v>0</v>
      </c>
      <c r="BQ26" s="6">
        <v>0</v>
      </c>
      <c r="BR26" s="6">
        <v>0</v>
      </c>
      <c r="BS26" s="6">
        <v>0</v>
      </c>
      <c r="BT26" s="6">
        <v>0</v>
      </c>
      <c r="BU26" s="6">
        <v>0</v>
      </c>
      <c r="BV26" s="6">
        <v>0</v>
      </c>
      <c r="BW26" s="6">
        <v>0</v>
      </c>
      <c r="BX26" s="6">
        <v>0</v>
      </c>
      <c r="BY26" s="6">
        <v>0</v>
      </c>
      <c r="BZ26" s="6">
        <v>0</v>
      </c>
      <c r="CA26" s="6">
        <v>0</v>
      </c>
      <c r="CB26" s="6">
        <v>0</v>
      </c>
      <c r="CC26" s="6">
        <v>0</v>
      </c>
      <c r="CD26" s="6">
        <v>0</v>
      </c>
      <c r="CE26" s="6">
        <v>0</v>
      </c>
      <c r="CF26" s="6">
        <v>0</v>
      </c>
      <c r="CG26" s="6">
        <v>0</v>
      </c>
      <c r="CH26" s="6">
        <v>0</v>
      </c>
      <c r="CI26" s="6">
        <v>0</v>
      </c>
      <c r="CJ26" s="6">
        <v>0</v>
      </c>
      <c r="CK26" s="6">
        <v>0</v>
      </c>
      <c r="CL26" s="6">
        <v>0</v>
      </c>
      <c r="CM26" s="6">
        <v>0</v>
      </c>
      <c r="CN26" s="6">
        <v>0.44770678879999998</v>
      </c>
      <c r="CO26" s="6"/>
      <c r="CP26" s="6"/>
      <c r="CQ26" s="6"/>
      <c r="CR26" s="6"/>
      <c r="CS26" s="6"/>
      <c r="CT26" s="6"/>
      <c r="CU26" s="6"/>
      <c r="CV26" s="6"/>
      <c r="CW26" s="6"/>
      <c r="CX26" s="6"/>
      <c r="CY26" s="6"/>
      <c r="CZ26" s="6"/>
      <c r="DA26" s="6"/>
      <c r="DB26" s="6"/>
      <c r="DC26" s="6"/>
      <c r="DD26" s="6"/>
      <c r="DE26" s="6"/>
      <c r="DF26" s="6"/>
      <c r="DG26" s="6"/>
      <c r="DH26" s="6"/>
      <c r="DI26" s="6"/>
      <c r="DJ26" s="6"/>
      <c r="DK26" s="6"/>
      <c r="DL26" s="6"/>
      <c r="DM26" s="7">
        <v>2.0707104206000002</v>
      </c>
      <c r="DN26" s="7">
        <f t="shared" si="0"/>
        <v>99.999985793799993</v>
      </c>
      <c r="DO26" s="7"/>
      <c r="DP26" s="6">
        <v>3.3109563E-3</v>
      </c>
      <c r="DQ26" s="6">
        <v>6.1921164399999999E-2</v>
      </c>
      <c r="DR26" s="6">
        <v>0.2019990981</v>
      </c>
      <c r="DS26" s="6">
        <v>4.3932057900000002E-2</v>
      </c>
      <c r="DT26" s="6">
        <v>8.1824302700000004E-2</v>
      </c>
      <c r="DU26" s="6">
        <v>2.0259085999999999E-2</v>
      </c>
      <c r="DV26" s="6">
        <v>4.7105658799999998E-2</v>
      </c>
      <c r="DW26" s="6">
        <v>0.26527494190000001</v>
      </c>
      <c r="DX26" s="6">
        <v>2.7109711170000002</v>
      </c>
      <c r="DY26" s="6">
        <v>1.9034520388</v>
      </c>
      <c r="DZ26" s="6">
        <v>81.165321350100001</v>
      </c>
      <c r="EA26" s="6">
        <v>0.68621927500000002</v>
      </c>
      <c r="EB26" s="6">
        <v>0.44795221089999998</v>
      </c>
      <c r="EC26" s="6">
        <v>0.78107732529999996</v>
      </c>
      <c r="ED26" s="6">
        <v>0.72491991519999999</v>
      </c>
      <c r="EE26" s="6">
        <v>7.6626925467999998</v>
      </c>
      <c r="EF26" s="6">
        <v>1.2996428013000001</v>
      </c>
      <c r="EG26" s="6">
        <v>1.8642495871</v>
      </c>
      <c r="EH26" s="6">
        <v>2.7876235499999999E-2</v>
      </c>
    </row>
    <row r="27" spans="1:138">
      <c r="A27" s="4">
        <v>46122</v>
      </c>
      <c r="B27" s="8"/>
      <c r="C27" s="3">
        <v>1</v>
      </c>
      <c r="D27" s="90" t="s">
        <v>327</v>
      </c>
      <c r="E27" s="3">
        <v>190</v>
      </c>
      <c r="F27" s="3">
        <v>190</v>
      </c>
      <c r="G27" s="3">
        <v>24.016200000000001</v>
      </c>
      <c r="H27" s="3">
        <v>23.994499999999999</v>
      </c>
      <c r="I27" s="3">
        <v>847.18600000000004</v>
      </c>
      <c r="J27" s="3">
        <v>849.93399999999997</v>
      </c>
      <c r="K27" s="3">
        <v>0</v>
      </c>
      <c r="L27" s="3">
        <v>0</v>
      </c>
      <c r="M27" s="3">
        <v>849.48599999999999</v>
      </c>
      <c r="N27" s="3">
        <v>845.85599999999999</v>
      </c>
      <c r="O27" s="3">
        <v>0</v>
      </c>
      <c r="P27" s="3">
        <v>0</v>
      </c>
      <c r="Q27" s="3">
        <v>0.189193</v>
      </c>
      <c r="R27" s="3">
        <v>1999.08</v>
      </c>
      <c r="S27" s="3">
        <v>1999.19</v>
      </c>
      <c r="T27" s="3">
        <v>0</v>
      </c>
      <c r="U27" s="3">
        <v>0</v>
      </c>
      <c r="V27" s="3">
        <v>2000.1</v>
      </c>
      <c r="W27" s="3">
        <v>1998.88</v>
      </c>
      <c r="X27" s="3">
        <v>0</v>
      </c>
      <c r="Y27" s="3">
        <v>0</v>
      </c>
      <c r="Z27" s="3">
        <v>220</v>
      </c>
      <c r="AA27" s="3">
        <v>2.0009899999999998</v>
      </c>
      <c r="AB27" s="3">
        <v>1.99936</v>
      </c>
      <c r="AC27" s="3">
        <v>-5.79538E-2</v>
      </c>
      <c r="AD27" s="3">
        <v>-5.8913899999999998E-3</v>
      </c>
      <c r="AE27" s="3">
        <v>2.0000399999999998</v>
      </c>
      <c r="AF27" s="3">
        <v>1.98481</v>
      </c>
      <c r="AG27" s="3">
        <v>-0.15370300000000001</v>
      </c>
      <c r="AH27" s="3">
        <v>-5.8892399999999998E-2</v>
      </c>
      <c r="AI27" s="7">
        <v>24.693266999999999</v>
      </c>
      <c r="AJ27" s="7">
        <v>58.199308000000002</v>
      </c>
      <c r="AL27" s="6">
        <v>88.608261107999994</v>
      </c>
      <c r="AM27" s="52">
        <v>83.617530822999996</v>
      </c>
      <c r="AN27" s="52">
        <v>16.061208725</v>
      </c>
      <c r="AO27" s="52">
        <v>25.661228179999998</v>
      </c>
      <c r="AP27" s="6">
        <v>0</v>
      </c>
      <c r="AQ27" s="6">
        <v>0</v>
      </c>
      <c r="AR27" s="6">
        <v>3.9085287599999997E-2</v>
      </c>
      <c r="AS27" s="6">
        <v>2.6637917399999999E-2</v>
      </c>
      <c r="AT27" s="6">
        <v>4.0656193E-3</v>
      </c>
      <c r="AU27" s="6">
        <v>81.982841492000006</v>
      </c>
      <c r="AV27" s="6">
        <v>8.7207832336000006</v>
      </c>
      <c r="AW27" s="6">
        <v>3.4970307350000001</v>
      </c>
      <c r="AX27" s="6">
        <v>0</v>
      </c>
      <c r="AY27" s="6">
        <v>0</v>
      </c>
      <c r="AZ27" s="6">
        <v>0</v>
      </c>
      <c r="BA27" s="6">
        <v>0</v>
      </c>
      <c r="BB27" s="6">
        <v>0</v>
      </c>
      <c r="BC27" s="6">
        <v>0</v>
      </c>
      <c r="BD27" s="6">
        <v>0</v>
      </c>
      <c r="BE27" s="6">
        <v>0</v>
      </c>
      <c r="BF27" s="6">
        <v>0</v>
      </c>
      <c r="BG27" s="6">
        <v>0</v>
      </c>
      <c r="BH27" s="6">
        <v>0.13347770270000001</v>
      </c>
      <c r="BI27" s="6">
        <v>3.9185509100000002E-2</v>
      </c>
      <c r="BJ27" s="6">
        <v>2.6782608032000002</v>
      </c>
      <c r="BK27" s="6">
        <v>0.80530017610000004</v>
      </c>
      <c r="BL27" s="6">
        <v>0</v>
      </c>
      <c r="BM27" s="6">
        <v>0</v>
      </c>
      <c r="BN27" s="6">
        <v>0</v>
      </c>
      <c r="BO27" s="6">
        <v>0</v>
      </c>
      <c r="BP27" s="6">
        <v>0</v>
      </c>
      <c r="BQ27" s="6">
        <v>0</v>
      </c>
      <c r="BR27" s="6">
        <v>0</v>
      </c>
      <c r="BS27" s="6">
        <v>0</v>
      </c>
      <c r="BT27" s="6">
        <v>0</v>
      </c>
      <c r="BU27" s="6">
        <v>0</v>
      </c>
      <c r="BV27" s="6">
        <v>0</v>
      </c>
      <c r="BW27" s="6">
        <v>0</v>
      </c>
      <c r="BX27" s="6">
        <v>0</v>
      </c>
      <c r="BY27" s="6">
        <v>0</v>
      </c>
      <c r="BZ27" s="6">
        <v>0</v>
      </c>
      <c r="CA27" s="6">
        <v>0</v>
      </c>
      <c r="CB27" s="6">
        <v>0</v>
      </c>
      <c r="CC27" s="6">
        <v>0</v>
      </c>
      <c r="CD27" s="6">
        <v>0</v>
      </c>
      <c r="CE27" s="6">
        <v>0</v>
      </c>
      <c r="CF27" s="6">
        <v>0</v>
      </c>
      <c r="CG27" s="6">
        <v>0</v>
      </c>
      <c r="CH27" s="6">
        <v>0</v>
      </c>
      <c r="CI27" s="6">
        <v>0</v>
      </c>
      <c r="CJ27" s="6">
        <v>0</v>
      </c>
      <c r="CK27" s="6">
        <v>0</v>
      </c>
      <c r="CL27" s="6">
        <v>0</v>
      </c>
      <c r="CM27" s="6">
        <v>0</v>
      </c>
      <c r="CN27" s="6">
        <v>0.46456554529999999</v>
      </c>
      <c r="CO27" s="6"/>
      <c r="CP27" s="6"/>
      <c r="CQ27" s="6"/>
      <c r="CR27" s="6"/>
      <c r="CS27" s="6"/>
      <c r="CT27" s="6"/>
      <c r="CU27" s="6"/>
      <c r="CV27" s="6"/>
      <c r="CW27" s="6"/>
      <c r="CX27" s="6"/>
      <c r="CY27" s="6"/>
      <c r="CZ27" s="6"/>
      <c r="DA27" s="6"/>
      <c r="DB27" s="6"/>
      <c r="DC27" s="6"/>
      <c r="DD27" s="6"/>
      <c r="DE27" s="6"/>
      <c r="DF27" s="6"/>
      <c r="DG27" s="6"/>
      <c r="DH27" s="6"/>
      <c r="DI27" s="6"/>
      <c r="DJ27" s="6"/>
      <c r="DK27" s="6"/>
      <c r="DL27" s="6"/>
      <c r="DM27" s="7">
        <v>1.6087553501</v>
      </c>
      <c r="DN27" s="7">
        <f t="shared" si="0"/>
        <v>99.999989371400019</v>
      </c>
      <c r="DO27" s="7"/>
      <c r="DP27" s="6">
        <v>7.2041420000000002E-4</v>
      </c>
      <c r="DQ27" s="6">
        <v>3.9113208699999999E-2</v>
      </c>
      <c r="DR27" s="6">
        <v>0.13357305529999999</v>
      </c>
      <c r="DS27" s="6">
        <v>2.66569462E-2</v>
      </c>
      <c r="DT27" s="6">
        <v>3.9213504599999997E-2</v>
      </c>
      <c r="DU27" s="6">
        <v>4.0685236000000003E-3</v>
      </c>
      <c r="DV27" s="6">
        <v>2.6913324400000001E-2</v>
      </c>
      <c r="DW27" s="6">
        <v>0.1445011497</v>
      </c>
      <c r="DX27" s="6">
        <v>1.3881416321</v>
      </c>
      <c r="DY27" s="6">
        <v>1.1206179857</v>
      </c>
      <c r="DZ27" s="6">
        <v>82.041404724100005</v>
      </c>
      <c r="EA27" s="6">
        <v>0.43761253360000002</v>
      </c>
      <c r="EB27" s="6">
        <v>0.464897424</v>
      </c>
      <c r="EC27" s="6">
        <v>0.43259590860000002</v>
      </c>
      <c r="ED27" s="6">
        <v>0.37327954169999999</v>
      </c>
      <c r="EE27" s="6">
        <v>8.7270135880000002</v>
      </c>
      <c r="EF27" s="6">
        <v>1.0951983929</v>
      </c>
      <c r="EG27" s="6">
        <v>3.4995288849000001</v>
      </c>
      <c r="EH27" s="6">
        <v>4.9632727000000001E-3</v>
      </c>
    </row>
    <row r="28" spans="1:138">
      <c r="A28" s="4">
        <v>46122</v>
      </c>
      <c r="B28" s="8"/>
      <c r="C28" s="3">
        <v>2</v>
      </c>
      <c r="D28" s="90" t="s">
        <v>328</v>
      </c>
      <c r="E28" s="3">
        <v>190</v>
      </c>
      <c r="F28" s="3">
        <v>190</v>
      </c>
      <c r="G28" s="3">
        <v>23.9742</v>
      </c>
      <c r="H28" s="3">
        <v>23.998799999999999</v>
      </c>
      <c r="I28" s="3">
        <v>758.15300000000002</v>
      </c>
      <c r="J28" s="3">
        <v>757.75</v>
      </c>
      <c r="K28" s="3">
        <v>0</v>
      </c>
      <c r="L28" s="3">
        <v>0</v>
      </c>
      <c r="M28" s="3">
        <v>758.29899999999998</v>
      </c>
      <c r="N28" s="3">
        <v>758.95500000000004</v>
      </c>
      <c r="O28" s="3">
        <v>0</v>
      </c>
      <c r="P28" s="3">
        <v>0</v>
      </c>
      <c r="Q28" s="3">
        <v>0.33874599999999999</v>
      </c>
      <c r="R28" s="3">
        <v>1998.9</v>
      </c>
      <c r="S28" s="3">
        <v>2000.1</v>
      </c>
      <c r="T28" s="3">
        <v>0</v>
      </c>
      <c r="U28" s="3">
        <v>0</v>
      </c>
      <c r="V28" s="3">
        <v>1999.94</v>
      </c>
      <c r="W28" s="3">
        <v>1999.95</v>
      </c>
      <c r="X28" s="3">
        <v>0</v>
      </c>
      <c r="Y28" s="3">
        <v>0</v>
      </c>
      <c r="Z28" s="3">
        <v>220</v>
      </c>
      <c r="AA28" s="3">
        <v>2.00224</v>
      </c>
      <c r="AB28" s="3">
        <v>1.9986200000000001</v>
      </c>
      <c r="AC28" s="3">
        <v>-5.6160300000000003E-2</v>
      </c>
      <c r="AD28" s="3">
        <v>-6.36061E-3</v>
      </c>
      <c r="AE28" s="3">
        <v>1.99698</v>
      </c>
      <c r="AF28" s="3">
        <v>2.0021599999999999</v>
      </c>
      <c r="AG28" s="3">
        <v>-8.4160299999999993E-2</v>
      </c>
      <c r="AH28" s="3">
        <v>-1.8519799999999999E-2</v>
      </c>
      <c r="AI28" s="7">
        <v>22.496628999999999</v>
      </c>
      <c r="AJ28" s="7">
        <v>59.366861999999998</v>
      </c>
      <c r="AL28" s="6">
        <v>88.581260681000003</v>
      </c>
      <c r="AM28" s="52">
        <v>83.616256714000002</v>
      </c>
      <c r="AN28" s="6">
        <v>16.088378905999999</v>
      </c>
      <c r="AO28" s="6">
        <v>25.509984970000001</v>
      </c>
      <c r="AP28" s="6">
        <v>0</v>
      </c>
      <c r="AQ28" s="6">
        <v>0</v>
      </c>
      <c r="AR28" s="6">
        <v>4.0092010099999999E-2</v>
      </c>
      <c r="AS28" s="6">
        <v>2.666495E-2</v>
      </c>
      <c r="AT28" s="6">
        <v>3.3761237000000002E-3</v>
      </c>
      <c r="AU28" s="6">
        <v>82.160011291000004</v>
      </c>
      <c r="AV28" s="6">
        <v>8.8690948485999996</v>
      </c>
      <c r="AW28" s="6">
        <v>3.6518735886</v>
      </c>
      <c r="AX28" s="6">
        <v>0</v>
      </c>
      <c r="AY28" s="6">
        <v>0</v>
      </c>
      <c r="AZ28" s="6">
        <v>0</v>
      </c>
      <c r="BA28" s="6">
        <v>0</v>
      </c>
      <c r="BB28" s="6">
        <v>0</v>
      </c>
      <c r="BC28" s="6">
        <v>0</v>
      </c>
      <c r="BD28" s="6">
        <v>0</v>
      </c>
      <c r="BE28" s="6">
        <v>0</v>
      </c>
      <c r="BF28" s="6">
        <v>0</v>
      </c>
      <c r="BG28" s="6">
        <v>0</v>
      </c>
      <c r="BH28" s="6">
        <v>0.13563178479999999</v>
      </c>
      <c r="BI28" s="6">
        <v>3.7596810600000002E-2</v>
      </c>
      <c r="BJ28" s="6">
        <v>2.4783325194999999</v>
      </c>
      <c r="BK28" s="6">
        <v>0.70121645929999998</v>
      </c>
      <c r="BL28" s="6">
        <v>0</v>
      </c>
      <c r="BM28" s="6">
        <v>0</v>
      </c>
      <c r="BN28" s="6">
        <v>0</v>
      </c>
      <c r="BO28" s="6">
        <v>0</v>
      </c>
      <c r="BP28" s="6">
        <v>0</v>
      </c>
      <c r="BQ28" s="6">
        <v>0</v>
      </c>
      <c r="BR28" s="6">
        <v>0</v>
      </c>
      <c r="BS28" s="6">
        <v>0</v>
      </c>
      <c r="BT28" s="6">
        <v>0</v>
      </c>
      <c r="BU28" s="6">
        <v>0</v>
      </c>
      <c r="BV28" s="6">
        <v>0</v>
      </c>
      <c r="BW28" s="6">
        <v>0</v>
      </c>
      <c r="BX28" s="6">
        <v>0</v>
      </c>
      <c r="BY28" s="6">
        <v>0</v>
      </c>
      <c r="BZ28" s="6">
        <v>0</v>
      </c>
      <c r="CA28" s="6">
        <v>0</v>
      </c>
      <c r="CB28" s="6">
        <v>0</v>
      </c>
      <c r="CC28" s="6">
        <v>0</v>
      </c>
      <c r="CD28" s="6">
        <v>0</v>
      </c>
      <c r="CE28" s="6">
        <v>0</v>
      </c>
      <c r="CF28" s="6">
        <v>0</v>
      </c>
      <c r="CG28" s="6">
        <v>0</v>
      </c>
      <c r="CH28" s="6">
        <v>0</v>
      </c>
      <c r="CI28" s="6">
        <v>0</v>
      </c>
      <c r="CJ28" s="6">
        <v>0</v>
      </c>
      <c r="CK28" s="6">
        <v>0</v>
      </c>
      <c r="CL28" s="6">
        <v>0</v>
      </c>
      <c r="CM28" s="6">
        <v>0</v>
      </c>
      <c r="CN28" s="6">
        <v>0.45762589570000001</v>
      </c>
      <c r="CO28" s="6"/>
      <c r="CP28" s="6"/>
      <c r="CQ28" s="6"/>
      <c r="CR28" s="6"/>
      <c r="CS28" s="6"/>
      <c r="CT28" s="6"/>
      <c r="CU28" s="6"/>
      <c r="CV28" s="6"/>
      <c r="CW28" s="6"/>
      <c r="CX28" s="6"/>
      <c r="CY28" s="6"/>
      <c r="CZ28" s="6"/>
      <c r="DA28" s="6"/>
      <c r="DB28" s="6"/>
      <c r="DC28" s="6"/>
      <c r="DD28" s="6"/>
      <c r="DE28" s="6"/>
      <c r="DF28" s="6"/>
      <c r="DG28" s="6"/>
      <c r="DH28" s="6"/>
      <c r="DI28" s="6"/>
      <c r="DJ28" s="6"/>
      <c r="DK28" s="6"/>
      <c r="DL28" s="6"/>
      <c r="DM28" s="7">
        <v>1.4384559393</v>
      </c>
      <c r="DN28" s="7">
        <f t="shared" si="0"/>
        <v>99.999972221199997</v>
      </c>
      <c r="DO28" s="7"/>
      <c r="DQ28" s="6">
        <v>4.0113952000000001E-2</v>
      </c>
      <c r="DR28" s="6">
        <v>0.13570602239999999</v>
      </c>
      <c r="DS28" s="6">
        <v>2.66795438E-2</v>
      </c>
      <c r="DT28" s="6">
        <v>3.7617389100000002E-2</v>
      </c>
      <c r="DU28" s="6">
        <v>3.3779715000000002E-3</v>
      </c>
      <c r="DV28" s="6">
        <v>2.8703737999999999E-2</v>
      </c>
      <c r="DW28" s="6">
        <v>0.14559467139999999</v>
      </c>
      <c r="DX28" s="6">
        <v>1.2672386169000001</v>
      </c>
      <c r="DY28" s="6">
        <v>1.0381516218</v>
      </c>
      <c r="DZ28" s="6">
        <v>82.204978942899999</v>
      </c>
      <c r="EA28" s="6">
        <v>0.4218314588</v>
      </c>
      <c r="EB28" s="6">
        <v>0.45787635450000003</v>
      </c>
      <c r="EC28" s="6">
        <v>0.38322764640000001</v>
      </c>
      <c r="ED28" s="6">
        <v>0.3183725476</v>
      </c>
      <c r="EE28" s="6">
        <v>8.8739490509000003</v>
      </c>
      <c r="EF28" s="6">
        <v>0.95896703000000005</v>
      </c>
      <c r="EG28" s="6">
        <v>3.6538722515000002</v>
      </c>
      <c r="EH28" s="6">
        <v>3.7510104000000001E-3</v>
      </c>
    </row>
    <row r="29" spans="1:138">
      <c r="A29" s="4">
        <v>46122</v>
      </c>
      <c r="B29" s="8"/>
      <c r="C29" s="3">
        <v>5</v>
      </c>
      <c r="D29" s="90" t="s">
        <v>329</v>
      </c>
      <c r="E29" s="3">
        <v>190</v>
      </c>
      <c r="F29" s="3">
        <v>190</v>
      </c>
      <c r="G29" s="3">
        <v>24.021999999999998</v>
      </c>
      <c r="H29" s="3">
        <v>24.0046</v>
      </c>
      <c r="I29" s="3">
        <v>720.77800000000002</v>
      </c>
      <c r="J29" s="3">
        <v>710.74199999999996</v>
      </c>
      <c r="K29" s="3">
        <v>0</v>
      </c>
      <c r="L29" s="3">
        <v>0</v>
      </c>
      <c r="M29" s="3">
        <v>716.35799999999995</v>
      </c>
      <c r="N29" s="3">
        <v>725.745</v>
      </c>
      <c r="O29" s="3">
        <v>0</v>
      </c>
      <c r="P29" s="3">
        <v>0</v>
      </c>
      <c r="Q29" s="3">
        <v>0.33808700000000003</v>
      </c>
      <c r="R29" s="3">
        <v>1999.52</v>
      </c>
      <c r="S29" s="3">
        <v>1999.51</v>
      </c>
      <c r="T29" s="3">
        <v>0</v>
      </c>
      <c r="U29" s="3">
        <v>0</v>
      </c>
      <c r="V29" s="3">
        <v>2000.02</v>
      </c>
      <c r="W29" s="3">
        <v>2000.04</v>
      </c>
      <c r="X29" s="3">
        <v>0</v>
      </c>
      <c r="Y29" s="3">
        <v>0</v>
      </c>
      <c r="Z29" s="3">
        <v>219.9</v>
      </c>
      <c r="AA29" s="3">
        <v>1.9983900000000001</v>
      </c>
      <c r="AB29" s="3">
        <v>2.00116</v>
      </c>
      <c r="AC29" s="3">
        <v>-6.7393999999999996E-2</v>
      </c>
      <c r="AD29" s="3">
        <v>-2.3214099999999999E-3</v>
      </c>
      <c r="AE29" s="3">
        <v>2.0015299999999998</v>
      </c>
      <c r="AF29" s="3">
        <v>2.0014599999999998</v>
      </c>
      <c r="AG29" s="3">
        <v>-0.24002699999999999</v>
      </c>
      <c r="AH29" s="3">
        <v>-3.1309099999999999E-2</v>
      </c>
      <c r="AI29" s="7">
        <v>23.147193000000001</v>
      </c>
      <c r="AJ29" s="7">
        <v>58.675472999999997</v>
      </c>
      <c r="AL29" s="6">
        <v>88.439216614000003</v>
      </c>
      <c r="AM29" s="52">
        <v>83.612030028999996</v>
      </c>
      <c r="AN29" s="52">
        <v>16.284790039000001</v>
      </c>
      <c r="AO29" s="52">
        <v>24.100986481</v>
      </c>
      <c r="AP29" s="6">
        <v>0</v>
      </c>
      <c r="AQ29" s="6">
        <v>0</v>
      </c>
      <c r="AR29" s="6">
        <v>0</v>
      </c>
      <c r="AS29" s="6">
        <v>0</v>
      </c>
      <c r="AT29" s="6">
        <v>1.5589115E-3</v>
      </c>
      <c r="AU29" s="280">
        <v>84.494438170999999</v>
      </c>
      <c r="AV29" s="280">
        <v>9.7401170731000004</v>
      </c>
      <c r="AW29" s="280">
        <v>4.6050434112999996</v>
      </c>
      <c r="AX29" s="6">
        <v>0</v>
      </c>
      <c r="AY29" s="6">
        <v>0</v>
      </c>
      <c r="AZ29" s="6">
        <v>0</v>
      </c>
      <c r="BA29" s="6">
        <v>0</v>
      </c>
      <c r="BB29" s="6">
        <v>0</v>
      </c>
      <c r="BC29" s="6">
        <v>0</v>
      </c>
      <c r="BD29" s="6">
        <v>0</v>
      </c>
      <c r="BE29" s="6">
        <v>0</v>
      </c>
      <c r="BF29" s="6">
        <v>0</v>
      </c>
      <c r="BG29" s="6">
        <v>0</v>
      </c>
      <c r="BH29" s="6">
        <v>0</v>
      </c>
      <c r="BI29" s="6">
        <v>8.560614E-4</v>
      </c>
      <c r="BJ29" s="6">
        <v>0.4159208834</v>
      </c>
      <c r="BK29" s="6">
        <v>0</v>
      </c>
      <c r="BL29" s="6">
        <v>0</v>
      </c>
      <c r="BM29" s="6">
        <v>0</v>
      </c>
      <c r="BN29" s="6">
        <v>0</v>
      </c>
      <c r="BO29" s="6">
        <v>0</v>
      </c>
      <c r="BP29" s="6">
        <v>0</v>
      </c>
      <c r="BQ29" s="6">
        <v>0</v>
      </c>
      <c r="BR29" s="6">
        <v>0</v>
      </c>
      <c r="BS29" s="6">
        <v>0</v>
      </c>
      <c r="BT29" s="6">
        <v>0</v>
      </c>
      <c r="BU29" s="6">
        <v>0</v>
      </c>
      <c r="BV29" s="6">
        <v>0</v>
      </c>
      <c r="BW29" s="6">
        <v>0</v>
      </c>
      <c r="BX29" s="6">
        <v>0</v>
      </c>
      <c r="BY29" s="6">
        <v>0</v>
      </c>
      <c r="BZ29" s="6">
        <v>0</v>
      </c>
      <c r="CA29" s="6">
        <v>0</v>
      </c>
      <c r="CB29" s="6">
        <v>0</v>
      </c>
      <c r="CC29" s="6">
        <v>0</v>
      </c>
      <c r="CD29" s="6">
        <v>0</v>
      </c>
      <c r="CE29" s="6">
        <v>0</v>
      </c>
      <c r="CF29" s="6">
        <v>0</v>
      </c>
      <c r="CG29" s="6">
        <v>0</v>
      </c>
      <c r="CH29" s="6">
        <v>0</v>
      </c>
      <c r="CI29" s="6">
        <v>0</v>
      </c>
      <c r="CJ29" s="6">
        <v>0</v>
      </c>
      <c r="CK29" s="6">
        <v>0</v>
      </c>
      <c r="CL29" s="6">
        <v>0</v>
      </c>
      <c r="CM29" s="6">
        <v>0</v>
      </c>
      <c r="CN29" s="6">
        <v>0.56256455179999998</v>
      </c>
      <c r="CO29" s="6"/>
      <c r="CP29" s="6"/>
      <c r="CQ29" s="6"/>
      <c r="CR29" s="6"/>
      <c r="CS29" s="6"/>
      <c r="CT29" s="6"/>
      <c r="CU29" s="6"/>
      <c r="CV29" s="6"/>
      <c r="CW29" s="6"/>
      <c r="CX29" s="6"/>
      <c r="CY29" s="6"/>
      <c r="CZ29" s="6"/>
      <c r="DA29" s="6"/>
      <c r="DB29" s="6"/>
      <c r="DC29" s="6"/>
      <c r="DD29" s="6"/>
      <c r="DE29" s="6"/>
      <c r="DF29" s="6"/>
      <c r="DG29" s="6"/>
      <c r="DH29" s="6"/>
      <c r="DI29" s="6"/>
      <c r="DJ29" s="6"/>
      <c r="DK29" s="6"/>
      <c r="DL29" s="6"/>
      <c r="DM29" s="7">
        <v>0.17947623130000001</v>
      </c>
      <c r="DN29" s="7">
        <f t="shared" si="0"/>
        <v>99.999975294799995</v>
      </c>
      <c r="DO29" s="7"/>
      <c r="DP29" s="6">
        <v>8.5622810000000004E-4</v>
      </c>
      <c r="DQ29" s="6">
        <v>1.5592150000000001E-3</v>
      </c>
      <c r="DR29" s="6">
        <v>1.1883206000000001E-3</v>
      </c>
      <c r="DS29" s="6">
        <v>3.7639387000000003E-2</v>
      </c>
      <c r="DT29" s="6">
        <v>0.37717413900000002</v>
      </c>
      <c r="DU29" s="6">
        <v>84.510887146000002</v>
      </c>
      <c r="DV29" s="6">
        <v>0.56267410520000005</v>
      </c>
      <c r="DW29" s="6">
        <v>1.05563141E-2</v>
      </c>
      <c r="DX29" s="6">
        <v>9.7420129776</v>
      </c>
      <c r="DY29" s="6">
        <v>0.1299643368</v>
      </c>
      <c r="DZ29" s="6">
        <v>4.6059398650999999</v>
      </c>
      <c r="EA29" s="6">
        <v>1.9541544800000001E-2</v>
      </c>
      <c r="EB29" s="6"/>
      <c r="EC29" s="6"/>
      <c r="ED29" s="6"/>
      <c r="EE29" s="6"/>
      <c r="EF29" s="6"/>
      <c r="EG29" s="6"/>
      <c r="EH29" s="6"/>
    </row>
    <row r="30" spans="1:138">
      <c r="A30" s="4">
        <v>46122</v>
      </c>
      <c r="B30" s="8"/>
      <c r="C30" s="3">
        <v>6</v>
      </c>
      <c r="D30" s="90" t="s">
        <v>330</v>
      </c>
      <c r="E30" s="3">
        <v>190</v>
      </c>
      <c r="F30" s="3">
        <v>190</v>
      </c>
      <c r="G30" s="3">
        <v>24.0017</v>
      </c>
      <c r="H30" s="3">
        <v>23.995999999999999</v>
      </c>
      <c r="I30" s="3">
        <v>746.38300000000004</v>
      </c>
      <c r="J30" s="3">
        <v>747.75900000000001</v>
      </c>
      <c r="K30" s="3">
        <v>0</v>
      </c>
      <c r="L30" s="3">
        <v>0</v>
      </c>
      <c r="M30" s="3">
        <v>746.94899999999996</v>
      </c>
      <c r="N30" s="3">
        <v>745.46400000000006</v>
      </c>
      <c r="O30" s="3">
        <v>0</v>
      </c>
      <c r="P30" s="3">
        <v>0</v>
      </c>
      <c r="Q30" s="3">
        <v>0.31872499999999998</v>
      </c>
      <c r="R30" s="3">
        <v>1999.19</v>
      </c>
      <c r="S30" s="3">
        <v>2000.46</v>
      </c>
      <c r="T30" s="3">
        <v>0</v>
      </c>
      <c r="U30" s="3">
        <v>0</v>
      </c>
      <c r="V30" s="3">
        <v>2000.03</v>
      </c>
      <c r="W30" s="3">
        <v>1999</v>
      </c>
      <c r="X30" s="3">
        <v>0</v>
      </c>
      <c r="Y30" s="3">
        <v>0</v>
      </c>
      <c r="Z30" s="3">
        <v>220.1</v>
      </c>
      <c r="AA30" s="3">
        <v>1.99857</v>
      </c>
      <c r="AB30" s="3">
        <v>1.9983200000000001</v>
      </c>
      <c r="AC30" s="3">
        <v>-6.25391E-2</v>
      </c>
      <c r="AD30" s="3">
        <v>1.84537E-3</v>
      </c>
      <c r="AE30" s="3">
        <v>1.99936</v>
      </c>
      <c r="AF30" s="3">
        <v>1.99353</v>
      </c>
      <c r="AG30" s="3">
        <v>-8.7691400000000003E-2</v>
      </c>
      <c r="AH30" s="3">
        <v>-3.3382700000000001E-2</v>
      </c>
      <c r="AI30" s="7">
        <v>22.240676000000001</v>
      </c>
      <c r="AJ30" s="7">
        <v>59.670651999999997</v>
      </c>
      <c r="AL30" s="6">
        <v>88.639480590999995</v>
      </c>
      <c r="AM30" s="52">
        <v>83.619239807</v>
      </c>
      <c r="AN30" s="52">
        <v>15.949174880999999</v>
      </c>
      <c r="AO30" s="52">
        <v>26.878149033</v>
      </c>
      <c r="AP30" s="6">
        <v>0</v>
      </c>
      <c r="AQ30" s="6">
        <v>0</v>
      </c>
      <c r="AR30" s="6">
        <v>7.6156191499999998E-2</v>
      </c>
      <c r="AS30" s="6">
        <v>5.2496425800000003E-2</v>
      </c>
      <c r="AT30" s="6">
        <v>4.917243E-3</v>
      </c>
      <c r="AU30" s="6">
        <v>80.060806274000001</v>
      </c>
      <c r="AV30" s="6">
        <v>8.0730476379000002</v>
      </c>
      <c r="AW30" s="6">
        <v>2.9258961677999999</v>
      </c>
      <c r="AX30" s="6">
        <v>0</v>
      </c>
      <c r="AY30" s="6">
        <v>0</v>
      </c>
      <c r="AZ30" s="6">
        <v>0</v>
      </c>
      <c r="BA30" s="6">
        <v>0</v>
      </c>
      <c r="BB30" s="6">
        <v>0</v>
      </c>
      <c r="BC30" s="6">
        <v>0</v>
      </c>
      <c r="BD30" s="6">
        <v>0</v>
      </c>
      <c r="BE30" s="6">
        <v>0</v>
      </c>
      <c r="BF30" s="6">
        <v>0</v>
      </c>
      <c r="BG30" s="6">
        <v>0</v>
      </c>
      <c r="BH30" s="6">
        <v>0.25475990770000001</v>
      </c>
      <c r="BI30" s="6">
        <v>7.1024946899999997E-2</v>
      </c>
      <c r="BJ30" s="6">
        <v>4.4132461548000004</v>
      </c>
      <c r="BK30" s="6">
        <v>1.3059802055</v>
      </c>
      <c r="BL30" s="6">
        <v>0</v>
      </c>
      <c r="BM30" s="6">
        <v>0</v>
      </c>
      <c r="BN30" s="6">
        <v>0</v>
      </c>
      <c r="BO30" s="6">
        <v>0</v>
      </c>
      <c r="BP30" s="6">
        <v>0</v>
      </c>
      <c r="BQ30" s="6">
        <v>0</v>
      </c>
      <c r="BR30" s="6">
        <v>0</v>
      </c>
      <c r="BS30" s="6">
        <v>0</v>
      </c>
      <c r="BT30" s="6">
        <v>0</v>
      </c>
      <c r="BU30" s="6">
        <v>0</v>
      </c>
      <c r="BV30" s="6">
        <v>0</v>
      </c>
      <c r="BW30" s="6">
        <v>0</v>
      </c>
      <c r="BX30" s="6">
        <v>0</v>
      </c>
      <c r="BY30" s="6">
        <v>0</v>
      </c>
      <c r="BZ30" s="6">
        <v>0</v>
      </c>
      <c r="CA30" s="6">
        <v>0</v>
      </c>
      <c r="CB30" s="6">
        <v>0</v>
      </c>
      <c r="CC30" s="6">
        <v>0</v>
      </c>
      <c r="CD30" s="6">
        <v>0</v>
      </c>
      <c r="CE30" s="6">
        <v>0</v>
      </c>
      <c r="CF30" s="6">
        <v>0</v>
      </c>
      <c r="CG30" s="6">
        <v>0</v>
      </c>
      <c r="CH30" s="6">
        <v>0</v>
      </c>
      <c r="CI30" s="6">
        <v>0</v>
      </c>
      <c r="CJ30" s="6">
        <v>0</v>
      </c>
      <c r="CK30" s="6">
        <v>0</v>
      </c>
      <c r="CL30" s="6">
        <v>0</v>
      </c>
      <c r="CM30" s="6">
        <v>0</v>
      </c>
      <c r="CN30" s="6">
        <v>0.43117770550000001</v>
      </c>
      <c r="CO30" s="6"/>
      <c r="CP30" s="6"/>
      <c r="CQ30" s="6"/>
      <c r="CR30" s="6"/>
      <c r="CS30" s="6"/>
      <c r="CT30" s="6"/>
      <c r="CU30" s="6"/>
      <c r="CV30" s="6"/>
      <c r="CW30" s="6"/>
      <c r="CX30" s="6"/>
      <c r="CY30" s="6"/>
      <c r="CZ30" s="6"/>
      <c r="DA30" s="6"/>
      <c r="DB30" s="6"/>
      <c r="DC30" s="6"/>
      <c r="DD30" s="6"/>
      <c r="DE30" s="6"/>
      <c r="DF30" s="6"/>
      <c r="DG30" s="6"/>
      <c r="DH30" s="6"/>
      <c r="DI30" s="6"/>
      <c r="DJ30" s="6"/>
      <c r="DK30" s="6"/>
      <c r="DL30" s="6"/>
      <c r="DM30" s="7">
        <v>2.3304944037999999</v>
      </c>
      <c r="DN30" s="7">
        <f t="shared" si="0"/>
        <v>100.00000326420003</v>
      </c>
      <c r="DO30" s="7"/>
      <c r="DP30" s="6">
        <v>7.0682799999999995E-4</v>
      </c>
      <c r="DQ30" s="6">
        <v>7.6226607000000002E-2</v>
      </c>
      <c r="DR30" s="6">
        <v>0.2549954653</v>
      </c>
      <c r="DS30" s="6">
        <v>5.2544966300000003E-2</v>
      </c>
      <c r="DT30" s="6">
        <v>7.1090623699999994E-2</v>
      </c>
      <c r="DU30" s="6">
        <v>4.9217897E-3</v>
      </c>
      <c r="DV30" s="6">
        <v>4.8238288599999998E-2</v>
      </c>
      <c r="DW30" s="6">
        <v>0.26904025669999998</v>
      </c>
      <c r="DX30" s="6">
        <v>2.4060754776</v>
      </c>
      <c r="DY30" s="6">
        <v>1.6939730644</v>
      </c>
      <c r="DZ30" s="6">
        <v>80.134834289599993</v>
      </c>
      <c r="EA30" s="6">
        <v>0.67073148490000001</v>
      </c>
      <c r="EB30" s="6">
        <v>0.431576401</v>
      </c>
      <c r="EC30" s="6">
        <v>0.68632304669999999</v>
      </c>
      <c r="ED30" s="6">
        <v>0.62086486819999998</v>
      </c>
      <c r="EE30" s="6">
        <v>8.0805130004999999</v>
      </c>
      <c r="EF30" s="6">
        <v>1.5658833981</v>
      </c>
      <c r="EG30" s="6">
        <v>2.9286017418000001</v>
      </c>
      <c r="EH30" s="6">
        <v>2.8427080000000002E-3</v>
      </c>
    </row>
    <row r="31" spans="1:138">
      <c r="A31" s="4">
        <v>46122</v>
      </c>
      <c r="B31" s="8"/>
      <c r="C31" s="3">
        <v>1</v>
      </c>
      <c r="D31" s="90" t="s">
        <v>331</v>
      </c>
      <c r="E31" s="3">
        <v>190</v>
      </c>
      <c r="F31" s="3">
        <v>190</v>
      </c>
      <c r="G31" s="3">
        <v>24.049499999999998</v>
      </c>
      <c r="H31" s="3">
        <v>23.994499999999999</v>
      </c>
      <c r="I31" s="3">
        <v>779.57500000000005</v>
      </c>
      <c r="J31" s="3">
        <v>774.94299999999998</v>
      </c>
      <c r="K31" s="3">
        <v>0</v>
      </c>
      <c r="L31" s="3">
        <v>0</v>
      </c>
      <c r="M31" s="3">
        <v>777.255</v>
      </c>
      <c r="N31" s="3">
        <v>782.221</v>
      </c>
      <c r="O31" s="3">
        <v>0</v>
      </c>
      <c r="P31" s="3">
        <v>0</v>
      </c>
      <c r="Q31" s="3">
        <v>0.390127</v>
      </c>
      <c r="R31" s="3">
        <v>2000.27</v>
      </c>
      <c r="S31" s="3">
        <v>1999.85</v>
      </c>
      <c r="T31" s="3">
        <v>0</v>
      </c>
      <c r="U31" s="3">
        <v>0</v>
      </c>
      <c r="V31" s="3">
        <v>2000.13</v>
      </c>
      <c r="W31" s="3">
        <v>2000.34</v>
      </c>
      <c r="X31" s="3">
        <v>0</v>
      </c>
      <c r="Y31" s="3">
        <v>0</v>
      </c>
      <c r="Z31" s="3">
        <v>220</v>
      </c>
      <c r="AA31" s="3">
        <v>1.9990600000000001</v>
      </c>
      <c r="AB31" s="3">
        <v>1.9981199999999999</v>
      </c>
      <c r="AC31" s="3">
        <v>-6.06721E-2</v>
      </c>
      <c r="AD31" s="3">
        <v>-3.10757E-3</v>
      </c>
      <c r="AE31" s="3">
        <v>1.9996</v>
      </c>
      <c r="AF31" s="3">
        <v>2.0101</v>
      </c>
      <c r="AG31" s="3">
        <v>-0.11897000000000001</v>
      </c>
      <c r="AH31" s="3">
        <v>-1.3367499999999999E-2</v>
      </c>
      <c r="AI31" s="7">
        <v>24.365065999999999</v>
      </c>
      <c r="AJ31" s="7">
        <v>58.933911999999999</v>
      </c>
      <c r="AL31" s="6">
        <v>88.616645813000005</v>
      </c>
      <c r="AM31" s="52">
        <v>83.617561339999995</v>
      </c>
      <c r="AN31" s="52">
        <v>16.063865662000001</v>
      </c>
      <c r="AO31" s="52">
        <v>25.616651534999999</v>
      </c>
      <c r="AP31" s="6">
        <v>0</v>
      </c>
      <c r="AQ31" s="6">
        <v>0</v>
      </c>
      <c r="AR31" s="6">
        <v>4.13440391E-2</v>
      </c>
      <c r="AS31" s="6">
        <v>2.8067600000000002E-2</v>
      </c>
      <c r="AT31" s="6">
        <v>3.4591176E-3</v>
      </c>
      <c r="AU31" s="6">
        <v>81.919021606000001</v>
      </c>
      <c r="AV31" s="6">
        <v>8.7603530884000005</v>
      </c>
      <c r="AW31" s="6">
        <v>3.5771291256</v>
      </c>
      <c r="AX31" s="6">
        <v>0</v>
      </c>
      <c r="AY31" s="6">
        <v>0</v>
      </c>
      <c r="AZ31" s="6">
        <v>0</v>
      </c>
      <c r="BA31" s="6">
        <v>0</v>
      </c>
      <c r="BB31" s="6">
        <v>0</v>
      </c>
      <c r="BC31" s="6">
        <v>0</v>
      </c>
      <c r="BD31" s="6">
        <v>0</v>
      </c>
      <c r="BE31" s="6">
        <v>0</v>
      </c>
      <c r="BF31" s="6">
        <v>0</v>
      </c>
      <c r="BG31" s="6">
        <v>0</v>
      </c>
      <c r="BH31" s="6">
        <v>0.1405233145</v>
      </c>
      <c r="BI31" s="6">
        <v>3.9578490000000001E-2</v>
      </c>
      <c r="BJ31" s="6">
        <v>2.6546525955</v>
      </c>
      <c r="BK31" s="6">
        <v>0.78698986770000001</v>
      </c>
      <c r="BL31" s="6">
        <v>0</v>
      </c>
      <c r="BM31" s="6">
        <v>0</v>
      </c>
      <c r="BN31" s="6">
        <v>0</v>
      </c>
      <c r="BO31" s="6">
        <v>0</v>
      </c>
      <c r="BP31" s="6">
        <v>0</v>
      </c>
      <c r="BQ31" s="6">
        <v>0</v>
      </c>
      <c r="BR31" s="6">
        <v>0</v>
      </c>
      <c r="BS31" s="6">
        <v>0</v>
      </c>
      <c r="BT31" s="6">
        <v>0</v>
      </c>
      <c r="BU31" s="6">
        <v>0</v>
      </c>
      <c r="BV31" s="6">
        <v>0</v>
      </c>
      <c r="BW31" s="6">
        <v>0</v>
      </c>
      <c r="BX31" s="6">
        <v>0</v>
      </c>
      <c r="BY31" s="6">
        <v>0</v>
      </c>
      <c r="BZ31" s="6">
        <v>0</v>
      </c>
      <c r="CA31" s="6">
        <v>0</v>
      </c>
      <c r="CB31" s="6">
        <v>0</v>
      </c>
      <c r="CC31" s="6">
        <v>0</v>
      </c>
      <c r="CD31" s="6">
        <v>0</v>
      </c>
      <c r="CE31" s="6">
        <v>0</v>
      </c>
      <c r="CF31" s="6">
        <v>0</v>
      </c>
      <c r="CG31" s="6">
        <v>0</v>
      </c>
      <c r="CH31" s="6">
        <v>0</v>
      </c>
      <c r="CI31" s="6">
        <v>0</v>
      </c>
      <c r="CJ31" s="6">
        <v>0</v>
      </c>
      <c r="CK31" s="6">
        <v>0</v>
      </c>
      <c r="CL31" s="6">
        <v>0</v>
      </c>
      <c r="CM31" s="6">
        <v>0</v>
      </c>
      <c r="CN31" s="6">
        <v>0.45747900009999998</v>
      </c>
      <c r="CO31" s="6"/>
      <c r="CP31" s="6"/>
      <c r="CQ31" s="6"/>
      <c r="CR31" s="6"/>
      <c r="CS31" s="6"/>
      <c r="CT31" s="6"/>
      <c r="CU31" s="6"/>
      <c r="CV31" s="6"/>
      <c r="CW31" s="6"/>
      <c r="CX31" s="6"/>
      <c r="CY31" s="6"/>
      <c r="CZ31" s="6"/>
      <c r="DA31" s="6"/>
      <c r="DB31" s="6"/>
      <c r="DC31" s="6"/>
      <c r="DD31" s="6"/>
      <c r="DE31" s="6"/>
      <c r="DF31" s="6"/>
      <c r="DG31" s="6"/>
      <c r="DH31" s="6"/>
      <c r="DI31" s="6"/>
      <c r="DJ31" s="6"/>
      <c r="DK31" s="6"/>
      <c r="DL31" s="6"/>
      <c r="DM31" s="7">
        <v>1.5914005040999999</v>
      </c>
      <c r="DN31" s="7">
        <f t="shared" si="0"/>
        <v>99.999998348599973</v>
      </c>
      <c r="DO31" s="7"/>
      <c r="DP31" s="6">
        <v>6.4589590000000004E-4</v>
      </c>
      <c r="DQ31" s="6">
        <v>4.13727313E-2</v>
      </c>
      <c r="DR31" s="6">
        <v>0.14062084259999999</v>
      </c>
      <c r="DS31" s="6">
        <v>2.8087079500000001E-2</v>
      </c>
      <c r="DT31" s="6">
        <v>3.9605956499999997E-2</v>
      </c>
      <c r="DU31" s="6">
        <v>3.4615180999999998E-3</v>
      </c>
      <c r="DV31" s="6">
        <v>2.7750790099999999E-2</v>
      </c>
      <c r="DW31" s="6">
        <v>0.14801484349999999</v>
      </c>
      <c r="DX31" s="6">
        <v>1.3712409735</v>
      </c>
      <c r="DY31" s="6">
        <v>1.1094882488</v>
      </c>
      <c r="DZ31" s="6">
        <v>81.975868225100001</v>
      </c>
      <c r="EA31" s="6">
        <v>0.43703067299999998</v>
      </c>
      <c r="EB31" s="6">
        <v>0.45779651399999999</v>
      </c>
      <c r="EC31" s="6">
        <v>0.42489391570000001</v>
      </c>
      <c r="ED31" s="6">
        <v>0.36264210940000002</v>
      </c>
      <c r="EE31" s="6">
        <v>8.7664327621000009</v>
      </c>
      <c r="EF31" s="6">
        <v>1.0817390680000001</v>
      </c>
      <c r="EG31" s="6">
        <v>3.5796117782999999</v>
      </c>
      <c r="EH31" s="6">
        <v>3.6918927999999998E-3</v>
      </c>
    </row>
    <row r="32" spans="1:138">
      <c r="A32" s="4">
        <v>46123</v>
      </c>
      <c r="B32" s="8"/>
      <c r="C32" s="3">
        <v>2</v>
      </c>
      <c r="D32" s="90" t="s">
        <v>332</v>
      </c>
      <c r="E32" s="3">
        <v>190</v>
      </c>
      <c r="F32" s="3">
        <v>190</v>
      </c>
      <c r="G32" s="3">
        <v>24.0046</v>
      </c>
      <c r="H32" s="3">
        <v>24.0046</v>
      </c>
      <c r="I32" s="3">
        <v>755.27099999999996</v>
      </c>
      <c r="J32" s="3">
        <v>756.14700000000005</v>
      </c>
      <c r="K32" s="3">
        <v>0</v>
      </c>
      <c r="L32" s="3">
        <v>0</v>
      </c>
      <c r="M32" s="3">
        <v>755.26499999999999</v>
      </c>
      <c r="N32" s="3">
        <v>755.92200000000003</v>
      </c>
      <c r="O32" s="3">
        <v>0</v>
      </c>
      <c r="P32" s="3">
        <v>0</v>
      </c>
      <c r="Q32" s="3">
        <v>0.32300499999999999</v>
      </c>
      <c r="R32" s="3">
        <v>2000.26</v>
      </c>
      <c r="S32" s="3">
        <v>2000.39</v>
      </c>
      <c r="T32" s="3">
        <v>0</v>
      </c>
      <c r="U32" s="3">
        <v>0</v>
      </c>
      <c r="V32" s="3">
        <v>2000.23</v>
      </c>
      <c r="W32" s="3">
        <v>2000.62</v>
      </c>
      <c r="X32" s="3">
        <v>0</v>
      </c>
      <c r="Y32" s="3">
        <v>0</v>
      </c>
      <c r="Z32" s="3">
        <v>220</v>
      </c>
      <c r="AA32" s="3">
        <v>2.0023599999999999</v>
      </c>
      <c r="AB32" s="3">
        <v>1.99834</v>
      </c>
      <c r="AC32" s="3">
        <v>-5.8278499999999997E-2</v>
      </c>
      <c r="AD32" s="3">
        <v>-5.8026700000000002E-3</v>
      </c>
      <c r="AE32" s="3">
        <v>1.99759</v>
      </c>
      <c r="AF32" s="3">
        <v>1.99579</v>
      </c>
      <c r="AG32" s="3">
        <v>-8.6730100000000004E-2</v>
      </c>
      <c r="AH32" s="3">
        <v>-3.9927799999999999E-2</v>
      </c>
      <c r="AI32" s="7">
        <v>22.032132000000001</v>
      </c>
      <c r="AJ32" s="7">
        <v>60.115765000000003</v>
      </c>
      <c r="AL32" s="6">
        <v>88.577690124</v>
      </c>
      <c r="AM32" s="52">
        <v>83.616088867000002</v>
      </c>
      <c r="AN32" s="52">
        <v>16.089580536</v>
      </c>
      <c r="AO32" s="52">
        <v>25.516700745000001</v>
      </c>
      <c r="AP32" s="6">
        <v>0</v>
      </c>
      <c r="AQ32" s="6">
        <v>0</v>
      </c>
      <c r="AR32" s="6">
        <v>4.3015044199999998E-2</v>
      </c>
      <c r="AS32" s="6">
        <v>2.7764489900000001E-2</v>
      </c>
      <c r="AT32" s="6">
        <v>3.0895646000000001E-3</v>
      </c>
      <c r="AU32" s="6">
        <v>82.118293761999993</v>
      </c>
      <c r="AV32" s="6">
        <v>8.8698329925999992</v>
      </c>
      <c r="AW32" s="6">
        <v>3.6784846782999998</v>
      </c>
      <c r="AX32" s="6">
        <v>0</v>
      </c>
      <c r="AY32" s="6">
        <v>0</v>
      </c>
      <c r="AZ32" s="6">
        <v>0</v>
      </c>
      <c r="BA32" s="6">
        <v>0</v>
      </c>
      <c r="BB32" s="6">
        <v>0</v>
      </c>
      <c r="BC32" s="6">
        <v>0</v>
      </c>
      <c r="BD32" s="6">
        <v>0</v>
      </c>
      <c r="BE32" s="6">
        <v>0</v>
      </c>
      <c r="BF32" s="6">
        <v>0</v>
      </c>
      <c r="BG32" s="6">
        <v>0</v>
      </c>
      <c r="BH32" s="6">
        <v>0.14397811890000001</v>
      </c>
      <c r="BI32" s="6">
        <v>3.9575945600000002E-2</v>
      </c>
      <c r="BJ32" s="6">
        <v>2.4974861145</v>
      </c>
      <c r="BK32" s="6">
        <v>0.69722038509999995</v>
      </c>
      <c r="BL32" s="6">
        <v>0</v>
      </c>
      <c r="BM32" s="6">
        <v>0</v>
      </c>
      <c r="BN32" s="6">
        <v>0</v>
      </c>
      <c r="BO32" s="6">
        <v>0</v>
      </c>
      <c r="BP32" s="6">
        <v>0</v>
      </c>
      <c r="BQ32" s="6">
        <v>0</v>
      </c>
      <c r="BR32" s="6">
        <v>0</v>
      </c>
      <c r="BS32" s="6">
        <v>0</v>
      </c>
      <c r="BT32" s="6">
        <v>0</v>
      </c>
      <c r="BU32" s="6">
        <v>0</v>
      </c>
      <c r="BV32" s="6">
        <v>0</v>
      </c>
      <c r="BW32" s="6">
        <v>0</v>
      </c>
      <c r="BX32" s="6">
        <v>0</v>
      </c>
      <c r="BY32" s="6">
        <v>0</v>
      </c>
      <c r="BZ32" s="6">
        <v>0</v>
      </c>
      <c r="CA32" s="6">
        <v>0</v>
      </c>
      <c r="CB32" s="6">
        <v>0</v>
      </c>
      <c r="CC32" s="6">
        <v>0</v>
      </c>
      <c r="CD32" s="6">
        <v>0</v>
      </c>
      <c r="CE32" s="6">
        <v>0</v>
      </c>
      <c r="CF32" s="6">
        <v>0</v>
      </c>
      <c r="CG32" s="6">
        <v>0</v>
      </c>
      <c r="CH32" s="6">
        <v>0</v>
      </c>
      <c r="CI32" s="6">
        <v>0</v>
      </c>
      <c r="CJ32" s="6">
        <v>0</v>
      </c>
      <c r="CK32" s="6">
        <v>0</v>
      </c>
      <c r="CL32" s="6">
        <v>0</v>
      </c>
      <c r="CM32" s="6">
        <v>0</v>
      </c>
      <c r="CN32" s="6">
        <v>0.44884774090000001</v>
      </c>
      <c r="CO32" s="6"/>
      <c r="CP32" s="6"/>
      <c r="CQ32" s="6"/>
      <c r="CR32" s="6"/>
      <c r="CS32" s="6"/>
      <c r="CT32" s="6"/>
      <c r="CU32" s="6"/>
      <c r="CV32" s="6"/>
      <c r="CW32" s="6"/>
      <c r="CX32" s="6"/>
      <c r="CY32" s="6"/>
      <c r="CZ32" s="6"/>
      <c r="DA32" s="6"/>
      <c r="DB32" s="6"/>
      <c r="DC32" s="6"/>
      <c r="DD32" s="6"/>
      <c r="DE32" s="6"/>
      <c r="DF32" s="6"/>
      <c r="DG32" s="6"/>
      <c r="DH32" s="6"/>
      <c r="DI32" s="6"/>
      <c r="DJ32" s="6"/>
      <c r="DK32" s="6"/>
      <c r="DL32" s="6"/>
      <c r="DM32" s="7">
        <v>1.4324365854000001</v>
      </c>
      <c r="DN32" s="7">
        <f t="shared" si="0"/>
        <v>100.00002542199999</v>
      </c>
      <c r="DO32" s="7"/>
      <c r="DP32" s="6">
        <v>5.9387039999999995E-4</v>
      </c>
      <c r="DQ32" s="6">
        <v>4.3037023399999999E-2</v>
      </c>
      <c r="DR32" s="6">
        <v>0.1440516859</v>
      </c>
      <c r="DS32" s="6">
        <v>2.7778673899999998E-2</v>
      </c>
      <c r="DT32" s="6">
        <v>3.95961627E-2</v>
      </c>
      <c r="DU32" s="6">
        <v>3.0911431999999998E-3</v>
      </c>
      <c r="DV32" s="6">
        <v>2.9449155599999999E-2</v>
      </c>
      <c r="DW32" s="6">
        <v>0.151537478</v>
      </c>
      <c r="DX32" s="6">
        <v>1.2801356316000001</v>
      </c>
      <c r="DY32" s="6">
        <v>1.0376398563</v>
      </c>
      <c r="DZ32" s="6">
        <v>82.160247802699999</v>
      </c>
      <c r="EA32" s="6">
        <v>0.43107500669999999</v>
      </c>
      <c r="EB32" s="6">
        <v>0.44907706980000001</v>
      </c>
      <c r="EC32" s="6">
        <v>0.38139119739999999</v>
      </c>
      <c r="ED32" s="6">
        <v>0.31618541480000001</v>
      </c>
      <c r="EE32" s="6">
        <v>8.8743648528999994</v>
      </c>
      <c r="EF32" s="6">
        <v>0.94706678389999999</v>
      </c>
      <c r="EG32" s="6">
        <v>3.6803638935</v>
      </c>
      <c r="EH32" s="6">
        <v>3.3201028E-3</v>
      </c>
    </row>
    <row r="33" spans="1:138">
      <c r="A33" s="4">
        <v>46123</v>
      </c>
      <c r="B33" s="8"/>
      <c r="C33" s="3">
        <v>5</v>
      </c>
      <c r="D33" s="90" t="s">
        <v>333</v>
      </c>
      <c r="E33" s="3">
        <v>190</v>
      </c>
      <c r="F33" s="3">
        <v>190</v>
      </c>
      <c r="G33" s="3">
        <v>23.991599999999998</v>
      </c>
      <c r="H33" s="3">
        <v>24.0017</v>
      </c>
      <c r="I33" s="3">
        <v>754.27300000000002</v>
      </c>
      <c r="J33" s="3">
        <v>758.17499999999995</v>
      </c>
      <c r="K33" s="3">
        <v>0</v>
      </c>
      <c r="L33" s="3">
        <v>0</v>
      </c>
      <c r="M33" s="3">
        <v>756.16800000000001</v>
      </c>
      <c r="N33" s="3">
        <v>753.01700000000005</v>
      </c>
      <c r="O33" s="3">
        <v>0</v>
      </c>
      <c r="P33" s="3">
        <v>0</v>
      </c>
      <c r="Q33" s="3">
        <v>3.7862600000000003E-2</v>
      </c>
      <c r="R33" s="3">
        <v>1999.68</v>
      </c>
      <c r="S33" s="3">
        <v>1999.87</v>
      </c>
      <c r="T33" s="3">
        <v>0</v>
      </c>
      <c r="U33" s="3">
        <v>0</v>
      </c>
      <c r="V33" s="3">
        <v>2000.01</v>
      </c>
      <c r="W33" s="3">
        <v>2000.35</v>
      </c>
      <c r="X33" s="3">
        <v>0</v>
      </c>
      <c r="Y33" s="3">
        <v>0</v>
      </c>
      <c r="Z33" s="3">
        <v>219.9</v>
      </c>
      <c r="AA33" s="3">
        <v>2.0004900000000001</v>
      </c>
      <c r="AB33" s="3">
        <v>2.0005700000000002</v>
      </c>
      <c r="AC33" s="3">
        <v>-5.2110700000000003E-2</v>
      </c>
      <c r="AD33" s="3">
        <v>-2.6294500000000002E-3</v>
      </c>
      <c r="AE33" s="3">
        <v>1.998</v>
      </c>
      <c r="AF33" s="3">
        <v>2.0022899999999999</v>
      </c>
      <c r="AG33" s="3">
        <v>-6.9454600000000005E-2</v>
      </c>
      <c r="AH33" s="3">
        <v>-4.8817499999999998E-3</v>
      </c>
      <c r="AI33" s="7">
        <v>23.300184000000002</v>
      </c>
      <c r="AJ33" s="7">
        <v>58.568770999999998</v>
      </c>
      <c r="AL33" s="6">
        <v>88.452522278000004</v>
      </c>
      <c r="AM33" s="6">
        <v>83.612426757999998</v>
      </c>
      <c r="AN33" s="6">
        <v>16.284427643000001</v>
      </c>
      <c r="AO33" s="6">
        <v>24.076862335000001</v>
      </c>
      <c r="AP33" s="6">
        <v>0</v>
      </c>
      <c r="AQ33" s="6">
        <v>0</v>
      </c>
      <c r="AR33" s="6">
        <v>0</v>
      </c>
      <c r="AS33" s="6">
        <v>0</v>
      </c>
      <c r="AT33" s="6">
        <v>1.1517757000000001E-3</v>
      </c>
      <c r="AU33" s="280">
        <v>84.421905518000003</v>
      </c>
      <c r="AV33" s="280">
        <v>9.7649879455999997</v>
      </c>
      <c r="AW33" s="280">
        <v>4.6506061554000002</v>
      </c>
      <c r="AX33" s="6">
        <v>0</v>
      </c>
      <c r="AY33" s="6">
        <v>0</v>
      </c>
      <c r="AZ33" s="6">
        <v>0</v>
      </c>
      <c r="BA33" s="6">
        <v>0</v>
      </c>
      <c r="BB33" s="6">
        <v>0</v>
      </c>
      <c r="BC33" s="6">
        <v>0</v>
      </c>
      <c r="BD33" s="6">
        <v>0</v>
      </c>
      <c r="BE33" s="6">
        <v>0</v>
      </c>
      <c r="BF33" s="6">
        <v>0</v>
      </c>
      <c r="BG33" s="6">
        <v>0</v>
      </c>
      <c r="BH33" s="6">
        <v>0</v>
      </c>
      <c r="BI33" s="6">
        <v>9.8043309999999999E-4</v>
      </c>
      <c r="BJ33" s="6">
        <v>0.41485059260000001</v>
      </c>
      <c r="BK33" s="6">
        <v>0</v>
      </c>
      <c r="BL33" s="6">
        <v>0</v>
      </c>
      <c r="BM33" s="6">
        <v>0</v>
      </c>
      <c r="BN33" s="6">
        <v>0</v>
      </c>
      <c r="BO33" s="6">
        <v>0</v>
      </c>
      <c r="BP33" s="6">
        <v>0</v>
      </c>
      <c r="BQ33" s="6">
        <v>0</v>
      </c>
      <c r="BR33" s="6">
        <v>0</v>
      </c>
      <c r="BS33" s="6">
        <v>0</v>
      </c>
      <c r="BT33" s="6">
        <v>0</v>
      </c>
      <c r="BU33" s="6">
        <v>0</v>
      </c>
      <c r="BV33" s="6">
        <v>0</v>
      </c>
      <c r="BW33" s="6">
        <v>0</v>
      </c>
      <c r="BX33" s="6">
        <v>0</v>
      </c>
      <c r="BY33" s="6">
        <v>0</v>
      </c>
      <c r="BZ33" s="6">
        <v>0</v>
      </c>
      <c r="CA33" s="6">
        <v>0</v>
      </c>
      <c r="CB33" s="6">
        <v>0</v>
      </c>
      <c r="CC33" s="6">
        <v>0</v>
      </c>
      <c r="CD33" s="6">
        <v>0</v>
      </c>
      <c r="CE33" s="6">
        <v>0</v>
      </c>
      <c r="CF33" s="6">
        <v>0</v>
      </c>
      <c r="CG33" s="6">
        <v>0</v>
      </c>
      <c r="CH33" s="6">
        <v>0</v>
      </c>
      <c r="CI33" s="6">
        <v>0</v>
      </c>
      <c r="CJ33" s="6">
        <v>0</v>
      </c>
      <c r="CK33" s="6">
        <v>0</v>
      </c>
      <c r="CL33" s="6">
        <v>0</v>
      </c>
      <c r="CM33" s="6">
        <v>0</v>
      </c>
      <c r="CN33" s="6">
        <v>0.56603115800000003</v>
      </c>
      <c r="CO33" s="6"/>
      <c r="CP33" s="6"/>
      <c r="CQ33" s="6"/>
      <c r="CR33" s="6"/>
      <c r="CS33" s="6"/>
      <c r="CT33" s="6"/>
      <c r="CU33" s="6"/>
      <c r="CV33" s="6"/>
      <c r="CW33" s="6"/>
      <c r="CX33" s="6"/>
      <c r="CY33" s="6"/>
      <c r="CZ33" s="6"/>
      <c r="DA33" s="6"/>
      <c r="DB33" s="6"/>
      <c r="DC33" s="6"/>
      <c r="DD33" s="6"/>
      <c r="DE33" s="6"/>
      <c r="DF33" s="6"/>
      <c r="DG33" s="6"/>
      <c r="DH33" s="6"/>
      <c r="DI33" s="6"/>
      <c r="DJ33" s="6"/>
      <c r="DK33" s="6"/>
      <c r="DL33" s="6"/>
      <c r="DM33" s="7">
        <v>0.17948284749999999</v>
      </c>
      <c r="DN33" s="7">
        <f t="shared" si="0"/>
        <v>99.999996425899994</v>
      </c>
      <c r="DO33" s="7"/>
      <c r="DP33" s="6">
        <v>9.8062670000000009E-4</v>
      </c>
      <c r="DQ33" s="6">
        <v>1.1520031E-3</v>
      </c>
      <c r="DR33" s="6">
        <v>1.0681973E-3</v>
      </c>
      <c r="DS33" s="6">
        <v>3.69951315E-2</v>
      </c>
      <c r="DT33" s="6">
        <v>0.37686920169999999</v>
      </c>
      <c r="DU33" s="6">
        <v>84.438575744600001</v>
      </c>
      <c r="DV33" s="6">
        <v>0.56614291670000005</v>
      </c>
      <c r="DW33" s="6">
        <v>9.5940903000000001E-3</v>
      </c>
      <c r="DX33" s="6">
        <v>9.7669162749999998</v>
      </c>
      <c r="DY33" s="6">
        <v>0.13082467019999999</v>
      </c>
      <c r="DZ33" s="6">
        <v>4.6515245437999999</v>
      </c>
      <c r="EA33" s="6">
        <v>1.9360782600000001E-2</v>
      </c>
      <c r="EB33" s="6"/>
      <c r="EC33" s="6"/>
      <c r="ED33" s="6"/>
      <c r="EE33" s="6"/>
      <c r="EF33" s="6"/>
      <c r="EG33" s="6"/>
      <c r="EH33" s="6"/>
    </row>
    <row r="34" spans="1:138">
      <c r="A34" s="4">
        <v>46123</v>
      </c>
      <c r="B34" s="8"/>
      <c r="C34" s="3">
        <v>6</v>
      </c>
      <c r="D34" s="90" t="s">
        <v>334</v>
      </c>
      <c r="E34" s="3">
        <v>190</v>
      </c>
      <c r="F34" s="3">
        <v>190</v>
      </c>
      <c r="G34" s="3">
        <v>24.0017</v>
      </c>
      <c r="H34" s="3">
        <v>23.998799999999999</v>
      </c>
      <c r="I34" s="3">
        <v>788.77300000000002</v>
      </c>
      <c r="J34" s="3">
        <v>792.20899999999995</v>
      </c>
      <c r="K34" s="3">
        <v>0</v>
      </c>
      <c r="L34" s="3">
        <v>0</v>
      </c>
      <c r="M34" s="3">
        <v>790.27</v>
      </c>
      <c r="N34" s="3">
        <v>785.41200000000003</v>
      </c>
      <c r="O34" s="3">
        <v>0</v>
      </c>
      <c r="P34" s="3">
        <v>0</v>
      </c>
      <c r="Q34" s="3">
        <v>0.30707099999999998</v>
      </c>
      <c r="R34" s="3">
        <v>2000.03</v>
      </c>
      <c r="S34" s="3">
        <v>1999.97</v>
      </c>
      <c r="T34" s="3">
        <v>0</v>
      </c>
      <c r="U34" s="3">
        <v>0</v>
      </c>
      <c r="V34" s="3">
        <v>1999.81</v>
      </c>
      <c r="W34" s="3">
        <v>1999.89</v>
      </c>
      <c r="X34" s="3">
        <v>0</v>
      </c>
      <c r="Y34" s="3">
        <v>0</v>
      </c>
      <c r="Z34" s="3">
        <v>219.9</v>
      </c>
      <c r="AA34" s="3">
        <v>1.9995499999999999</v>
      </c>
      <c r="AB34" s="3">
        <v>1.99919</v>
      </c>
      <c r="AC34" s="3">
        <v>-5.9718899999999998E-2</v>
      </c>
      <c r="AD34" s="3">
        <v>-8.7552299999999993E-3</v>
      </c>
      <c r="AE34" s="3">
        <v>2.0006400000000002</v>
      </c>
      <c r="AF34" s="3">
        <v>1.99807</v>
      </c>
      <c r="AG34" s="3">
        <v>-4.93788E-2</v>
      </c>
      <c r="AH34" s="3">
        <v>-4.1265999999999997E-2</v>
      </c>
      <c r="AI34" s="7">
        <v>22.158148000000001</v>
      </c>
      <c r="AJ34" s="7">
        <v>59.787740999999997</v>
      </c>
      <c r="AL34" s="6">
        <v>88.620025635000005</v>
      </c>
      <c r="AM34" s="52">
        <v>83.618804932000003</v>
      </c>
      <c r="AN34" s="52">
        <v>15.947886467</v>
      </c>
      <c r="AO34" s="52">
        <v>26.979841231999998</v>
      </c>
      <c r="AP34" s="6">
        <v>0</v>
      </c>
      <c r="AQ34" s="6">
        <v>0</v>
      </c>
      <c r="AR34" s="6">
        <v>8.1868834799999998E-2</v>
      </c>
      <c r="AS34" s="6">
        <v>5.5399611600000002E-2</v>
      </c>
      <c r="AT34" s="6">
        <v>4.7859525999999998E-3</v>
      </c>
      <c r="AU34" s="6">
        <v>79.962379455999994</v>
      </c>
      <c r="AV34" s="6">
        <v>8.0200719832999994</v>
      </c>
      <c r="AW34" s="6">
        <v>2.9024775028000001</v>
      </c>
      <c r="AX34" s="6">
        <v>0</v>
      </c>
      <c r="AY34" s="6">
        <v>0</v>
      </c>
      <c r="AZ34" s="6">
        <v>0</v>
      </c>
      <c r="BA34" s="6">
        <v>0</v>
      </c>
      <c r="BB34" s="6">
        <v>0</v>
      </c>
      <c r="BC34" s="6">
        <v>0</v>
      </c>
      <c r="BD34" s="6">
        <v>0</v>
      </c>
      <c r="BE34" s="6">
        <v>0</v>
      </c>
      <c r="BF34" s="6">
        <v>0</v>
      </c>
      <c r="BG34" s="6">
        <v>0</v>
      </c>
      <c r="BH34" s="6">
        <v>0.27204909919999998</v>
      </c>
      <c r="BI34" s="6">
        <v>7.5695678599999996E-2</v>
      </c>
      <c r="BJ34" s="6">
        <v>4.5342860221999999</v>
      </c>
      <c r="BK34" s="6">
        <v>1.3246154784999999</v>
      </c>
      <c r="BL34" s="6">
        <v>0</v>
      </c>
      <c r="BM34" s="6">
        <v>0</v>
      </c>
      <c r="BN34" s="6">
        <v>0</v>
      </c>
      <c r="BO34" s="6">
        <v>0</v>
      </c>
      <c r="BP34" s="6">
        <v>0</v>
      </c>
      <c r="BQ34" s="6">
        <v>0</v>
      </c>
      <c r="BR34" s="6">
        <v>0</v>
      </c>
      <c r="BS34" s="6">
        <v>0</v>
      </c>
      <c r="BT34" s="6">
        <v>0</v>
      </c>
      <c r="BU34" s="6">
        <v>0</v>
      </c>
      <c r="BV34" s="6">
        <v>0</v>
      </c>
      <c r="BW34" s="6">
        <v>0</v>
      </c>
      <c r="BX34" s="6">
        <v>0</v>
      </c>
      <c r="BY34" s="6">
        <v>0</v>
      </c>
      <c r="BZ34" s="6">
        <v>0</v>
      </c>
      <c r="CA34" s="6">
        <v>0</v>
      </c>
      <c r="CB34" s="6">
        <v>0</v>
      </c>
      <c r="CC34" s="6">
        <v>0</v>
      </c>
      <c r="CD34" s="6">
        <v>0</v>
      </c>
      <c r="CE34" s="6">
        <v>0</v>
      </c>
      <c r="CF34" s="6">
        <v>0</v>
      </c>
      <c r="CG34" s="6">
        <v>0</v>
      </c>
      <c r="CH34" s="6">
        <v>0</v>
      </c>
      <c r="CI34" s="6">
        <v>0</v>
      </c>
      <c r="CJ34" s="6">
        <v>0</v>
      </c>
      <c r="CK34" s="6">
        <v>0</v>
      </c>
      <c r="CL34" s="6">
        <v>0</v>
      </c>
      <c r="CM34" s="6">
        <v>0</v>
      </c>
      <c r="CN34" s="6">
        <v>0.4238710403</v>
      </c>
      <c r="CO34" s="6"/>
      <c r="CP34" s="6"/>
      <c r="CQ34" s="6"/>
      <c r="CR34" s="6"/>
      <c r="CS34" s="6"/>
      <c r="CT34" s="6"/>
      <c r="CU34" s="6"/>
      <c r="CV34" s="6"/>
      <c r="CW34" s="6"/>
      <c r="CX34" s="6"/>
      <c r="CY34" s="6"/>
      <c r="CZ34" s="6"/>
      <c r="DA34" s="6"/>
      <c r="DB34" s="6"/>
      <c r="DC34" s="6"/>
      <c r="DD34" s="6"/>
      <c r="DE34" s="6"/>
      <c r="DF34" s="6"/>
      <c r="DG34" s="6"/>
      <c r="DH34" s="6"/>
      <c r="DI34" s="6"/>
      <c r="DJ34" s="6"/>
      <c r="DK34" s="6"/>
      <c r="DL34" s="6"/>
      <c r="DM34" s="7">
        <v>2.3424870967999998</v>
      </c>
      <c r="DN34" s="7">
        <f t="shared" si="0"/>
        <v>99.99998775669998</v>
      </c>
      <c r="DO34" s="7"/>
      <c r="DP34" s="6">
        <v>9.8051699999999998E-4</v>
      </c>
      <c r="DQ34" s="6">
        <v>8.19444805E-2</v>
      </c>
      <c r="DR34" s="6">
        <v>0.27230045200000003</v>
      </c>
      <c r="DS34" s="6">
        <v>5.5450800799999998E-2</v>
      </c>
      <c r="DT34" s="6">
        <v>7.5765617199999996E-2</v>
      </c>
      <c r="DU34" s="6">
        <v>4.7903750000000004E-3</v>
      </c>
      <c r="DV34" s="6">
        <v>5.1941622E-2</v>
      </c>
      <c r="DW34" s="6">
        <v>0.28374540809999999</v>
      </c>
      <c r="DX34" s="6">
        <v>2.4713466167</v>
      </c>
      <c r="DY34" s="6">
        <v>1.7314420937999999</v>
      </c>
      <c r="DZ34" s="6">
        <v>80.036262512199997</v>
      </c>
      <c r="EA34" s="6">
        <v>0.67596054080000001</v>
      </c>
      <c r="EB34" s="6">
        <v>0.42426267270000001</v>
      </c>
      <c r="EC34" s="6">
        <v>0.6952507496</v>
      </c>
      <c r="ED34" s="6">
        <v>0.63058865070000003</v>
      </c>
      <c r="EE34" s="6">
        <v>8.0274820328000001</v>
      </c>
      <c r="EF34" s="6">
        <v>1.5736461878000001</v>
      </c>
      <c r="EG34" s="6">
        <v>2.9051592350000002</v>
      </c>
      <c r="EH34" s="6">
        <v>1.6558992E-3</v>
      </c>
    </row>
    <row r="35" spans="1:138">
      <c r="A35" s="4">
        <v>46123</v>
      </c>
      <c r="B35" s="8"/>
      <c r="C35" s="3">
        <v>1</v>
      </c>
      <c r="D35" s="90" t="s">
        <v>335</v>
      </c>
      <c r="E35" s="3">
        <v>190</v>
      </c>
      <c r="F35" s="3">
        <v>190</v>
      </c>
      <c r="G35" s="3">
        <v>23.984400000000001</v>
      </c>
      <c r="H35" s="3">
        <v>24.0075</v>
      </c>
      <c r="I35" s="3">
        <v>796.17200000000003</v>
      </c>
      <c r="J35" s="3">
        <v>796.17700000000002</v>
      </c>
      <c r="K35" s="3">
        <v>0</v>
      </c>
      <c r="L35" s="3">
        <v>0</v>
      </c>
      <c r="M35" s="3">
        <v>796.62400000000002</v>
      </c>
      <c r="N35" s="3">
        <v>796.27200000000005</v>
      </c>
      <c r="O35" s="3">
        <v>0</v>
      </c>
      <c r="P35" s="3">
        <v>0</v>
      </c>
      <c r="Q35" s="3">
        <v>0.24575900000000001</v>
      </c>
      <c r="R35" s="3">
        <v>1999.77</v>
      </c>
      <c r="S35" s="3">
        <v>2000.27</v>
      </c>
      <c r="T35" s="3">
        <v>0</v>
      </c>
      <c r="U35" s="3">
        <v>0</v>
      </c>
      <c r="V35" s="3">
        <v>1999.59</v>
      </c>
      <c r="W35" s="3">
        <v>1999.67</v>
      </c>
      <c r="X35" s="3">
        <v>0</v>
      </c>
      <c r="Y35" s="3">
        <v>0</v>
      </c>
      <c r="Z35" s="3">
        <v>220.1</v>
      </c>
      <c r="AA35" s="3">
        <v>2.0028100000000002</v>
      </c>
      <c r="AB35" s="3">
        <v>2.0013200000000002</v>
      </c>
      <c r="AC35" s="3">
        <v>-4.6752700000000001E-2</v>
      </c>
      <c r="AD35" s="3">
        <v>-3.21112E-3</v>
      </c>
      <c r="AE35" s="3">
        <v>1.99837</v>
      </c>
      <c r="AF35" s="3">
        <v>1.99396</v>
      </c>
      <c r="AG35" s="3">
        <v>-0.10036200000000001</v>
      </c>
      <c r="AH35" s="3">
        <v>-1.9791799999999998E-2</v>
      </c>
      <c r="AI35" s="7">
        <v>24.286113</v>
      </c>
      <c r="AJ35" s="7">
        <v>58.718091000000001</v>
      </c>
      <c r="AL35" s="6">
        <v>88.612365722999996</v>
      </c>
      <c r="AM35" s="52">
        <v>83.617431640999996</v>
      </c>
      <c r="AN35" s="52">
        <v>16.060150146000002</v>
      </c>
      <c r="AO35" s="52">
        <v>25.671312331999999</v>
      </c>
      <c r="AP35" s="6">
        <v>0</v>
      </c>
      <c r="AQ35" s="6">
        <v>0</v>
      </c>
      <c r="AR35" s="6">
        <v>4.37892899E-2</v>
      </c>
      <c r="AS35" s="6">
        <v>2.9345944499999999E-2</v>
      </c>
      <c r="AT35" s="6">
        <v>3.5648364999999998E-3</v>
      </c>
      <c r="AU35" s="6">
        <v>81.853935242000006</v>
      </c>
      <c r="AV35" s="6">
        <v>8.7305040358999992</v>
      </c>
      <c r="AW35" s="6">
        <v>3.5512502193</v>
      </c>
      <c r="AX35" s="6">
        <v>0</v>
      </c>
      <c r="AY35" s="6">
        <v>0</v>
      </c>
      <c r="AZ35" s="6">
        <v>0</v>
      </c>
      <c r="BA35" s="6">
        <v>0</v>
      </c>
      <c r="BB35" s="6">
        <v>0</v>
      </c>
      <c r="BC35" s="6">
        <v>0</v>
      </c>
      <c r="BD35" s="6">
        <v>0</v>
      </c>
      <c r="BE35" s="6">
        <v>0</v>
      </c>
      <c r="BF35" s="6">
        <v>0</v>
      </c>
      <c r="BG35" s="6">
        <v>0</v>
      </c>
      <c r="BH35" s="6">
        <v>0.14889213439999999</v>
      </c>
      <c r="BI35" s="6">
        <v>4.16283421E-2</v>
      </c>
      <c r="BJ35" s="6">
        <v>2.7230362892</v>
      </c>
      <c r="BK35" s="6">
        <v>0.80419743060000004</v>
      </c>
      <c r="BL35" s="6">
        <v>0</v>
      </c>
      <c r="BM35" s="6">
        <v>0</v>
      </c>
      <c r="BN35" s="6">
        <v>0</v>
      </c>
      <c r="BO35" s="6">
        <v>0</v>
      </c>
      <c r="BP35" s="6">
        <v>0</v>
      </c>
      <c r="BQ35" s="6">
        <v>0</v>
      </c>
      <c r="BR35" s="6">
        <v>0</v>
      </c>
      <c r="BS35" s="6">
        <v>0</v>
      </c>
      <c r="BT35" s="6">
        <v>0</v>
      </c>
      <c r="BU35" s="6">
        <v>0</v>
      </c>
      <c r="BV35" s="6">
        <v>0</v>
      </c>
      <c r="BW35" s="6">
        <v>0</v>
      </c>
      <c r="BX35" s="6">
        <v>0</v>
      </c>
      <c r="BY35" s="6">
        <v>0</v>
      </c>
      <c r="BZ35" s="6">
        <v>0</v>
      </c>
      <c r="CA35" s="6">
        <v>0</v>
      </c>
      <c r="CB35" s="6">
        <v>0</v>
      </c>
      <c r="CC35" s="6">
        <v>0</v>
      </c>
      <c r="CD35" s="6">
        <v>0</v>
      </c>
      <c r="CE35" s="6">
        <v>0</v>
      </c>
      <c r="CF35" s="6">
        <v>0</v>
      </c>
      <c r="CG35" s="6">
        <v>0</v>
      </c>
      <c r="CH35" s="6">
        <v>0</v>
      </c>
      <c r="CI35" s="6">
        <v>0</v>
      </c>
      <c r="CJ35" s="6">
        <v>0</v>
      </c>
      <c r="CK35" s="6">
        <v>0</v>
      </c>
      <c r="CL35" s="6">
        <v>0</v>
      </c>
      <c r="CM35" s="6">
        <v>0</v>
      </c>
      <c r="CN35" s="6">
        <v>0.45335546139999999</v>
      </c>
      <c r="CO35" s="6"/>
      <c r="CP35" s="6"/>
      <c r="CQ35" s="6"/>
      <c r="CR35" s="6"/>
      <c r="CS35" s="6"/>
      <c r="CT35" s="6"/>
      <c r="CU35" s="6"/>
      <c r="CV35" s="6"/>
      <c r="CW35" s="6"/>
      <c r="CX35" s="6"/>
      <c r="CY35" s="6"/>
      <c r="CZ35" s="6"/>
      <c r="DA35" s="6"/>
      <c r="DB35" s="6"/>
      <c r="DC35" s="6"/>
      <c r="DD35" s="6"/>
      <c r="DE35" s="6"/>
      <c r="DF35" s="6"/>
      <c r="DG35" s="6"/>
      <c r="DH35" s="6"/>
      <c r="DI35" s="6"/>
      <c r="DJ35" s="6"/>
      <c r="DK35" s="6"/>
      <c r="DL35" s="6"/>
      <c r="DM35" s="7">
        <v>1.6164885759000001</v>
      </c>
      <c r="DN35" s="7">
        <f t="shared" si="0"/>
        <v>99.999987801700001</v>
      </c>
      <c r="DO35" s="7"/>
      <c r="DP35" s="6">
        <v>6.1017410000000004E-4</v>
      </c>
      <c r="DQ35" s="6">
        <v>4.3818943200000002E-2</v>
      </c>
      <c r="DR35" s="6">
        <v>0.14899295570000001</v>
      </c>
      <c r="DS35" s="6">
        <v>2.93658171E-2</v>
      </c>
      <c r="DT35" s="6">
        <v>4.1656531400000002E-2</v>
      </c>
      <c r="DU35" s="6">
        <v>3.5672503999999998E-3</v>
      </c>
      <c r="DV35" s="6">
        <v>2.95304656E-2</v>
      </c>
      <c r="DW35" s="6">
        <v>0.15508167449999999</v>
      </c>
      <c r="DX35" s="6">
        <v>1.4152885675</v>
      </c>
      <c r="DY35" s="6">
        <v>1.1249793768</v>
      </c>
      <c r="DZ35" s="6">
        <v>81.909362793</v>
      </c>
      <c r="EA35" s="6">
        <v>0.45321461559999998</v>
      </c>
      <c r="EB35" s="6">
        <v>0.45366245509999997</v>
      </c>
      <c r="EC35" s="6">
        <v>0.43346750740000001</v>
      </c>
      <c r="ED35" s="6">
        <v>0.37127453090000001</v>
      </c>
      <c r="EE35" s="6">
        <v>8.7364158629999995</v>
      </c>
      <c r="EF35" s="6">
        <v>1.0926563739999999</v>
      </c>
      <c r="EG35" s="6">
        <v>3.5536551475999998</v>
      </c>
      <c r="EH35" s="6">
        <v>3.4015709999999999E-3</v>
      </c>
    </row>
    <row r="36" spans="1:138">
      <c r="A36" s="4">
        <v>46123</v>
      </c>
      <c r="B36" s="8"/>
      <c r="C36" s="3">
        <v>2</v>
      </c>
      <c r="D36" s="90" t="s">
        <v>336</v>
      </c>
      <c r="E36" s="3">
        <v>200</v>
      </c>
      <c r="F36" s="3">
        <v>200</v>
      </c>
      <c r="G36" s="3">
        <v>23.9771</v>
      </c>
      <c r="H36" s="3">
        <v>23.994499999999999</v>
      </c>
      <c r="I36" s="3">
        <v>766.54200000000003</v>
      </c>
      <c r="J36" s="3">
        <v>767.87900000000002</v>
      </c>
      <c r="K36" s="3">
        <v>0</v>
      </c>
      <c r="L36" s="3">
        <v>0</v>
      </c>
      <c r="M36" s="3">
        <v>767.61</v>
      </c>
      <c r="N36" s="3">
        <v>764.21100000000001</v>
      </c>
      <c r="O36" s="3">
        <v>0</v>
      </c>
      <c r="P36" s="3">
        <v>0</v>
      </c>
      <c r="Q36" s="3">
        <v>0.39630300000000002</v>
      </c>
      <c r="R36" s="3">
        <v>1999.5</v>
      </c>
      <c r="S36" s="3">
        <v>2000.08</v>
      </c>
      <c r="T36" s="3">
        <v>0</v>
      </c>
      <c r="U36" s="3">
        <v>0</v>
      </c>
      <c r="V36" s="3">
        <v>2000.46</v>
      </c>
      <c r="W36" s="3">
        <v>2000.03</v>
      </c>
      <c r="X36" s="3">
        <v>0</v>
      </c>
      <c r="Y36" s="3">
        <v>0</v>
      </c>
      <c r="Z36" s="3">
        <v>220</v>
      </c>
      <c r="AA36" s="3">
        <v>2.00223</v>
      </c>
      <c r="AB36" s="3">
        <v>1.99793</v>
      </c>
      <c r="AC36" s="3">
        <v>-4.7982799999999999E-2</v>
      </c>
      <c r="AD36" s="3">
        <v>-6.7703399999999997E-3</v>
      </c>
      <c r="AE36" s="3">
        <v>1.9994700000000001</v>
      </c>
      <c r="AF36" s="3">
        <v>1.9969699999999999</v>
      </c>
      <c r="AG36" s="3">
        <v>-9.9102800000000005E-2</v>
      </c>
      <c r="AH36" s="3">
        <v>-1.99265E-2</v>
      </c>
      <c r="AI36" s="7">
        <v>21.875492999999999</v>
      </c>
      <c r="AJ36" s="7">
        <v>60.152656</v>
      </c>
      <c r="AL36" s="6">
        <v>88.461723328000005</v>
      </c>
      <c r="AM36" s="52">
        <v>83.614433289000004</v>
      </c>
      <c r="AN36" s="52">
        <v>15.9431324</v>
      </c>
      <c r="AO36" s="52">
        <v>27.669635773</v>
      </c>
      <c r="AP36" s="6">
        <v>0</v>
      </c>
      <c r="AQ36" s="6">
        <v>0</v>
      </c>
      <c r="AR36" s="6">
        <v>0.13862749930000001</v>
      </c>
      <c r="AS36" s="6">
        <v>8.4643341600000005E-2</v>
      </c>
      <c r="AT36" s="6">
        <v>8.0824746000000003E-3</v>
      </c>
      <c r="AU36" s="6">
        <v>79.144493103000002</v>
      </c>
      <c r="AV36" s="6">
        <v>7.8435978888999998</v>
      </c>
      <c r="AW36" s="6">
        <v>2.7529516219999999</v>
      </c>
      <c r="AX36" s="6">
        <v>0</v>
      </c>
      <c r="AY36" s="6">
        <v>0</v>
      </c>
      <c r="AZ36" s="6">
        <v>0</v>
      </c>
      <c r="BA36" s="6">
        <v>0</v>
      </c>
      <c r="BB36" s="6">
        <v>0</v>
      </c>
      <c r="BC36" s="6">
        <v>0</v>
      </c>
      <c r="BD36" s="6">
        <v>0</v>
      </c>
      <c r="BE36" s="6">
        <v>0</v>
      </c>
      <c r="BF36" s="6">
        <v>0</v>
      </c>
      <c r="BG36" s="6">
        <v>0</v>
      </c>
      <c r="BH36" s="6">
        <v>0.42382335659999998</v>
      </c>
      <c r="BI36" s="6">
        <v>0.1133183688</v>
      </c>
      <c r="BJ36" s="6">
        <v>5.3125929832000001</v>
      </c>
      <c r="BK36" s="6">
        <v>1.3996100426</v>
      </c>
      <c r="BL36" s="6">
        <v>0</v>
      </c>
      <c r="BM36" s="6">
        <v>0</v>
      </c>
      <c r="BN36" s="6">
        <v>0</v>
      </c>
      <c r="BO36" s="6">
        <v>0</v>
      </c>
      <c r="BP36" s="6">
        <v>0</v>
      </c>
      <c r="BQ36" s="6">
        <v>0</v>
      </c>
      <c r="BR36" s="6">
        <v>0</v>
      </c>
      <c r="BS36" s="6">
        <v>0</v>
      </c>
      <c r="BT36" s="6">
        <v>0</v>
      </c>
      <c r="BU36" s="6">
        <v>0</v>
      </c>
      <c r="BV36" s="6">
        <v>0</v>
      </c>
      <c r="BW36" s="6">
        <v>0</v>
      </c>
      <c r="BX36" s="6">
        <v>0</v>
      </c>
      <c r="BY36" s="6">
        <v>0</v>
      </c>
      <c r="BZ36" s="6">
        <v>0</v>
      </c>
      <c r="CA36" s="6">
        <v>0</v>
      </c>
      <c r="CB36" s="6">
        <v>0</v>
      </c>
      <c r="CC36" s="6">
        <v>0</v>
      </c>
      <c r="CD36" s="6">
        <v>0</v>
      </c>
      <c r="CE36" s="6">
        <v>0</v>
      </c>
      <c r="CF36" s="6">
        <v>0</v>
      </c>
      <c r="CG36" s="6">
        <v>0</v>
      </c>
      <c r="CH36" s="6">
        <v>0</v>
      </c>
      <c r="CI36" s="6">
        <v>0</v>
      </c>
      <c r="CJ36" s="6">
        <v>0</v>
      </c>
      <c r="CK36" s="6">
        <v>0</v>
      </c>
      <c r="CL36" s="6">
        <v>0</v>
      </c>
      <c r="CM36" s="6">
        <v>0</v>
      </c>
      <c r="CN36" s="6">
        <v>0.3764000535</v>
      </c>
      <c r="CO36" s="6"/>
      <c r="CP36" s="6"/>
      <c r="CQ36" s="6"/>
      <c r="CR36" s="6"/>
      <c r="CS36" s="6"/>
      <c r="CT36" s="6"/>
      <c r="CU36" s="6"/>
      <c r="CV36" s="6"/>
      <c r="CW36" s="6"/>
      <c r="CX36" s="6"/>
      <c r="CY36" s="6"/>
      <c r="CZ36" s="6"/>
      <c r="DA36" s="6"/>
      <c r="DB36" s="6"/>
      <c r="DC36" s="6"/>
      <c r="DD36" s="6"/>
      <c r="DE36" s="6"/>
      <c r="DF36" s="6"/>
      <c r="DG36" s="6"/>
      <c r="DH36" s="6"/>
      <c r="DI36" s="6"/>
      <c r="DJ36" s="6"/>
      <c r="DK36" s="6"/>
      <c r="DL36" s="6"/>
      <c r="DM36" s="7">
        <v>2.4018647671000002</v>
      </c>
      <c r="DN36" s="7">
        <f t="shared" si="0"/>
        <v>100.00000550120001</v>
      </c>
      <c r="DO36" s="7"/>
      <c r="DP36" s="6">
        <v>8.5550969999999998E-4</v>
      </c>
      <c r="DQ36" s="6">
        <v>0.1387119144</v>
      </c>
      <c r="DR36" s="6">
        <v>0.42408144469999998</v>
      </c>
      <c r="DS36" s="6">
        <v>8.46948847E-2</v>
      </c>
      <c r="DT36" s="6">
        <v>0.1133873686</v>
      </c>
      <c r="DU36" s="6">
        <v>8.0873956999999996E-3</v>
      </c>
      <c r="DV36" s="6">
        <v>8.5358955E-2</v>
      </c>
      <c r="DW36" s="6">
        <v>0.38763019440000002</v>
      </c>
      <c r="DX36" s="6">
        <v>2.8993697165999999</v>
      </c>
      <c r="DY36" s="6">
        <v>1.9434694052000001</v>
      </c>
      <c r="DZ36" s="6">
        <v>79.192680358900006</v>
      </c>
      <c r="EA36" s="6">
        <v>0.80559360980000005</v>
      </c>
      <c r="EB36" s="6">
        <v>0.37662926320000001</v>
      </c>
      <c r="EC36" s="6">
        <v>0.73425269130000004</v>
      </c>
      <c r="ED36" s="6">
        <v>0.66620969770000005</v>
      </c>
      <c r="EE36" s="6">
        <v>7.8483743667999999</v>
      </c>
      <c r="EF36" s="6">
        <v>1.5343534945999999</v>
      </c>
      <c r="EG36" s="6">
        <v>2.7546281815000002</v>
      </c>
      <c r="EH36" s="6">
        <v>1.6357539999999999E-3</v>
      </c>
    </row>
    <row r="37" spans="1:138">
      <c r="A37" s="4">
        <v>46123</v>
      </c>
      <c r="B37" s="8"/>
      <c r="C37" s="3">
        <v>5</v>
      </c>
      <c r="D37" s="90" t="s">
        <v>337</v>
      </c>
      <c r="E37" s="3">
        <v>200</v>
      </c>
      <c r="F37" s="3">
        <v>200</v>
      </c>
      <c r="G37" s="3">
        <v>23.9786</v>
      </c>
      <c r="H37" s="3">
        <v>24.0017</v>
      </c>
      <c r="I37" s="3">
        <v>821.20600000000002</v>
      </c>
      <c r="J37" s="3">
        <v>815.91700000000003</v>
      </c>
      <c r="K37" s="3">
        <v>0</v>
      </c>
      <c r="L37" s="3">
        <v>0</v>
      </c>
      <c r="M37" s="3">
        <v>814.95299999999997</v>
      </c>
      <c r="N37" s="3">
        <v>821.45100000000002</v>
      </c>
      <c r="O37" s="3">
        <v>0</v>
      </c>
      <c r="P37" s="3">
        <v>0</v>
      </c>
      <c r="Q37" s="3">
        <v>0.24725800000000001</v>
      </c>
      <c r="R37" s="3">
        <v>2000.07</v>
      </c>
      <c r="S37" s="3">
        <v>1999.66</v>
      </c>
      <c r="T37" s="3">
        <v>0</v>
      </c>
      <c r="U37" s="3">
        <v>0</v>
      </c>
      <c r="V37" s="3">
        <v>1999.71</v>
      </c>
      <c r="W37" s="3">
        <v>2000.22</v>
      </c>
      <c r="X37" s="3">
        <v>0</v>
      </c>
      <c r="Y37" s="3">
        <v>0</v>
      </c>
      <c r="Z37" s="3">
        <v>220.1</v>
      </c>
      <c r="AA37" s="3">
        <v>1.9998100000000001</v>
      </c>
      <c r="AB37" s="3">
        <v>2.0012300000000001</v>
      </c>
      <c r="AC37" s="3">
        <v>-5.8894099999999998E-2</v>
      </c>
      <c r="AD37" s="3">
        <v>-6.8289600000000002E-3</v>
      </c>
      <c r="AE37" s="3">
        <v>1.9994700000000001</v>
      </c>
      <c r="AF37" s="3">
        <v>1.99909</v>
      </c>
      <c r="AG37" s="3">
        <v>-0.12967600000000001</v>
      </c>
      <c r="AH37" s="3">
        <v>-3.0820500000000001E-2</v>
      </c>
      <c r="AI37" s="7">
        <v>23.141192</v>
      </c>
      <c r="AJ37" s="7">
        <v>58.772364000000003</v>
      </c>
      <c r="AL37" s="6">
        <v>88.477493285999998</v>
      </c>
      <c r="AM37" s="52">
        <v>83.612510681000003</v>
      </c>
      <c r="AN37" s="52">
        <v>16.283739090000001</v>
      </c>
      <c r="AO37" s="52">
        <v>24.014835357999999</v>
      </c>
      <c r="AP37" s="6">
        <v>0</v>
      </c>
      <c r="AQ37" s="6">
        <v>0</v>
      </c>
      <c r="AR37" s="6">
        <v>0</v>
      </c>
      <c r="AS37" s="6">
        <v>0</v>
      </c>
      <c r="AT37" s="6">
        <v>1.0249602E-3</v>
      </c>
      <c r="AU37" s="280">
        <v>84.332229613999999</v>
      </c>
      <c r="AV37" s="280">
        <v>9.7863893509000004</v>
      </c>
      <c r="AW37" s="280">
        <v>4.7399282454999998</v>
      </c>
      <c r="AX37" s="6">
        <v>0</v>
      </c>
      <c r="AY37" s="6">
        <v>0</v>
      </c>
      <c r="AZ37" s="6">
        <v>0</v>
      </c>
      <c r="BA37" s="6">
        <v>0</v>
      </c>
      <c r="BB37" s="6">
        <v>0</v>
      </c>
      <c r="BC37" s="6">
        <v>0</v>
      </c>
      <c r="BD37" s="6">
        <v>0</v>
      </c>
      <c r="BE37" s="6">
        <v>0</v>
      </c>
      <c r="BF37" s="6">
        <v>0</v>
      </c>
      <c r="BG37" s="6">
        <v>0</v>
      </c>
      <c r="BH37" s="6">
        <v>0</v>
      </c>
      <c r="BI37" s="6">
        <v>8.4780659999999998E-4</v>
      </c>
      <c r="BJ37" s="6">
        <v>0.41636189820000002</v>
      </c>
      <c r="BK37" s="6">
        <v>0</v>
      </c>
      <c r="BL37" s="6">
        <v>0</v>
      </c>
      <c r="BM37" s="6">
        <v>0</v>
      </c>
      <c r="BN37" s="6">
        <v>0</v>
      </c>
      <c r="BO37" s="6">
        <v>0</v>
      </c>
      <c r="BP37" s="6">
        <v>0</v>
      </c>
      <c r="BQ37" s="6">
        <v>0</v>
      </c>
      <c r="BR37" s="6">
        <v>0</v>
      </c>
      <c r="BS37" s="6">
        <v>0</v>
      </c>
      <c r="BT37" s="6">
        <v>0</v>
      </c>
      <c r="BU37" s="6">
        <v>0</v>
      </c>
      <c r="BV37" s="6">
        <v>0</v>
      </c>
      <c r="BW37" s="6">
        <v>0</v>
      </c>
      <c r="BX37" s="6">
        <v>0</v>
      </c>
      <c r="BY37" s="6">
        <v>0</v>
      </c>
      <c r="BZ37" s="6">
        <v>0</v>
      </c>
      <c r="CA37" s="6">
        <v>0</v>
      </c>
      <c r="CB37" s="6">
        <v>0</v>
      </c>
      <c r="CC37" s="6">
        <v>0</v>
      </c>
      <c r="CD37" s="6">
        <v>0</v>
      </c>
      <c r="CE37" s="6">
        <v>0</v>
      </c>
      <c r="CF37" s="6">
        <v>0</v>
      </c>
      <c r="CG37" s="6">
        <v>0</v>
      </c>
      <c r="CH37" s="6">
        <v>0</v>
      </c>
      <c r="CI37" s="6">
        <v>0</v>
      </c>
      <c r="CJ37" s="6">
        <v>0</v>
      </c>
      <c r="CK37" s="6">
        <v>0</v>
      </c>
      <c r="CL37" s="6">
        <v>0</v>
      </c>
      <c r="CM37" s="6">
        <v>0</v>
      </c>
      <c r="CN37" s="6">
        <v>0.53930926320000006</v>
      </c>
      <c r="CO37" s="6"/>
      <c r="CP37" s="6"/>
      <c r="CQ37" s="6"/>
      <c r="CR37" s="6"/>
      <c r="CS37" s="6"/>
      <c r="CT37" s="6"/>
      <c r="CU37" s="6"/>
      <c r="CV37" s="6"/>
      <c r="CW37" s="6"/>
      <c r="CX37" s="6"/>
      <c r="CY37" s="6"/>
      <c r="CZ37" s="6"/>
      <c r="DA37" s="6"/>
      <c r="DB37" s="6"/>
      <c r="DC37" s="6"/>
      <c r="DD37" s="6"/>
      <c r="DE37" s="6"/>
      <c r="DF37" s="6"/>
      <c r="DG37" s="6"/>
      <c r="DH37" s="6"/>
      <c r="DI37" s="6"/>
      <c r="DJ37" s="6"/>
      <c r="DK37" s="6"/>
      <c r="DL37" s="6"/>
      <c r="DM37" s="7">
        <v>0.18391607700000001</v>
      </c>
      <c r="DN37" s="7">
        <f t="shared" si="0"/>
        <v>100.00000721559999</v>
      </c>
      <c r="DO37" s="7"/>
      <c r="DP37" s="6">
        <v>8.4797889999999997E-4</v>
      </c>
      <c r="DQ37" s="6">
        <v>1.0251685999999999E-3</v>
      </c>
      <c r="DR37" s="6">
        <v>1.1932233000000001E-3</v>
      </c>
      <c r="DS37" s="6">
        <v>3.7488348800000001E-2</v>
      </c>
      <c r="DT37" s="6">
        <v>0.37776497009999999</v>
      </c>
      <c r="DU37" s="6">
        <v>84.349372863799999</v>
      </c>
      <c r="DV37" s="6">
        <v>0.5394189358</v>
      </c>
      <c r="DW37" s="6">
        <v>9.5249562999999999E-3</v>
      </c>
      <c r="DX37" s="6">
        <v>9.7883787155000004</v>
      </c>
      <c r="DY37" s="6">
        <v>0.13429534439999999</v>
      </c>
      <c r="DZ37" s="6">
        <v>4.7408914566</v>
      </c>
      <c r="EA37" s="6">
        <v>1.98148023E-2</v>
      </c>
      <c r="EB37" s="6"/>
      <c r="EC37" s="6"/>
      <c r="ED37" s="6"/>
      <c r="EE37" s="6"/>
      <c r="EF37" s="6"/>
      <c r="EG37" s="6"/>
      <c r="EH37" s="6"/>
    </row>
    <row r="38" spans="1:138">
      <c r="A38" s="4">
        <v>46123</v>
      </c>
      <c r="B38" s="8"/>
      <c r="C38" s="3">
        <v>6</v>
      </c>
      <c r="D38" s="90" t="s">
        <v>338</v>
      </c>
      <c r="E38" s="3">
        <v>200</v>
      </c>
      <c r="F38" s="3">
        <v>200</v>
      </c>
      <c r="G38" s="3">
        <v>23.997399999999999</v>
      </c>
      <c r="H38" s="3">
        <v>24.0075</v>
      </c>
      <c r="I38" s="3">
        <v>726.69299999999998</v>
      </c>
      <c r="J38" s="3">
        <v>722.13499999999999</v>
      </c>
      <c r="K38" s="3">
        <v>0</v>
      </c>
      <c r="L38" s="3">
        <v>0</v>
      </c>
      <c r="M38" s="3">
        <v>724.41899999999998</v>
      </c>
      <c r="N38" s="3">
        <v>729.45399999999995</v>
      </c>
      <c r="O38" s="3">
        <v>0</v>
      </c>
      <c r="P38" s="3">
        <v>0</v>
      </c>
      <c r="Q38" s="3">
        <v>0.280387</v>
      </c>
      <c r="R38" s="3">
        <v>2000.34</v>
      </c>
      <c r="S38" s="3">
        <v>1999.85</v>
      </c>
      <c r="T38" s="3">
        <v>0</v>
      </c>
      <c r="U38" s="3">
        <v>0</v>
      </c>
      <c r="V38" s="3">
        <v>2000.02</v>
      </c>
      <c r="W38" s="3">
        <v>1999.73</v>
      </c>
      <c r="X38" s="3">
        <v>0</v>
      </c>
      <c r="Y38" s="3">
        <v>0</v>
      </c>
      <c r="Z38" s="3">
        <v>220</v>
      </c>
      <c r="AA38" s="3">
        <v>2.0023200000000001</v>
      </c>
      <c r="AB38" s="3">
        <v>2.0011999999999999</v>
      </c>
      <c r="AC38" s="3">
        <v>-5.1870800000000002E-2</v>
      </c>
      <c r="AD38" s="3">
        <v>2.9742000000000002E-3</v>
      </c>
      <c r="AE38" s="3">
        <v>2.00081</v>
      </c>
      <c r="AF38" s="3">
        <v>2.0034800000000001</v>
      </c>
      <c r="AG38" s="3">
        <v>-0.14066799999999999</v>
      </c>
      <c r="AH38" s="3">
        <v>-2.9251699999999999E-2</v>
      </c>
      <c r="AI38" s="7">
        <v>22.537949999999999</v>
      </c>
      <c r="AJ38" s="7">
        <v>59.151421999999997</v>
      </c>
      <c r="AL38" s="6">
        <v>88.274192810000002</v>
      </c>
      <c r="AM38" s="52">
        <v>83.610595703000001</v>
      </c>
      <c r="AN38" s="52">
        <v>15.778930664000001</v>
      </c>
      <c r="AO38" s="52">
        <v>31.029445647999999</v>
      </c>
      <c r="AP38" s="6">
        <v>0</v>
      </c>
      <c r="AQ38" s="6">
        <v>0</v>
      </c>
      <c r="AR38" s="6">
        <v>0.2544139326</v>
      </c>
      <c r="AS38" s="6">
        <v>0.15807430450000001</v>
      </c>
      <c r="AT38" s="6">
        <v>1.25662619E-2</v>
      </c>
      <c r="AU38" s="6">
        <v>74.478515625</v>
      </c>
      <c r="AV38" s="6">
        <v>6.3100605010999997</v>
      </c>
      <c r="AW38" s="6">
        <v>1.6415990591</v>
      </c>
      <c r="AX38" s="6">
        <v>0</v>
      </c>
      <c r="AY38" s="6">
        <v>0</v>
      </c>
      <c r="AZ38" s="6">
        <v>0</v>
      </c>
      <c r="BA38" s="6">
        <v>0</v>
      </c>
      <c r="BB38" s="6">
        <v>0</v>
      </c>
      <c r="BC38" s="6">
        <v>0</v>
      </c>
      <c r="BD38" s="6">
        <v>0</v>
      </c>
      <c r="BE38" s="6">
        <v>0</v>
      </c>
      <c r="BF38" s="6">
        <v>0</v>
      </c>
      <c r="BG38" s="6">
        <v>0</v>
      </c>
      <c r="BH38" s="6">
        <v>0.75827604530000003</v>
      </c>
      <c r="BI38" s="6">
        <v>0.2082259357</v>
      </c>
      <c r="BJ38" s="6">
        <v>9.8828735351999999</v>
      </c>
      <c r="BK38" s="6">
        <v>2.4381051064000001</v>
      </c>
      <c r="BL38" s="6">
        <v>0</v>
      </c>
      <c r="BM38" s="6">
        <v>0</v>
      </c>
      <c r="BN38" s="6">
        <v>0</v>
      </c>
      <c r="BO38" s="6">
        <v>0</v>
      </c>
      <c r="BP38" s="6">
        <v>0</v>
      </c>
      <c r="BQ38" s="6">
        <v>0</v>
      </c>
      <c r="BR38" s="6">
        <v>0</v>
      </c>
      <c r="BS38" s="6">
        <v>0</v>
      </c>
      <c r="BT38" s="6">
        <v>0</v>
      </c>
      <c r="BU38" s="6">
        <v>0</v>
      </c>
      <c r="BV38" s="6">
        <v>0</v>
      </c>
      <c r="BW38" s="6">
        <v>0</v>
      </c>
      <c r="BX38" s="6">
        <v>0</v>
      </c>
      <c r="BY38" s="6">
        <v>0</v>
      </c>
      <c r="BZ38" s="6">
        <v>0</v>
      </c>
      <c r="CA38" s="6">
        <v>0</v>
      </c>
      <c r="CB38" s="6">
        <v>0</v>
      </c>
      <c r="CC38" s="6">
        <v>0</v>
      </c>
      <c r="CD38" s="6">
        <v>0</v>
      </c>
      <c r="CE38" s="6">
        <v>0</v>
      </c>
      <c r="CF38" s="6">
        <v>0</v>
      </c>
      <c r="CG38" s="6">
        <v>0</v>
      </c>
      <c r="CH38" s="6">
        <v>0</v>
      </c>
      <c r="CI38" s="6">
        <v>0</v>
      </c>
      <c r="CJ38" s="6">
        <v>0</v>
      </c>
      <c r="CK38" s="6">
        <v>0</v>
      </c>
      <c r="CL38" s="6">
        <v>0</v>
      </c>
      <c r="CM38" s="6">
        <v>0</v>
      </c>
      <c r="CN38" s="6">
        <v>0.37009468670000001</v>
      </c>
      <c r="CO38" s="6"/>
      <c r="CP38" s="6"/>
      <c r="CQ38" s="6"/>
      <c r="CR38" s="6"/>
      <c r="CS38" s="6"/>
      <c r="CT38" s="6"/>
      <c r="CU38" s="6"/>
      <c r="CV38" s="6"/>
      <c r="CW38" s="6"/>
      <c r="CX38" s="6"/>
      <c r="CY38" s="6"/>
      <c r="CZ38" s="6"/>
      <c r="DA38" s="6"/>
      <c r="DB38" s="6"/>
      <c r="DC38" s="6"/>
      <c r="DD38" s="6"/>
      <c r="DE38" s="6"/>
      <c r="DF38" s="6"/>
      <c r="DG38" s="6"/>
      <c r="DH38" s="6"/>
      <c r="DI38" s="6"/>
      <c r="DJ38" s="6"/>
      <c r="DK38" s="6"/>
      <c r="DL38" s="6"/>
      <c r="DM38" s="7">
        <v>3.4872078896000001</v>
      </c>
      <c r="DN38" s="7">
        <f t="shared" si="0"/>
        <v>100.0000128831</v>
      </c>
      <c r="DO38" s="7"/>
      <c r="DP38" s="6">
        <v>1.303443E-3</v>
      </c>
      <c r="DQ38" s="6">
        <v>0.2545450628</v>
      </c>
      <c r="DR38" s="6">
        <v>0.75866687300000002</v>
      </c>
      <c r="DS38" s="6">
        <v>0.15815576910000001</v>
      </c>
      <c r="DT38" s="6">
        <v>0.20833325389999999</v>
      </c>
      <c r="DU38" s="6">
        <v>1.2572738300000001E-2</v>
      </c>
      <c r="DV38" s="6">
        <v>0.1515250802</v>
      </c>
      <c r="DW38" s="6">
        <v>0.73168110850000001</v>
      </c>
      <c r="DX38" s="6">
        <v>5.4996767043999997</v>
      </c>
      <c r="DY38" s="6">
        <v>3.5050842761999998</v>
      </c>
      <c r="DZ38" s="6">
        <v>74.516899108900006</v>
      </c>
      <c r="EA38" s="6">
        <v>1.2922348976</v>
      </c>
      <c r="EB38" s="6">
        <v>0.3702854216</v>
      </c>
      <c r="EC38" s="6">
        <v>1.2201210259999999</v>
      </c>
      <c r="ED38" s="6">
        <v>1.2192406654000001</v>
      </c>
      <c r="EE38" s="6">
        <v>6.3133125305000002</v>
      </c>
      <c r="EF38" s="6">
        <v>2.1427063942000002</v>
      </c>
      <c r="EG38" s="6">
        <v>1.6424450874000001</v>
      </c>
      <c r="EH38" s="6">
        <v>1.2159393E-3</v>
      </c>
    </row>
    <row r="39" spans="1:138">
      <c r="A39" s="4">
        <v>46123</v>
      </c>
      <c r="B39" s="8"/>
      <c r="C39" s="3">
        <v>1</v>
      </c>
      <c r="D39" s="90" t="s">
        <v>339</v>
      </c>
      <c r="E39" s="3">
        <v>200</v>
      </c>
      <c r="F39" s="3">
        <v>200</v>
      </c>
      <c r="G39" s="3">
        <v>24.0046</v>
      </c>
      <c r="H39" s="3">
        <v>24.011900000000001</v>
      </c>
      <c r="I39" s="3">
        <v>752.428</v>
      </c>
      <c r="J39" s="3">
        <v>754.82500000000005</v>
      </c>
      <c r="K39" s="3">
        <v>0</v>
      </c>
      <c r="L39" s="3">
        <v>0</v>
      </c>
      <c r="M39" s="3">
        <v>753.74800000000005</v>
      </c>
      <c r="N39" s="3">
        <v>750.24099999999999</v>
      </c>
      <c r="O39" s="3">
        <v>0</v>
      </c>
      <c r="P39" s="3">
        <v>0</v>
      </c>
      <c r="Q39" s="3">
        <v>0.297877</v>
      </c>
      <c r="R39" s="3">
        <v>1999.93</v>
      </c>
      <c r="S39" s="3">
        <v>2000.46</v>
      </c>
      <c r="T39" s="3">
        <v>0</v>
      </c>
      <c r="U39" s="3">
        <v>0</v>
      </c>
      <c r="V39" s="3">
        <v>2000.03</v>
      </c>
      <c r="W39" s="3">
        <v>1999.19</v>
      </c>
      <c r="X39" s="3">
        <v>0</v>
      </c>
      <c r="Y39" s="3">
        <v>0</v>
      </c>
      <c r="Z39" s="3">
        <v>219.9</v>
      </c>
      <c r="AA39" s="3">
        <v>1.9992700000000001</v>
      </c>
      <c r="AB39" s="3">
        <v>1.99769</v>
      </c>
      <c r="AC39" s="3">
        <v>-5.5010499999999997E-2</v>
      </c>
      <c r="AD39" s="3">
        <v>-2.6760500000000001E-3</v>
      </c>
      <c r="AE39" s="3">
        <v>2.00325</v>
      </c>
      <c r="AF39" s="3">
        <v>1.9963</v>
      </c>
      <c r="AG39" s="3">
        <v>-8.5297100000000001E-2</v>
      </c>
      <c r="AH39" s="3">
        <v>-4.3793E-3</v>
      </c>
      <c r="AI39" s="7">
        <v>24.559360000000002</v>
      </c>
      <c r="AJ39" s="7">
        <v>58.255676999999999</v>
      </c>
      <c r="AL39" s="6">
        <v>88.49156189</v>
      </c>
      <c r="AM39" s="52">
        <v>83.615707397999998</v>
      </c>
      <c r="AN39" s="52">
        <v>15.895249367</v>
      </c>
      <c r="AO39" s="52">
        <v>28.12191391</v>
      </c>
      <c r="AP39" s="6">
        <v>0</v>
      </c>
      <c r="AQ39" s="6">
        <v>0</v>
      </c>
      <c r="AR39" s="6">
        <v>0.14390614630000001</v>
      </c>
      <c r="AS39" s="6">
        <v>9.1225616600000003E-2</v>
      </c>
      <c r="AT39" s="6">
        <v>8.2178526000000005E-3</v>
      </c>
      <c r="AU39" s="6">
        <v>78.500770568999997</v>
      </c>
      <c r="AV39" s="6">
        <v>7.5508017540000001</v>
      </c>
      <c r="AW39" s="6">
        <v>2.4710526466</v>
      </c>
      <c r="AX39" s="6">
        <v>0</v>
      </c>
      <c r="AY39" s="6">
        <v>0</v>
      </c>
      <c r="AZ39" s="6">
        <v>0</v>
      </c>
      <c r="BA39" s="6">
        <v>0</v>
      </c>
      <c r="BB39" s="6">
        <v>0</v>
      </c>
      <c r="BC39" s="6">
        <v>0</v>
      </c>
      <c r="BD39" s="6">
        <v>0</v>
      </c>
      <c r="BE39" s="6">
        <v>0</v>
      </c>
      <c r="BF39" s="6">
        <v>0</v>
      </c>
      <c r="BG39" s="6">
        <v>0</v>
      </c>
      <c r="BH39" s="6">
        <v>0.4416313469</v>
      </c>
      <c r="BI39" s="6">
        <v>0.12029363210000001</v>
      </c>
      <c r="BJ39" s="6">
        <v>5.9439806938000004</v>
      </c>
      <c r="BK39" s="6">
        <v>1.6343022585</v>
      </c>
      <c r="BL39" s="6">
        <v>0</v>
      </c>
      <c r="BM39" s="6">
        <v>0</v>
      </c>
      <c r="BN39" s="6">
        <v>0</v>
      </c>
      <c r="BO39" s="6">
        <v>0</v>
      </c>
      <c r="BP39" s="6">
        <v>0</v>
      </c>
      <c r="BQ39" s="6">
        <v>0</v>
      </c>
      <c r="BR39" s="6">
        <v>0</v>
      </c>
      <c r="BS39" s="6">
        <v>0</v>
      </c>
      <c r="BT39" s="6">
        <v>0</v>
      </c>
      <c r="BU39" s="6">
        <v>0</v>
      </c>
      <c r="BV39" s="6">
        <v>0</v>
      </c>
      <c r="BW39" s="6">
        <v>0</v>
      </c>
      <c r="BX39" s="6">
        <v>0</v>
      </c>
      <c r="BY39" s="6">
        <v>0</v>
      </c>
      <c r="BZ39" s="6">
        <v>0</v>
      </c>
      <c r="CA39" s="6">
        <v>0</v>
      </c>
      <c r="CB39" s="6">
        <v>0</v>
      </c>
      <c r="CC39" s="6">
        <v>0</v>
      </c>
      <c r="CD39" s="6">
        <v>0</v>
      </c>
      <c r="CE39" s="6">
        <v>0</v>
      </c>
      <c r="CF39" s="6">
        <v>0</v>
      </c>
      <c r="CG39" s="6">
        <v>0</v>
      </c>
      <c r="CH39" s="6">
        <v>0</v>
      </c>
      <c r="CI39" s="6">
        <v>0</v>
      </c>
      <c r="CJ39" s="6">
        <v>0</v>
      </c>
      <c r="CK39" s="6">
        <v>0</v>
      </c>
      <c r="CL39" s="6">
        <v>0</v>
      </c>
      <c r="CM39" s="6">
        <v>0</v>
      </c>
      <c r="CN39" s="6">
        <v>0.389465481</v>
      </c>
      <c r="CO39" s="6"/>
      <c r="CP39" s="6"/>
      <c r="CQ39" s="6"/>
      <c r="CR39" s="6"/>
      <c r="CS39" s="6"/>
      <c r="CT39" s="6"/>
      <c r="CU39" s="6"/>
      <c r="CV39" s="6"/>
      <c r="CW39" s="6"/>
      <c r="CX39" s="6"/>
      <c r="CY39" s="6"/>
      <c r="CZ39" s="6"/>
      <c r="DA39" s="6"/>
      <c r="DB39" s="6"/>
      <c r="DC39" s="6"/>
      <c r="DD39" s="6"/>
      <c r="DE39" s="6"/>
      <c r="DF39" s="6"/>
      <c r="DG39" s="6"/>
      <c r="DH39" s="6"/>
      <c r="DI39" s="6"/>
      <c r="DJ39" s="6"/>
      <c r="DK39" s="6"/>
      <c r="DL39" s="6"/>
      <c r="DM39" s="7">
        <v>2.7043526173000001</v>
      </c>
      <c r="DN39" s="7">
        <f t="shared" si="0"/>
        <v>100.0000006147</v>
      </c>
      <c r="DO39" s="7"/>
      <c r="DP39" s="6">
        <v>1.2388636E-3</v>
      </c>
      <c r="DQ39" s="6">
        <v>0.14402113850000001</v>
      </c>
      <c r="DR39" s="6">
        <v>0.44198423619999999</v>
      </c>
      <c r="DS39" s="6">
        <v>9.1298513100000006E-2</v>
      </c>
      <c r="DT39" s="6">
        <v>0.1203897595</v>
      </c>
      <c r="DU39" s="6">
        <v>8.2244193000000007E-3</v>
      </c>
      <c r="DV39" s="6">
        <v>8.6422771199999998E-2</v>
      </c>
      <c r="DW39" s="6">
        <v>0.40716254709999999</v>
      </c>
      <c r="DX39" s="6">
        <v>3.2732822895</v>
      </c>
      <c r="DY39" s="6">
        <v>2.1818628311000001</v>
      </c>
      <c r="DZ39" s="6">
        <v>78.563499450699993</v>
      </c>
      <c r="EA39" s="6">
        <v>0.86935925479999998</v>
      </c>
      <c r="EB39" s="6">
        <v>0.38977667690000001</v>
      </c>
      <c r="EC39" s="6">
        <v>0.84653162959999995</v>
      </c>
      <c r="ED39" s="6">
        <v>0.78907656670000004</v>
      </c>
      <c r="EE39" s="6">
        <v>7.5568351745999998</v>
      </c>
      <c r="EF39" s="6">
        <v>1.7547010183</v>
      </c>
      <c r="EG39" s="6">
        <v>2.4730272293</v>
      </c>
      <c r="EH39" s="6">
        <v>1.2948543999999999E-3</v>
      </c>
    </row>
    <row r="40" spans="1:138">
      <c r="A40" s="4">
        <v>46123</v>
      </c>
      <c r="B40" s="8"/>
      <c r="C40" s="3">
        <v>2</v>
      </c>
      <c r="D40" s="90" t="s">
        <v>340</v>
      </c>
      <c r="E40" s="3">
        <v>200</v>
      </c>
      <c r="F40" s="3">
        <v>200</v>
      </c>
      <c r="G40" s="3">
        <v>24.013300000000001</v>
      </c>
      <c r="H40" s="3">
        <v>23.998799999999999</v>
      </c>
      <c r="I40" s="3">
        <v>763.17200000000003</v>
      </c>
      <c r="J40" s="3">
        <v>759.88499999999999</v>
      </c>
      <c r="K40" s="3">
        <v>0</v>
      </c>
      <c r="L40" s="3">
        <v>0</v>
      </c>
      <c r="M40" s="3">
        <v>761.41800000000001</v>
      </c>
      <c r="N40" s="3">
        <v>765.57100000000003</v>
      </c>
      <c r="O40" s="3">
        <v>0</v>
      </c>
      <c r="P40" s="3">
        <v>0</v>
      </c>
      <c r="Q40" s="3">
        <v>0.32721800000000001</v>
      </c>
      <c r="R40" s="3">
        <v>2000.98</v>
      </c>
      <c r="S40" s="3">
        <v>2000.21</v>
      </c>
      <c r="T40" s="3">
        <v>0</v>
      </c>
      <c r="U40" s="3">
        <v>0</v>
      </c>
      <c r="V40" s="3">
        <v>1999.9</v>
      </c>
      <c r="W40" s="3">
        <v>2000.29</v>
      </c>
      <c r="X40" s="3">
        <v>0</v>
      </c>
      <c r="Y40" s="3">
        <v>0</v>
      </c>
      <c r="Z40" s="3">
        <v>220</v>
      </c>
      <c r="AA40" s="3">
        <v>2.0030899999999998</v>
      </c>
      <c r="AB40" s="3">
        <v>2.0004</v>
      </c>
      <c r="AC40" s="3">
        <v>-8.1911800000000007E-2</v>
      </c>
      <c r="AD40" s="3">
        <v>1.7632699999999999E-3</v>
      </c>
      <c r="AE40" s="3">
        <v>2.0006900000000001</v>
      </c>
      <c r="AF40" s="3">
        <v>1.9958199999999999</v>
      </c>
      <c r="AG40" s="3">
        <v>-7.8360899999999997E-2</v>
      </c>
      <c r="AH40" s="3">
        <v>-2.8818400000000001E-2</v>
      </c>
      <c r="AI40" s="7">
        <v>22.286372</v>
      </c>
      <c r="AJ40" s="7">
        <v>59.445220999999997</v>
      </c>
      <c r="AL40" s="6">
        <v>88.437095642000003</v>
      </c>
      <c r="AM40" s="52">
        <v>83.613967895000002</v>
      </c>
      <c r="AN40" s="52">
        <v>15.932349205</v>
      </c>
      <c r="AO40" s="52">
        <v>27.899488449</v>
      </c>
      <c r="AP40" s="6">
        <v>0</v>
      </c>
      <c r="AQ40" s="6">
        <v>0</v>
      </c>
      <c r="AR40" s="6">
        <v>0.14788374300000001</v>
      </c>
      <c r="AS40" s="6">
        <v>9.0394057299999997E-2</v>
      </c>
      <c r="AT40" s="6">
        <v>8.2626017000000003E-3</v>
      </c>
      <c r="AU40" s="6">
        <v>78.898399353000002</v>
      </c>
      <c r="AV40" s="6">
        <v>7.7279729843</v>
      </c>
      <c r="AW40" s="6">
        <v>2.6549620628000001</v>
      </c>
      <c r="AX40" s="6">
        <v>0</v>
      </c>
      <c r="AY40" s="6">
        <v>0</v>
      </c>
      <c r="AZ40" s="6">
        <v>0</v>
      </c>
      <c r="BA40" s="6">
        <v>0</v>
      </c>
      <c r="BB40" s="6">
        <v>0</v>
      </c>
      <c r="BC40" s="6">
        <v>0</v>
      </c>
      <c r="BD40" s="6">
        <v>0</v>
      </c>
      <c r="BE40" s="6">
        <v>0</v>
      </c>
      <c r="BF40" s="6">
        <v>0</v>
      </c>
      <c r="BG40" s="6">
        <v>0</v>
      </c>
      <c r="BH40" s="6">
        <v>0.45180702210000001</v>
      </c>
      <c r="BI40" s="6">
        <v>0.1202648357</v>
      </c>
      <c r="BJ40" s="6">
        <v>5.5944590568999999</v>
      </c>
      <c r="BK40" s="6">
        <v>1.4582786560000001</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c r="CE40" s="6">
        <v>0</v>
      </c>
      <c r="CF40" s="6">
        <v>0</v>
      </c>
      <c r="CG40" s="6">
        <v>0</v>
      </c>
      <c r="CH40" s="6">
        <v>0</v>
      </c>
      <c r="CI40" s="6">
        <v>0</v>
      </c>
      <c r="CJ40" s="6">
        <v>0</v>
      </c>
      <c r="CK40" s="6">
        <v>0</v>
      </c>
      <c r="CL40" s="6">
        <v>0</v>
      </c>
      <c r="CM40" s="6">
        <v>0</v>
      </c>
      <c r="CN40" s="6">
        <v>0.37190061810000002</v>
      </c>
      <c r="CO40" s="6"/>
      <c r="CP40" s="6"/>
      <c r="CQ40" s="6"/>
      <c r="CR40" s="6"/>
      <c r="CS40" s="6"/>
      <c r="CT40" s="6"/>
      <c r="CU40" s="6"/>
      <c r="CV40" s="6"/>
      <c r="CW40" s="6"/>
      <c r="CX40" s="6"/>
      <c r="CY40" s="6"/>
      <c r="CZ40" s="6"/>
      <c r="DA40" s="6"/>
      <c r="DB40" s="6"/>
      <c r="DC40" s="6"/>
      <c r="DD40" s="6"/>
      <c r="DE40" s="6"/>
      <c r="DF40" s="6"/>
      <c r="DG40" s="6"/>
      <c r="DH40" s="6"/>
      <c r="DI40" s="6"/>
      <c r="DJ40" s="6"/>
      <c r="DK40" s="6"/>
      <c r="DL40" s="6"/>
      <c r="DM40" s="7">
        <v>2.4754402636999999</v>
      </c>
      <c r="DN40" s="7">
        <f t="shared" si="0"/>
        <v>100.00002525459999</v>
      </c>
      <c r="DO40" s="7"/>
      <c r="DP40" s="6">
        <v>1.0147665E-3</v>
      </c>
      <c r="DQ40" s="6">
        <v>0.14797064660000001</v>
      </c>
      <c r="DR40" s="6">
        <v>0.452072531</v>
      </c>
      <c r="DS40" s="6">
        <v>9.0447172500000006E-2</v>
      </c>
      <c r="DT40" s="6">
        <v>0.120335497</v>
      </c>
      <c r="DU40" s="6">
        <v>8.2674567000000001E-3</v>
      </c>
      <c r="DV40" s="6">
        <v>8.9874088800000002E-2</v>
      </c>
      <c r="DW40" s="6">
        <v>0.41221475600000002</v>
      </c>
      <c r="DX40" s="6">
        <v>3.0632972717000002</v>
      </c>
      <c r="DY40" s="6">
        <v>2.0323600768999999</v>
      </c>
      <c r="DZ40" s="6">
        <v>78.944763183600003</v>
      </c>
      <c r="EA40" s="6">
        <v>0.8434892893</v>
      </c>
      <c r="EB40" s="6">
        <v>0.37211912870000002</v>
      </c>
      <c r="EC40" s="6">
        <v>0.76329445839999999</v>
      </c>
      <c r="ED40" s="6">
        <v>0.69584113359999999</v>
      </c>
      <c r="EE40" s="6">
        <v>7.7325139046000002</v>
      </c>
      <c r="EF40" s="6">
        <v>1.5718640089</v>
      </c>
      <c r="EG40" s="6">
        <v>2.6565222739999999</v>
      </c>
      <c r="EH40" s="6">
        <v>1.7565327999999999E-3</v>
      </c>
    </row>
    <row r="41" spans="1:138">
      <c r="A41" s="4">
        <v>46123</v>
      </c>
      <c r="B41" s="8"/>
      <c r="C41" s="3">
        <v>5</v>
      </c>
      <c r="D41" s="90" t="s">
        <v>341</v>
      </c>
      <c r="E41" s="3">
        <v>200</v>
      </c>
      <c r="F41" s="3">
        <v>200</v>
      </c>
      <c r="G41" s="3">
        <v>23.995999999999999</v>
      </c>
      <c r="H41" s="3">
        <v>23.990200000000002</v>
      </c>
      <c r="I41" s="3">
        <v>763.18700000000001</v>
      </c>
      <c r="J41" s="3">
        <v>769.96699999999998</v>
      </c>
      <c r="K41" s="3">
        <v>0</v>
      </c>
      <c r="L41" s="3">
        <v>0</v>
      </c>
      <c r="M41" s="3">
        <v>767.33</v>
      </c>
      <c r="N41" s="3">
        <v>759.26099999999997</v>
      </c>
      <c r="O41" s="3">
        <v>0</v>
      </c>
      <c r="P41" s="3">
        <v>0</v>
      </c>
      <c r="Q41" s="3">
        <v>0.34261399999999997</v>
      </c>
      <c r="R41" s="3">
        <v>2000.91</v>
      </c>
      <c r="S41" s="3">
        <v>1999.99</v>
      </c>
      <c r="T41" s="3">
        <v>0</v>
      </c>
      <c r="U41" s="3">
        <v>0</v>
      </c>
      <c r="V41" s="3">
        <v>2000.02</v>
      </c>
      <c r="W41" s="3">
        <v>2000.26</v>
      </c>
      <c r="X41" s="3">
        <v>0</v>
      </c>
      <c r="Y41" s="3">
        <v>0</v>
      </c>
      <c r="Z41" s="3">
        <v>219.9</v>
      </c>
      <c r="AA41" s="3">
        <v>2.00021</v>
      </c>
      <c r="AB41" s="3">
        <v>2.0003199999999999</v>
      </c>
      <c r="AC41" s="3">
        <v>-6.2351499999999997E-2</v>
      </c>
      <c r="AD41" s="3">
        <v>1.7372500000000001E-3</v>
      </c>
      <c r="AE41" s="3">
        <v>1.9975700000000001</v>
      </c>
      <c r="AF41" s="3">
        <v>2.0008900000000001</v>
      </c>
      <c r="AG41" s="3">
        <v>-8.8721999999999995E-2</v>
      </c>
      <c r="AH41" s="3">
        <v>-2.25477E-2</v>
      </c>
      <c r="AI41" s="7">
        <v>23.562332999999999</v>
      </c>
      <c r="AJ41" s="7">
        <v>58.167951000000002</v>
      </c>
      <c r="AL41" s="6">
        <v>88.472503661999994</v>
      </c>
      <c r="AM41" s="52">
        <v>83.612968445000007</v>
      </c>
      <c r="AN41" s="52">
        <v>16.283323287999998</v>
      </c>
      <c r="AO41" s="52">
        <v>24.041326522999999</v>
      </c>
      <c r="AP41" s="6">
        <v>0</v>
      </c>
      <c r="AQ41" s="6">
        <v>0</v>
      </c>
      <c r="AR41" s="6">
        <v>0</v>
      </c>
      <c r="AS41" s="6">
        <v>0</v>
      </c>
      <c r="AT41" s="6">
        <v>1.1106251000000001E-3</v>
      </c>
      <c r="AU41" s="280">
        <v>84.336425781000003</v>
      </c>
      <c r="AV41" s="280">
        <v>9.7589635849</v>
      </c>
      <c r="AW41" s="280">
        <v>4.7363619803999999</v>
      </c>
      <c r="AX41" s="6">
        <v>0</v>
      </c>
      <c r="AY41" s="6">
        <v>0</v>
      </c>
      <c r="AZ41" s="6">
        <v>0</v>
      </c>
      <c r="BA41" s="6">
        <v>0</v>
      </c>
      <c r="BB41" s="6">
        <v>0</v>
      </c>
      <c r="BC41" s="6">
        <v>0</v>
      </c>
      <c r="BD41" s="6">
        <v>0</v>
      </c>
      <c r="BE41" s="6">
        <v>0</v>
      </c>
      <c r="BF41" s="6">
        <v>0</v>
      </c>
      <c r="BG41" s="6">
        <v>0</v>
      </c>
      <c r="BH41" s="6">
        <v>0</v>
      </c>
      <c r="BI41" s="6">
        <v>6.34364E-4</v>
      </c>
      <c r="BJ41" s="6">
        <v>0.41561713810000001</v>
      </c>
      <c r="BK41" s="6">
        <v>0</v>
      </c>
      <c r="BL41" s="6">
        <v>0</v>
      </c>
      <c r="BM41" s="6">
        <v>0</v>
      </c>
      <c r="BN41" s="6">
        <v>0</v>
      </c>
      <c r="BO41" s="6">
        <v>0</v>
      </c>
      <c r="BP41" s="6">
        <v>0</v>
      </c>
      <c r="BQ41" s="6">
        <v>0</v>
      </c>
      <c r="BR41" s="6">
        <v>0</v>
      </c>
      <c r="BS41" s="6">
        <v>0</v>
      </c>
      <c r="BT41" s="6">
        <v>0</v>
      </c>
      <c r="BU41" s="6">
        <v>0</v>
      </c>
      <c r="BV41" s="6">
        <v>0</v>
      </c>
      <c r="BW41" s="6">
        <v>0</v>
      </c>
      <c r="BX41" s="6">
        <v>0</v>
      </c>
      <c r="BY41" s="6">
        <v>0</v>
      </c>
      <c r="BZ41" s="6">
        <v>0</v>
      </c>
      <c r="CA41" s="6">
        <v>0</v>
      </c>
      <c r="CB41" s="6">
        <v>0</v>
      </c>
      <c r="CC41" s="6">
        <v>0</v>
      </c>
      <c r="CD41" s="6">
        <v>0</v>
      </c>
      <c r="CE41" s="6">
        <v>0</v>
      </c>
      <c r="CF41" s="6">
        <v>0</v>
      </c>
      <c r="CG41" s="6">
        <v>0</v>
      </c>
      <c r="CH41" s="6">
        <v>0</v>
      </c>
      <c r="CI41" s="6">
        <v>0</v>
      </c>
      <c r="CJ41" s="6">
        <v>0</v>
      </c>
      <c r="CK41" s="6">
        <v>0</v>
      </c>
      <c r="CL41" s="6">
        <v>0</v>
      </c>
      <c r="CM41" s="6">
        <v>0</v>
      </c>
      <c r="CN41" s="6">
        <v>0.56728810070000002</v>
      </c>
      <c r="CO41" s="6"/>
      <c r="CP41" s="6"/>
      <c r="CQ41" s="6"/>
      <c r="CR41" s="6"/>
      <c r="CS41" s="6"/>
      <c r="CT41" s="6"/>
      <c r="CU41" s="6"/>
      <c r="CV41" s="6"/>
      <c r="CW41" s="6"/>
      <c r="CX41" s="6"/>
      <c r="CY41" s="6"/>
      <c r="CZ41" s="6"/>
      <c r="DA41" s="6"/>
      <c r="DB41" s="6"/>
      <c r="DC41" s="6"/>
      <c r="DD41" s="6"/>
      <c r="DE41" s="6"/>
      <c r="DF41" s="6"/>
      <c r="DG41" s="6"/>
      <c r="DH41" s="6"/>
      <c r="DI41" s="6"/>
      <c r="DJ41" s="6"/>
      <c r="DK41" s="6"/>
      <c r="DL41" s="6"/>
      <c r="DM41" s="7">
        <v>0.18359370529999999</v>
      </c>
      <c r="DN41" s="7">
        <f t="shared" si="0"/>
        <v>99.999995279500013</v>
      </c>
      <c r="DO41" s="7"/>
      <c r="DP41" s="6">
        <v>6.3449269999999998E-4</v>
      </c>
      <c r="DQ41" s="6">
        <v>1.1108504E-3</v>
      </c>
      <c r="DR41" s="6">
        <v>1.0344943000000001E-3</v>
      </c>
      <c r="DS41" s="6">
        <v>3.7757098699999998E-2</v>
      </c>
      <c r="DT41" s="6">
        <v>0.37690985199999999</v>
      </c>
      <c r="DU41" s="6">
        <v>84.353538513199993</v>
      </c>
      <c r="DV41" s="6">
        <v>0.5674031973</v>
      </c>
      <c r="DW41" s="6">
        <v>9.5033543000000009E-3</v>
      </c>
      <c r="DX41" s="6">
        <v>9.7609434127999997</v>
      </c>
      <c r="DY41" s="6">
        <v>0.13413415849999999</v>
      </c>
      <c r="DZ41" s="6">
        <v>4.7373228073</v>
      </c>
      <c r="EA41" s="6">
        <v>1.9709199699999999E-2</v>
      </c>
      <c r="EB41" s="6"/>
      <c r="EC41" s="6"/>
      <c r="ED41" s="6"/>
      <c r="EE41" s="6"/>
      <c r="EF41" s="6"/>
      <c r="EG41" s="6"/>
      <c r="EH41" s="6"/>
    </row>
    <row r="42" spans="1:138">
      <c r="A42" s="153">
        <v>46123</v>
      </c>
      <c r="B42" s="8"/>
      <c r="C42" s="3">
        <v>6</v>
      </c>
      <c r="D42" s="154" t="s">
        <v>342</v>
      </c>
      <c r="E42" s="3">
        <v>200</v>
      </c>
      <c r="F42" s="3">
        <v>200</v>
      </c>
      <c r="G42" s="3">
        <v>24.0046</v>
      </c>
      <c r="H42" s="3">
        <v>23.995999999999999</v>
      </c>
      <c r="I42" s="3">
        <v>760.42200000000003</v>
      </c>
      <c r="J42" s="3">
        <v>760.86099999999999</v>
      </c>
      <c r="K42" s="3">
        <v>0</v>
      </c>
      <c r="L42" s="3">
        <v>0</v>
      </c>
      <c r="M42" s="3">
        <v>761.16899999999998</v>
      </c>
      <c r="N42" s="3">
        <v>761.40599999999995</v>
      </c>
      <c r="O42" s="3">
        <v>0</v>
      </c>
      <c r="P42" s="3">
        <v>0</v>
      </c>
      <c r="Q42" s="3">
        <v>0.22253500000000001</v>
      </c>
      <c r="R42" s="3">
        <v>1999</v>
      </c>
      <c r="S42" s="3">
        <v>1999.98</v>
      </c>
      <c r="T42" s="3">
        <v>0</v>
      </c>
      <c r="U42" s="3">
        <v>0</v>
      </c>
      <c r="V42" s="3">
        <v>1999.69</v>
      </c>
      <c r="W42" s="3">
        <v>2000.47</v>
      </c>
      <c r="X42" s="3">
        <v>0</v>
      </c>
      <c r="Y42" s="3">
        <v>0</v>
      </c>
      <c r="Z42" s="3">
        <v>220</v>
      </c>
      <c r="AA42" s="3">
        <v>1.99916</v>
      </c>
      <c r="AB42" s="3">
        <v>2.0008599999999999</v>
      </c>
      <c r="AC42" s="3">
        <v>-5.7710600000000001E-2</v>
      </c>
      <c r="AD42" s="3">
        <v>2.6625299999999999E-4</v>
      </c>
      <c r="AE42" s="3">
        <v>1.9971000000000001</v>
      </c>
      <c r="AF42" s="3">
        <v>2.0004300000000002</v>
      </c>
      <c r="AG42" s="3">
        <v>-6.7370299999999994E-2</v>
      </c>
      <c r="AH42" s="3">
        <v>-1.7609699999999999E-2</v>
      </c>
      <c r="AI42" s="7">
        <v>22.596847</v>
      </c>
      <c r="AJ42" s="7">
        <v>59.080063000000003</v>
      </c>
      <c r="AL42" s="6">
        <v>88.249206543</v>
      </c>
      <c r="AM42" s="52">
        <v>83.609947204999997</v>
      </c>
      <c r="AN42" s="52">
        <v>15.782985687</v>
      </c>
      <c r="AO42" s="52">
        <v>31.033775330000001</v>
      </c>
      <c r="AP42" s="6">
        <v>0</v>
      </c>
      <c r="AQ42" s="6">
        <v>0</v>
      </c>
      <c r="AR42" s="6">
        <v>0.26336130499999999</v>
      </c>
      <c r="AS42" s="6">
        <v>0.1640727967</v>
      </c>
      <c r="AT42" s="6">
        <v>1.2725451E-2</v>
      </c>
      <c r="AU42" s="6">
        <v>74.465240477999998</v>
      </c>
      <c r="AV42" s="6">
        <v>6.3560438155999996</v>
      </c>
      <c r="AW42" s="6">
        <v>1.6643970013</v>
      </c>
      <c r="AX42" s="6">
        <v>0</v>
      </c>
      <c r="AY42" s="6">
        <v>0</v>
      </c>
      <c r="AZ42" s="6">
        <v>0</v>
      </c>
      <c r="BA42" s="6">
        <v>0</v>
      </c>
      <c r="BB42" s="6">
        <v>0</v>
      </c>
      <c r="BC42" s="6">
        <v>0</v>
      </c>
      <c r="BD42" s="6">
        <v>0</v>
      </c>
      <c r="BE42" s="6">
        <v>0</v>
      </c>
      <c r="BF42" s="6">
        <v>0</v>
      </c>
      <c r="BG42" s="6">
        <v>0</v>
      </c>
      <c r="BH42" s="6">
        <v>0.78485482929999995</v>
      </c>
      <c r="BI42" s="6">
        <v>0.2137681246</v>
      </c>
      <c r="BJ42" s="6">
        <v>9.8324050903</v>
      </c>
      <c r="BK42" s="6">
        <v>2.4061684608</v>
      </c>
      <c r="BL42" s="6">
        <v>0</v>
      </c>
      <c r="BM42" s="6">
        <v>0</v>
      </c>
      <c r="BN42" s="6">
        <v>0</v>
      </c>
      <c r="BO42" s="6">
        <v>0</v>
      </c>
      <c r="BP42" s="6">
        <v>0</v>
      </c>
      <c r="BQ42" s="6">
        <v>0</v>
      </c>
      <c r="BR42" s="6">
        <v>0</v>
      </c>
      <c r="BS42" s="6">
        <v>0</v>
      </c>
      <c r="BT42" s="6">
        <v>0</v>
      </c>
      <c r="BU42" s="6">
        <v>0</v>
      </c>
      <c r="BV42" s="6">
        <v>0</v>
      </c>
      <c r="BW42" s="6">
        <v>0</v>
      </c>
      <c r="BX42" s="6">
        <v>0</v>
      </c>
      <c r="BY42" s="6">
        <v>0</v>
      </c>
      <c r="BZ42" s="6">
        <v>0</v>
      </c>
      <c r="CA42" s="6">
        <v>0</v>
      </c>
      <c r="CB42" s="6">
        <v>0</v>
      </c>
      <c r="CC42" s="6">
        <v>0</v>
      </c>
      <c r="CD42" s="6">
        <v>0</v>
      </c>
      <c r="CE42" s="6">
        <v>0</v>
      </c>
      <c r="CF42" s="6">
        <v>0</v>
      </c>
      <c r="CG42" s="6">
        <v>0</v>
      </c>
      <c r="CH42" s="6">
        <v>0</v>
      </c>
      <c r="CI42" s="6">
        <v>0</v>
      </c>
      <c r="CJ42" s="6">
        <v>0</v>
      </c>
      <c r="CK42" s="6">
        <v>0</v>
      </c>
      <c r="CL42" s="6">
        <v>0</v>
      </c>
      <c r="CM42" s="6">
        <v>0</v>
      </c>
      <c r="CN42" s="6">
        <v>0.3726798892</v>
      </c>
      <c r="CO42" s="6"/>
      <c r="CP42" s="6"/>
      <c r="CQ42" s="6"/>
      <c r="CR42" s="6"/>
      <c r="CS42" s="6"/>
      <c r="CT42" s="6"/>
      <c r="CU42" s="6"/>
      <c r="CV42" s="6"/>
      <c r="CW42" s="6"/>
      <c r="CX42" s="6"/>
      <c r="CY42" s="6"/>
      <c r="CZ42" s="6"/>
      <c r="DA42" s="6"/>
      <c r="DB42" s="6"/>
      <c r="DC42" s="6"/>
      <c r="DD42" s="6"/>
      <c r="DE42" s="6"/>
      <c r="DF42" s="6"/>
      <c r="DG42" s="6"/>
      <c r="DH42" s="6"/>
      <c r="DI42" s="6"/>
      <c r="DJ42" s="6"/>
      <c r="DK42" s="6"/>
      <c r="DL42" s="6"/>
      <c r="DM42" s="7">
        <v>3.4642758369000002</v>
      </c>
      <c r="DN42" s="7">
        <f t="shared" si="0"/>
        <v>99.999993078700001</v>
      </c>
      <c r="DO42" s="7"/>
      <c r="DP42" s="6">
        <v>1.4699801999999999E-3</v>
      </c>
      <c r="DQ42" s="6">
        <v>0.26347076889999999</v>
      </c>
      <c r="DR42" s="6">
        <v>0.78518104550000001</v>
      </c>
      <c r="DS42" s="6">
        <v>0.16414099930000001</v>
      </c>
      <c r="DT42" s="6">
        <v>0.21385696530000001</v>
      </c>
      <c r="DU42" s="6">
        <v>1.2730740000000001E-2</v>
      </c>
      <c r="DV42" s="6">
        <v>0.1556483209</v>
      </c>
      <c r="DW42" s="6">
        <v>0.74143385890000002</v>
      </c>
      <c r="DX42" s="6">
        <v>5.4676351546999999</v>
      </c>
      <c r="DY42" s="6">
        <v>3.4717741012999999</v>
      </c>
      <c r="DZ42" s="6">
        <v>74.496192932100001</v>
      </c>
      <c r="EA42" s="6">
        <v>1.3157613277</v>
      </c>
      <c r="EB42" s="6">
        <v>0.3728348017</v>
      </c>
      <c r="EC42" s="6">
        <v>1.2040104866000001</v>
      </c>
      <c r="ED42" s="6">
        <v>1.2031579018</v>
      </c>
      <c r="EE42" s="6">
        <v>6.3586859702999998</v>
      </c>
      <c r="EF42" s="6">
        <v>2.1059162617</v>
      </c>
      <c r="EG42" s="6">
        <v>1.6650886536</v>
      </c>
      <c r="EH42" s="6">
        <v>1.0327050999999999E-3</v>
      </c>
    </row>
    <row r="43" spans="1:138">
      <c r="A43" s="153"/>
      <c r="B43" s="8"/>
      <c r="D43" s="154"/>
      <c r="I43" s="3"/>
      <c r="J43" s="3"/>
      <c r="K43" s="3"/>
      <c r="L43" s="3"/>
      <c r="M43" s="3"/>
      <c r="N43" s="3"/>
      <c r="O43" s="3"/>
      <c r="P43" s="3"/>
      <c r="R43" s="3"/>
      <c r="S43" s="3"/>
      <c r="T43" s="3"/>
      <c r="U43" s="3"/>
      <c r="V43" s="3"/>
      <c r="W43" s="3"/>
      <c r="X43" s="3"/>
      <c r="Y43" s="3"/>
      <c r="AA43" s="3"/>
      <c r="AB43" s="3"/>
      <c r="AC43" s="3"/>
      <c r="AD43" s="3"/>
      <c r="AE43" s="3"/>
      <c r="AF43" s="3"/>
      <c r="AG43" s="3"/>
      <c r="AH43" s="3"/>
      <c r="AI43" s="7"/>
      <c r="AJ43" s="7"/>
      <c r="AL43" s="6"/>
      <c r="AM43" s="52"/>
      <c r="AN43" s="52"/>
      <c r="AO43" s="52"/>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DM43" s="7"/>
      <c r="DN43" s="7"/>
      <c r="DO43" s="7"/>
    </row>
    <row r="44" spans="1:138">
      <c r="A44" s="153"/>
      <c r="B44" s="8"/>
      <c r="D44" s="154"/>
      <c r="I44" s="3"/>
      <c r="J44" s="3"/>
      <c r="K44" s="3"/>
      <c r="L44" s="3"/>
      <c r="M44" s="3"/>
      <c r="N44" s="3"/>
      <c r="O44" s="3"/>
      <c r="P44" s="3"/>
      <c r="R44" s="3"/>
      <c r="S44" s="3"/>
      <c r="T44" s="3"/>
      <c r="U44" s="3"/>
      <c r="V44" s="3"/>
      <c r="W44" s="3"/>
      <c r="X44" s="3"/>
      <c r="Y44" s="3"/>
      <c r="AA44" s="3"/>
      <c r="AB44" s="3"/>
      <c r="AC44" s="3"/>
      <c r="AD44" s="3"/>
      <c r="AE44" s="3"/>
      <c r="AF44" s="3"/>
      <c r="AG44" s="3"/>
      <c r="AH44" s="3"/>
      <c r="AI44" s="7"/>
      <c r="AJ44" s="7"/>
      <c r="AL44" s="6"/>
      <c r="AM44" s="52"/>
      <c r="AN44" s="52"/>
      <c r="AO44" s="52"/>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DM44" s="7"/>
      <c r="DN44" s="7"/>
      <c r="DO44" s="7"/>
    </row>
    <row r="45" spans="1:138">
      <c r="A45" s="153"/>
      <c r="B45" s="8"/>
      <c r="D45" s="154"/>
      <c r="I45" s="3"/>
      <c r="J45" s="3"/>
      <c r="K45" s="3"/>
      <c r="L45" s="3"/>
      <c r="M45" s="3"/>
      <c r="N45" s="3"/>
      <c r="O45" s="3"/>
      <c r="P45" s="3"/>
      <c r="R45" s="3"/>
      <c r="S45" s="3"/>
      <c r="T45" s="3"/>
      <c r="U45" s="3"/>
      <c r="V45" s="3"/>
      <c r="W45" s="3"/>
      <c r="X45" s="3"/>
      <c r="Y45" s="3"/>
      <c r="AA45" s="3"/>
      <c r="AB45" s="3"/>
      <c r="AC45" s="3"/>
      <c r="AD45" s="3"/>
      <c r="AE45" s="3"/>
      <c r="AF45" s="3"/>
      <c r="AG45" s="3"/>
      <c r="AH45" s="3"/>
      <c r="AI45" s="7"/>
      <c r="AJ45" s="7"/>
      <c r="AL45" s="6"/>
      <c r="AM45" s="52"/>
      <c r="AN45" s="52"/>
      <c r="AO45" s="52"/>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DM45" s="7"/>
      <c r="DN45" s="7"/>
      <c r="DO45" s="7"/>
    </row>
    <row r="46" spans="1:138">
      <c r="A46" s="153"/>
      <c r="B46" s="8"/>
      <c r="D46" s="154"/>
      <c r="I46" s="3"/>
      <c r="J46" s="3"/>
      <c r="K46" s="3"/>
      <c r="L46" s="3"/>
      <c r="M46" s="3"/>
      <c r="N46" s="3"/>
      <c r="O46" s="3"/>
      <c r="P46" s="3"/>
      <c r="R46" s="3"/>
      <c r="S46" s="3"/>
      <c r="T46" s="3"/>
      <c r="U46" s="3"/>
      <c r="V46" s="3"/>
      <c r="W46" s="3"/>
      <c r="X46" s="3"/>
      <c r="Y46" s="3"/>
      <c r="AA46" s="3"/>
      <c r="AB46" s="3"/>
      <c r="AC46" s="3"/>
      <c r="AD46" s="3"/>
      <c r="AE46" s="3"/>
      <c r="AF46" s="3"/>
      <c r="AG46" s="3"/>
      <c r="AH46" s="3"/>
      <c r="AI46" s="7"/>
      <c r="AJ46" s="7"/>
      <c r="AL46" s="6"/>
      <c r="AM46" s="52"/>
      <c r="AN46" s="52"/>
      <c r="AO46" s="52"/>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DM46" s="7"/>
      <c r="DN46" s="7"/>
      <c r="DO46" s="7"/>
    </row>
    <row r="47" spans="1:138">
      <c r="A47" s="153"/>
      <c r="B47" s="8"/>
      <c r="D47" s="154"/>
      <c r="I47" s="3"/>
      <c r="J47" s="3"/>
      <c r="K47" s="3"/>
      <c r="L47" s="3"/>
      <c r="M47" s="3"/>
      <c r="N47" s="3"/>
      <c r="O47" s="3"/>
      <c r="P47" s="3"/>
      <c r="R47" s="3"/>
      <c r="S47" s="3"/>
      <c r="T47" s="3"/>
      <c r="U47" s="3"/>
      <c r="V47" s="3"/>
      <c r="W47" s="3"/>
      <c r="X47" s="3"/>
      <c r="Y47" s="3"/>
      <c r="AA47" s="3"/>
      <c r="AB47" s="3"/>
      <c r="AC47" s="3"/>
      <c r="AD47" s="3"/>
      <c r="AE47" s="3"/>
      <c r="AF47" s="3"/>
      <c r="AG47" s="3"/>
      <c r="AH47" s="3"/>
      <c r="AI47" s="7"/>
      <c r="AJ47" s="7"/>
      <c r="AL47" s="6"/>
      <c r="AM47" s="52"/>
      <c r="AN47" s="52"/>
      <c r="AO47" s="52"/>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DM47" s="7"/>
      <c r="DN47" s="7"/>
      <c r="DO47" s="7"/>
    </row>
    <row r="48" spans="1:138">
      <c r="A48" s="153">
        <v>46124</v>
      </c>
      <c r="B48" s="8"/>
      <c r="C48" s="3">
        <v>2</v>
      </c>
      <c r="D48" s="154" t="s">
        <v>343</v>
      </c>
      <c r="E48" s="3">
        <v>200</v>
      </c>
      <c r="F48" s="3">
        <v>200</v>
      </c>
      <c r="G48" s="3">
        <v>23.995999999999999</v>
      </c>
      <c r="H48" s="3">
        <v>24.0017</v>
      </c>
      <c r="I48" s="3">
        <v>756.73099999999999</v>
      </c>
      <c r="J48" s="3">
        <v>759.66800000000001</v>
      </c>
      <c r="K48" s="3">
        <v>0</v>
      </c>
      <c r="L48" s="3">
        <v>0</v>
      </c>
      <c r="M48" s="3">
        <v>757.03200000000004</v>
      </c>
      <c r="N48" s="3">
        <v>756.02099999999996</v>
      </c>
      <c r="O48" s="3">
        <v>0</v>
      </c>
      <c r="P48" s="3">
        <v>0</v>
      </c>
      <c r="Q48" s="3">
        <v>0.30463200000000001</v>
      </c>
      <c r="R48" s="3">
        <v>2000.29</v>
      </c>
      <c r="S48" s="3">
        <v>2000.61</v>
      </c>
      <c r="T48" s="3">
        <v>0</v>
      </c>
      <c r="U48" s="3">
        <v>0</v>
      </c>
      <c r="V48" s="3">
        <v>1999.55</v>
      </c>
      <c r="W48" s="3">
        <v>1999.78</v>
      </c>
      <c r="X48" s="3">
        <v>0</v>
      </c>
      <c r="Y48" s="3">
        <v>0</v>
      </c>
      <c r="Z48" s="3">
        <v>220</v>
      </c>
      <c r="AA48" s="3">
        <v>1.99952</v>
      </c>
      <c r="AB48" s="3">
        <v>1.99468</v>
      </c>
      <c r="AC48" s="3">
        <v>-6.9759500000000002E-2</v>
      </c>
      <c r="AD48" s="3">
        <v>-1.7020399999999999E-3</v>
      </c>
      <c r="AE48" s="3">
        <v>2.0033500000000002</v>
      </c>
      <c r="AF48" s="3">
        <v>1.99604</v>
      </c>
      <c r="AG48" s="3">
        <v>-0.17380999999999999</v>
      </c>
      <c r="AH48" s="3">
        <v>-1.5731700000000001E-2</v>
      </c>
      <c r="AI48" s="7">
        <v>22.019020999999999</v>
      </c>
      <c r="AJ48" s="7">
        <v>59.945253000000001</v>
      </c>
      <c r="AL48" s="6">
        <v>88.501976013000004</v>
      </c>
      <c r="AM48" s="52">
        <v>83.615615844999994</v>
      </c>
      <c r="AN48" s="52">
        <v>15.95243454</v>
      </c>
      <c r="AO48" s="52">
        <v>27.368394852000002</v>
      </c>
      <c r="AP48" s="6">
        <v>0</v>
      </c>
      <c r="AQ48" s="6">
        <v>0</v>
      </c>
      <c r="AR48" s="6">
        <v>0.1178373769</v>
      </c>
      <c r="AS48" s="6">
        <v>7.261426E-2</v>
      </c>
      <c r="AT48" s="6">
        <v>7.6866638999999997E-3</v>
      </c>
      <c r="AU48" s="6">
        <v>79.627410889000004</v>
      </c>
      <c r="AV48" s="6">
        <v>7.9244060516000001</v>
      </c>
      <c r="AW48" s="6">
        <v>2.7945907116000002</v>
      </c>
      <c r="AX48" s="6">
        <v>0</v>
      </c>
      <c r="AY48" s="6">
        <v>0</v>
      </c>
      <c r="AZ48" s="6">
        <v>0</v>
      </c>
      <c r="BA48" s="6">
        <v>0</v>
      </c>
      <c r="BB48" s="6">
        <v>0</v>
      </c>
      <c r="BC48" s="6">
        <v>0</v>
      </c>
      <c r="BD48" s="6">
        <v>0</v>
      </c>
      <c r="BE48" s="6">
        <v>0</v>
      </c>
      <c r="BF48" s="6">
        <v>0</v>
      </c>
      <c r="BG48" s="6">
        <v>0</v>
      </c>
      <c r="BH48" s="6">
        <v>0.36083713169999998</v>
      </c>
      <c r="BI48" s="6">
        <v>9.7108781300000002E-2</v>
      </c>
      <c r="BJ48" s="6">
        <v>4.9272933005999997</v>
      </c>
      <c r="BK48" s="6">
        <v>1.3460088967999999</v>
      </c>
      <c r="BL48" s="6">
        <v>0</v>
      </c>
      <c r="BM48" s="6">
        <v>0</v>
      </c>
      <c r="BN48" s="6">
        <v>0</v>
      </c>
      <c r="BO48" s="6">
        <v>0</v>
      </c>
      <c r="BP48" s="6">
        <v>0</v>
      </c>
      <c r="BQ48" s="6">
        <v>0</v>
      </c>
      <c r="BR48" s="6">
        <v>0</v>
      </c>
      <c r="BS48" s="6">
        <v>0</v>
      </c>
      <c r="BT48" s="6">
        <v>0</v>
      </c>
      <c r="BU48" s="6">
        <v>0</v>
      </c>
      <c r="BV48" s="6">
        <v>0</v>
      </c>
      <c r="BW48" s="6">
        <v>0</v>
      </c>
      <c r="BX48" s="6">
        <v>0</v>
      </c>
      <c r="BY48" s="6">
        <v>0</v>
      </c>
      <c r="BZ48" s="6">
        <v>0</v>
      </c>
      <c r="CA48" s="6">
        <v>0</v>
      </c>
      <c r="CB48" s="6">
        <v>0</v>
      </c>
      <c r="CC48" s="6">
        <v>0</v>
      </c>
      <c r="CD48" s="6">
        <v>0</v>
      </c>
      <c r="CE48" s="6">
        <v>0</v>
      </c>
      <c r="CF48" s="6">
        <v>0</v>
      </c>
      <c r="CG48" s="6">
        <v>0</v>
      </c>
      <c r="CH48" s="6">
        <v>0</v>
      </c>
      <c r="CI48" s="6">
        <v>0</v>
      </c>
      <c r="CJ48" s="6">
        <v>0</v>
      </c>
      <c r="CK48" s="6">
        <v>0</v>
      </c>
      <c r="CL48" s="6">
        <v>0</v>
      </c>
      <c r="CM48" s="6">
        <v>0</v>
      </c>
      <c r="CN48" s="6">
        <v>0.38975256679999998</v>
      </c>
      <c r="CO48" s="6"/>
      <c r="CP48" s="6"/>
      <c r="CQ48" s="6"/>
      <c r="CR48" s="6"/>
      <c r="DM48" s="7">
        <v>2.3344731330999999</v>
      </c>
      <c r="DN48" s="7">
        <f t="shared" si="0"/>
        <v>100.00001976329999</v>
      </c>
      <c r="DO48" s="7"/>
      <c r="DP48" s="6">
        <v>1.0373553999999999E-3</v>
      </c>
      <c r="DQ48" s="6">
        <v>0.1179234087</v>
      </c>
      <c r="DR48" s="6">
        <v>0.36110058430000003</v>
      </c>
      <c r="DS48" s="6">
        <v>7.2667270899999997E-2</v>
      </c>
      <c r="DT48" s="6">
        <v>9.7179673600000002E-2</v>
      </c>
      <c r="DU48" s="6">
        <v>7.6922756000000004E-3</v>
      </c>
      <c r="DV48" s="6">
        <v>7.4454441699999999E-2</v>
      </c>
      <c r="DW48" s="6">
        <v>0.33806002140000002</v>
      </c>
      <c r="DX48" s="6">
        <v>2.6868155002999998</v>
      </c>
      <c r="DY48" s="6">
        <v>1.8315606117000001</v>
      </c>
      <c r="DZ48" s="6">
        <v>79.685546875</v>
      </c>
      <c r="EA48" s="6">
        <v>0.73688691849999999</v>
      </c>
      <c r="EB48" s="6">
        <v>0.3900370896</v>
      </c>
      <c r="EC48" s="6">
        <v>0.70696651939999999</v>
      </c>
      <c r="ED48" s="6">
        <v>0.64002507929999997</v>
      </c>
      <c r="EE48" s="6">
        <v>7.9301915168999999</v>
      </c>
      <c r="EF48" s="6">
        <v>1.5235899687000001</v>
      </c>
      <c r="EG48" s="6">
        <v>2.7966310978000002</v>
      </c>
      <c r="EH48" s="6">
        <v>1.6188464000000001E-3</v>
      </c>
    </row>
    <row r="49" spans="1:138">
      <c r="A49" s="153">
        <v>46124</v>
      </c>
      <c r="B49" s="8"/>
      <c r="C49" s="3">
        <v>5</v>
      </c>
      <c r="D49" s="154" t="s">
        <v>344</v>
      </c>
      <c r="E49" s="3">
        <v>200.3</v>
      </c>
      <c r="F49" s="3">
        <v>200.3</v>
      </c>
      <c r="G49" s="3">
        <v>24.049499999999998</v>
      </c>
      <c r="H49" s="3">
        <v>23.993099999999998</v>
      </c>
      <c r="I49" s="3">
        <v>766.154</v>
      </c>
      <c r="J49" s="3">
        <v>771.78200000000004</v>
      </c>
      <c r="K49" s="3">
        <v>0</v>
      </c>
      <c r="L49" s="3">
        <v>0</v>
      </c>
      <c r="M49" s="3">
        <v>769.24800000000005</v>
      </c>
      <c r="N49" s="3">
        <v>761.38499999999999</v>
      </c>
      <c r="O49" s="3">
        <v>0</v>
      </c>
      <c r="P49" s="3">
        <v>0</v>
      </c>
      <c r="Q49" s="3">
        <v>0.320413</v>
      </c>
      <c r="R49" s="3">
        <v>1999.03</v>
      </c>
      <c r="S49" s="3">
        <v>1999.69</v>
      </c>
      <c r="T49" s="3">
        <v>0</v>
      </c>
      <c r="U49" s="3">
        <v>0</v>
      </c>
      <c r="V49" s="3">
        <v>1999.96</v>
      </c>
      <c r="W49" s="3">
        <v>2000.17</v>
      </c>
      <c r="X49" s="3">
        <v>0</v>
      </c>
      <c r="Y49" s="3">
        <v>0</v>
      </c>
      <c r="Z49" s="3">
        <v>220.2</v>
      </c>
      <c r="AA49" s="3">
        <v>1.99905</v>
      </c>
      <c r="AB49" s="3">
        <v>2.0005999999999999</v>
      </c>
      <c r="AC49" s="3">
        <v>-5.4270400000000003E-2</v>
      </c>
      <c r="AD49" s="3">
        <v>7.1218900000000001E-4</v>
      </c>
      <c r="AE49" s="3">
        <v>2.0000399999999998</v>
      </c>
      <c r="AF49" s="3">
        <v>1.9930399999999999</v>
      </c>
      <c r="AG49" s="3">
        <v>-8.0926600000000001E-2</v>
      </c>
      <c r="AH49" s="3">
        <v>-1.77188E-2</v>
      </c>
      <c r="AI49" s="7">
        <v>23.413194000000001</v>
      </c>
      <c r="AJ49" s="7">
        <v>58.367153000000002</v>
      </c>
      <c r="AL49" s="6">
        <v>88.446678161999998</v>
      </c>
      <c r="AM49" s="6">
        <v>83.612258910999998</v>
      </c>
      <c r="AN49" s="6">
        <v>16.284818649000002</v>
      </c>
      <c r="AO49" s="6">
        <v>24.085996628</v>
      </c>
      <c r="AP49" s="6">
        <v>0</v>
      </c>
      <c r="AQ49" s="6">
        <v>0</v>
      </c>
      <c r="AR49" s="6">
        <v>0</v>
      </c>
      <c r="AS49" s="6">
        <v>1.0545123E-3</v>
      </c>
      <c r="AT49" s="6">
        <v>1.8683822000000001E-3</v>
      </c>
      <c r="AU49" s="280">
        <v>84.446876525999997</v>
      </c>
      <c r="AV49" s="280">
        <v>9.7597846985000007</v>
      </c>
      <c r="AW49" s="280">
        <v>4.6320104599</v>
      </c>
      <c r="AX49" s="6">
        <v>0</v>
      </c>
      <c r="AY49" s="6">
        <v>0</v>
      </c>
      <c r="AZ49" s="6">
        <v>0</v>
      </c>
      <c r="BA49" s="6">
        <v>0</v>
      </c>
      <c r="BB49" s="6">
        <v>0</v>
      </c>
      <c r="BC49" s="6">
        <v>0</v>
      </c>
      <c r="BD49" s="6">
        <v>0</v>
      </c>
      <c r="BE49" s="6">
        <v>0</v>
      </c>
      <c r="BF49" s="6">
        <v>0</v>
      </c>
      <c r="BG49" s="6">
        <v>0</v>
      </c>
      <c r="BH49" s="6">
        <v>0</v>
      </c>
      <c r="BI49" s="6">
        <v>1.4999270999999999E-3</v>
      </c>
      <c r="BJ49" s="6">
        <v>0.41642704609999998</v>
      </c>
      <c r="BK49" s="6">
        <v>0</v>
      </c>
      <c r="BL49" s="6">
        <v>0</v>
      </c>
      <c r="BM49" s="6">
        <v>0</v>
      </c>
      <c r="BN49" s="6">
        <v>0</v>
      </c>
      <c r="BO49" s="6">
        <v>0</v>
      </c>
      <c r="BP49" s="6">
        <v>0</v>
      </c>
      <c r="BQ49" s="6">
        <v>0</v>
      </c>
      <c r="BR49" s="6">
        <v>0</v>
      </c>
      <c r="BS49" s="6">
        <v>0</v>
      </c>
      <c r="BT49" s="6">
        <v>0</v>
      </c>
      <c r="BU49" s="6">
        <v>0</v>
      </c>
      <c r="BV49" s="6">
        <v>0</v>
      </c>
      <c r="BW49" s="6">
        <v>0</v>
      </c>
      <c r="BX49" s="6">
        <v>0</v>
      </c>
      <c r="BY49" s="6">
        <v>0</v>
      </c>
      <c r="BZ49" s="6">
        <v>0</v>
      </c>
      <c r="CA49" s="6">
        <v>0</v>
      </c>
      <c r="CB49" s="6">
        <v>0</v>
      </c>
      <c r="CC49" s="6">
        <v>0</v>
      </c>
      <c r="CD49" s="6">
        <v>0</v>
      </c>
      <c r="CE49" s="6">
        <v>0</v>
      </c>
      <c r="CF49" s="6">
        <v>0</v>
      </c>
      <c r="CG49" s="6">
        <v>0</v>
      </c>
      <c r="CH49" s="6">
        <v>0</v>
      </c>
      <c r="CI49" s="6">
        <v>0</v>
      </c>
      <c r="CJ49" s="6">
        <v>0</v>
      </c>
      <c r="CK49" s="6">
        <v>0</v>
      </c>
      <c r="CL49" s="6">
        <v>0</v>
      </c>
      <c r="CM49" s="6">
        <v>0</v>
      </c>
      <c r="CN49" s="6">
        <v>0.56217002869999999</v>
      </c>
      <c r="CO49" s="6"/>
      <c r="CP49" s="6"/>
      <c r="CQ49" s="6"/>
      <c r="CR49" s="6"/>
      <c r="DM49" s="7">
        <v>0.1783315986</v>
      </c>
      <c r="DN49" s="7">
        <f t="shared" si="0"/>
        <v>100.00002317939999</v>
      </c>
      <c r="DO49" s="7"/>
      <c r="DP49" s="6">
        <v>1.0547199000000001E-3</v>
      </c>
      <c r="DQ49" s="6">
        <v>1.5002224E-3</v>
      </c>
      <c r="DR49" s="6">
        <v>1.8687498999999999E-3</v>
      </c>
      <c r="DS49" s="6">
        <v>1.0315118E-3</v>
      </c>
      <c r="DT49" s="6">
        <v>3.8011852700000001E-2</v>
      </c>
      <c r="DU49" s="6">
        <v>0.37746563550000001</v>
      </c>
      <c r="DV49" s="6">
        <v>84.4634933472</v>
      </c>
      <c r="DW49" s="6">
        <v>0.56228065490000001</v>
      </c>
      <c r="DX49" s="6">
        <v>9.2701538999999996E-3</v>
      </c>
      <c r="DY49" s="6">
        <v>9.7617053986000002</v>
      </c>
      <c r="DZ49" s="6">
        <v>0.1300426573</v>
      </c>
      <c r="EA49" s="6">
        <v>4.6329221724999998</v>
      </c>
      <c r="EB49" s="6">
        <v>1.93629526E-2</v>
      </c>
      <c r="EC49" s="6"/>
      <c r="ED49" s="6"/>
      <c r="EE49" s="6"/>
      <c r="EF49" s="6"/>
      <c r="EG49" s="6"/>
      <c r="EH49" s="6"/>
    </row>
    <row r="50" spans="1:138">
      <c r="A50" s="153">
        <v>46124</v>
      </c>
      <c r="B50" s="8"/>
      <c r="C50" s="3">
        <v>6</v>
      </c>
      <c r="D50" s="154" t="s">
        <v>345</v>
      </c>
      <c r="E50" s="3">
        <v>200</v>
      </c>
      <c r="F50" s="3">
        <v>200</v>
      </c>
      <c r="G50" s="3">
        <v>24.0046</v>
      </c>
      <c r="H50" s="3">
        <v>23.990200000000002</v>
      </c>
      <c r="I50" s="3">
        <v>856.79399999999998</v>
      </c>
      <c r="J50" s="3">
        <v>861.50800000000004</v>
      </c>
      <c r="K50" s="3">
        <v>0</v>
      </c>
      <c r="L50" s="3">
        <v>0</v>
      </c>
      <c r="M50" s="3">
        <v>860.33199999999999</v>
      </c>
      <c r="N50" s="3">
        <v>858.44600000000003</v>
      </c>
      <c r="O50" s="3">
        <v>0</v>
      </c>
      <c r="P50" s="3">
        <v>0</v>
      </c>
      <c r="Q50" s="3">
        <v>0.249025</v>
      </c>
      <c r="R50" s="3">
        <v>1998.9</v>
      </c>
      <c r="S50" s="3">
        <v>2000.23</v>
      </c>
      <c r="T50" s="3">
        <v>0</v>
      </c>
      <c r="U50" s="3">
        <v>0</v>
      </c>
      <c r="V50" s="3">
        <v>2000.1</v>
      </c>
      <c r="W50" s="3">
        <v>1999.78</v>
      </c>
      <c r="X50" s="3">
        <v>0</v>
      </c>
      <c r="Y50" s="3">
        <v>0</v>
      </c>
      <c r="Z50" s="3">
        <v>220</v>
      </c>
      <c r="AA50" s="3">
        <v>2.00101</v>
      </c>
      <c r="AB50" s="3">
        <v>2.0002</v>
      </c>
      <c r="AC50" s="3">
        <v>-5.3584300000000001E-2</v>
      </c>
      <c r="AD50" s="3">
        <v>-2.8268199999999999E-3</v>
      </c>
      <c r="AE50" s="3">
        <v>1.9971699999999999</v>
      </c>
      <c r="AF50" s="3">
        <v>1.99762</v>
      </c>
      <c r="AG50" s="3">
        <v>-6.6011600000000004E-2</v>
      </c>
      <c r="AH50" s="3">
        <v>-2.1297099999999999E-2</v>
      </c>
      <c r="AI50" s="7">
        <v>22.560859000000001</v>
      </c>
      <c r="AJ50" s="7">
        <v>58.95711</v>
      </c>
      <c r="AL50" s="6">
        <v>88.267410278</v>
      </c>
      <c r="AM50" s="6">
        <v>83.610466002999999</v>
      </c>
      <c r="AN50" s="6">
        <v>15.783257484</v>
      </c>
      <c r="AO50" s="6">
        <v>30.978248596</v>
      </c>
      <c r="AP50" s="6">
        <v>0</v>
      </c>
      <c r="AQ50" s="6">
        <v>0</v>
      </c>
      <c r="AR50" s="6">
        <v>0.25626575950000002</v>
      </c>
      <c r="AS50" s="6">
        <v>0.16062912339999999</v>
      </c>
      <c r="AT50" s="6">
        <v>1.2440934799999999E-2</v>
      </c>
      <c r="AU50" s="6">
        <v>74.527702331</v>
      </c>
      <c r="AV50" s="6">
        <v>6.3635959624999998</v>
      </c>
      <c r="AW50" s="6">
        <v>1.6594885587999999</v>
      </c>
      <c r="AX50" s="6">
        <v>0</v>
      </c>
      <c r="AY50" s="6">
        <v>0</v>
      </c>
      <c r="AZ50" s="6">
        <v>0</v>
      </c>
      <c r="BA50" s="6">
        <v>0</v>
      </c>
      <c r="BB50" s="6">
        <v>0</v>
      </c>
      <c r="BC50" s="6">
        <v>0</v>
      </c>
      <c r="BD50" s="6">
        <v>0</v>
      </c>
      <c r="BE50" s="6">
        <v>0</v>
      </c>
      <c r="BF50" s="6">
        <v>0</v>
      </c>
      <c r="BG50" s="6">
        <v>0</v>
      </c>
      <c r="BH50" s="6">
        <v>0.76453852649999998</v>
      </c>
      <c r="BI50" s="6">
        <v>0.2089745402</v>
      </c>
      <c r="BJ50" s="6">
        <v>9.7965049743999995</v>
      </c>
      <c r="BK50" s="6">
        <v>2.4228446483999999</v>
      </c>
      <c r="BL50" s="6">
        <v>0</v>
      </c>
      <c r="BM50" s="6">
        <v>0</v>
      </c>
      <c r="BN50" s="6">
        <v>0</v>
      </c>
      <c r="BO50" s="6">
        <v>0</v>
      </c>
      <c r="BP50" s="6">
        <v>0</v>
      </c>
      <c r="BQ50" s="6">
        <v>0</v>
      </c>
      <c r="BR50" s="6">
        <v>0</v>
      </c>
      <c r="BS50" s="6">
        <v>0</v>
      </c>
      <c r="BT50" s="6">
        <v>0</v>
      </c>
      <c r="BU50" s="6">
        <v>0</v>
      </c>
      <c r="BV50" s="6">
        <v>0</v>
      </c>
      <c r="BW50" s="6">
        <v>0</v>
      </c>
      <c r="BX50" s="6">
        <v>0</v>
      </c>
      <c r="BY50" s="6">
        <v>0</v>
      </c>
      <c r="BZ50" s="6">
        <v>0</v>
      </c>
      <c r="CA50" s="6">
        <v>0</v>
      </c>
      <c r="CB50" s="6">
        <v>0</v>
      </c>
      <c r="CC50" s="6">
        <v>0</v>
      </c>
      <c r="CD50" s="6">
        <v>0</v>
      </c>
      <c r="CE50" s="6">
        <v>0</v>
      </c>
      <c r="CF50" s="6">
        <v>0</v>
      </c>
      <c r="CG50" s="6">
        <v>0</v>
      </c>
      <c r="CH50" s="6">
        <v>0</v>
      </c>
      <c r="CI50" s="6">
        <v>0</v>
      </c>
      <c r="CJ50" s="6">
        <v>0</v>
      </c>
      <c r="CK50" s="6">
        <v>0</v>
      </c>
      <c r="CL50" s="6">
        <v>0</v>
      </c>
      <c r="CM50" s="6">
        <v>0</v>
      </c>
      <c r="CN50" s="6">
        <v>0.36621576550000001</v>
      </c>
      <c r="CO50" s="6"/>
      <c r="CP50" s="6"/>
      <c r="CQ50" s="6"/>
      <c r="CR50" s="6"/>
      <c r="DM50" s="7">
        <v>3.4608035088000002</v>
      </c>
      <c r="DN50" s="7">
        <f t="shared" si="0"/>
        <v>100.0000046338</v>
      </c>
      <c r="DO50" s="7"/>
      <c r="DP50" s="6">
        <v>1.7256699999999999E-3</v>
      </c>
      <c r="DQ50" s="6">
        <v>0.256398499</v>
      </c>
      <c r="DR50" s="6">
        <v>0.76493459939999997</v>
      </c>
      <c r="DS50" s="6">
        <v>0.1607123315</v>
      </c>
      <c r="DT50" s="6">
        <v>0.2090827972</v>
      </c>
      <c r="DU50" s="6">
        <v>1.2447379499999999E-2</v>
      </c>
      <c r="DV50" s="6">
        <v>0.15286239979999999</v>
      </c>
      <c r="DW50" s="6">
        <v>0.72765141730000005</v>
      </c>
      <c r="DX50" s="6">
        <v>5.4490418433999999</v>
      </c>
      <c r="DY50" s="6">
        <v>3.4720249176000002</v>
      </c>
      <c r="DZ50" s="6">
        <v>74.566314697300001</v>
      </c>
      <c r="EA50" s="6">
        <v>1.2801251411000001</v>
      </c>
      <c r="EB50" s="6">
        <v>0.36640545730000001</v>
      </c>
      <c r="EC50" s="6">
        <v>1.2134845257</v>
      </c>
      <c r="ED50" s="6">
        <v>1.2106152773000001</v>
      </c>
      <c r="EE50" s="6">
        <v>6.3668923378000004</v>
      </c>
      <c r="EF50" s="6">
        <v>2.1262409686999999</v>
      </c>
      <c r="EG50" s="6">
        <v>1.6603482962</v>
      </c>
      <c r="EH50" s="6">
        <v>2.6800383000000001E-3</v>
      </c>
    </row>
    <row r="51" spans="1:138" ht="14.1" customHeight="1">
      <c r="A51" s="153">
        <v>46124</v>
      </c>
      <c r="B51" s="8"/>
      <c r="C51" s="3">
        <v>1</v>
      </c>
      <c r="D51" s="154" t="s">
        <v>346</v>
      </c>
      <c r="E51" s="3">
        <v>200</v>
      </c>
      <c r="F51" s="3">
        <v>200</v>
      </c>
      <c r="G51" s="3">
        <v>24.013300000000001</v>
      </c>
      <c r="H51" s="3">
        <v>24.013300000000001</v>
      </c>
      <c r="I51" s="3">
        <v>786.91899999999998</v>
      </c>
      <c r="J51" s="3">
        <v>785.63699999999994</v>
      </c>
      <c r="K51" s="3">
        <v>0</v>
      </c>
      <c r="L51" s="3">
        <v>0</v>
      </c>
      <c r="M51" s="3">
        <v>785.72500000000002</v>
      </c>
      <c r="N51" s="3">
        <v>787.33600000000001</v>
      </c>
      <c r="O51" s="3">
        <v>0</v>
      </c>
      <c r="P51" s="3">
        <v>0</v>
      </c>
      <c r="Q51" s="3">
        <v>0.22380900000000001</v>
      </c>
      <c r="R51" s="3">
        <v>2000.13</v>
      </c>
      <c r="S51" s="3">
        <v>1999.89</v>
      </c>
      <c r="T51" s="3">
        <v>0</v>
      </c>
      <c r="U51" s="3">
        <v>0</v>
      </c>
      <c r="V51" s="3">
        <v>2000.13</v>
      </c>
      <c r="W51" s="3">
        <v>2000.94</v>
      </c>
      <c r="X51" s="3">
        <v>0</v>
      </c>
      <c r="Y51" s="3">
        <v>0</v>
      </c>
      <c r="Z51" s="3">
        <v>219.9</v>
      </c>
      <c r="AA51" s="3">
        <v>2.0028100000000002</v>
      </c>
      <c r="AB51" s="3">
        <v>2.00162</v>
      </c>
      <c r="AC51" s="3">
        <v>-7.2089E-2</v>
      </c>
      <c r="AD51" s="3">
        <v>2.49811E-3</v>
      </c>
      <c r="AE51" s="3">
        <v>2.00238</v>
      </c>
      <c r="AF51" s="3">
        <v>2.0018400000000001</v>
      </c>
      <c r="AG51" s="3">
        <v>-0.197462</v>
      </c>
      <c r="AH51" s="3">
        <v>-2.2605900000000002E-2</v>
      </c>
      <c r="AI51" s="7">
        <v>24.514545999999999</v>
      </c>
      <c r="AJ51" s="7">
        <v>58.117285000000003</v>
      </c>
      <c r="AL51" s="6">
        <v>88.492820739999999</v>
      </c>
      <c r="AM51" s="6">
        <v>83.615776061999995</v>
      </c>
      <c r="AN51" s="6">
        <v>15.894856452999999</v>
      </c>
      <c r="AO51" s="6">
        <v>28.113416672</v>
      </c>
      <c r="AP51" s="6">
        <v>0</v>
      </c>
      <c r="AQ51" s="6">
        <v>0</v>
      </c>
      <c r="AR51" s="6">
        <v>0.14377459879999999</v>
      </c>
      <c r="AS51" s="6">
        <v>9.0554423600000003E-2</v>
      </c>
      <c r="AT51" s="6">
        <v>8.2687726E-3</v>
      </c>
      <c r="AU51" s="6">
        <v>78.517448424999998</v>
      </c>
      <c r="AV51" s="6">
        <v>7.5494832993000003</v>
      </c>
      <c r="AW51" s="6">
        <v>2.4722571373000002</v>
      </c>
      <c r="AX51" s="6">
        <v>0</v>
      </c>
      <c r="AY51" s="6">
        <v>0</v>
      </c>
      <c r="AZ51" s="6">
        <v>0</v>
      </c>
      <c r="BA51" s="6">
        <v>0</v>
      </c>
      <c r="BB51" s="6">
        <v>0</v>
      </c>
      <c r="BC51" s="6">
        <v>0</v>
      </c>
      <c r="BD51" s="6">
        <v>0</v>
      </c>
      <c r="BE51" s="6">
        <v>0</v>
      </c>
      <c r="BF51" s="6">
        <v>0</v>
      </c>
      <c r="BG51" s="6">
        <v>0</v>
      </c>
      <c r="BH51" s="6">
        <v>0.44071266059999997</v>
      </c>
      <c r="BI51" s="6">
        <v>0.1204078421</v>
      </c>
      <c r="BJ51" s="6">
        <v>5.9320011139000002</v>
      </c>
      <c r="BK51" s="6">
        <v>1.6297683716</v>
      </c>
      <c r="BL51" s="6">
        <v>0</v>
      </c>
      <c r="BM51" s="6">
        <v>0</v>
      </c>
      <c r="BN51" s="6">
        <v>0</v>
      </c>
      <c r="BO51" s="6">
        <v>0</v>
      </c>
      <c r="BP51" s="6">
        <v>0</v>
      </c>
      <c r="BQ51" s="6">
        <v>0</v>
      </c>
      <c r="BR51" s="6">
        <v>0</v>
      </c>
      <c r="BS51" s="6">
        <v>0</v>
      </c>
      <c r="BT51" s="6">
        <v>0</v>
      </c>
      <c r="BU51" s="6">
        <v>0</v>
      </c>
      <c r="BV51" s="6">
        <v>0</v>
      </c>
      <c r="BW51" s="6">
        <v>0</v>
      </c>
      <c r="BX51" s="6">
        <v>0</v>
      </c>
      <c r="BY51" s="6">
        <v>0</v>
      </c>
      <c r="BZ51" s="6">
        <v>0</v>
      </c>
      <c r="CA51" s="6">
        <v>0</v>
      </c>
      <c r="CB51" s="6">
        <v>0</v>
      </c>
      <c r="CC51" s="6">
        <v>0</v>
      </c>
      <c r="CD51" s="6">
        <v>0</v>
      </c>
      <c r="CE51" s="6">
        <v>0</v>
      </c>
      <c r="CF51" s="6">
        <v>0</v>
      </c>
      <c r="CG51" s="6">
        <v>0</v>
      </c>
      <c r="CH51" s="6">
        <v>0</v>
      </c>
      <c r="CI51" s="6">
        <v>0</v>
      </c>
      <c r="CJ51" s="6">
        <v>0</v>
      </c>
      <c r="CK51" s="6">
        <v>0</v>
      </c>
      <c r="CL51" s="6">
        <v>0</v>
      </c>
      <c r="CM51" s="6">
        <v>0</v>
      </c>
      <c r="CN51" s="6">
        <v>0.38848975299999999</v>
      </c>
      <c r="CO51" s="6"/>
      <c r="CP51" s="6"/>
      <c r="CQ51" s="6"/>
      <c r="CR51" s="6"/>
      <c r="DM51" s="7">
        <v>2.7068431377</v>
      </c>
      <c r="DN51" s="7">
        <f t="shared" si="0"/>
        <v>100.00000953549998</v>
      </c>
      <c r="DO51" s="7"/>
      <c r="DP51" s="6">
        <v>1.0572829E-3</v>
      </c>
      <c r="DQ51" s="6">
        <v>0.14389018710000001</v>
      </c>
      <c r="DR51" s="6">
        <v>0.44106695060000001</v>
      </c>
      <c r="DS51" s="6">
        <v>9.0627223300000004E-2</v>
      </c>
      <c r="DT51" s="6">
        <v>0.12050464</v>
      </c>
      <c r="DU51" s="6">
        <v>8.2754204000000005E-3</v>
      </c>
      <c r="DV51" s="6">
        <v>8.7346911400000005E-2</v>
      </c>
      <c r="DW51" s="6">
        <v>0.40570300819999999</v>
      </c>
      <c r="DX51" s="6">
        <v>3.2642359733999999</v>
      </c>
      <c r="DY51" s="6">
        <v>2.179484129</v>
      </c>
      <c r="DZ51" s="6">
        <v>78.580566406299994</v>
      </c>
      <c r="EA51" s="6">
        <v>0.86884427070000003</v>
      </c>
      <c r="EB51" s="6">
        <v>0.38880208129999999</v>
      </c>
      <c r="EC51" s="6">
        <v>0.84508460760000004</v>
      </c>
      <c r="ED51" s="6">
        <v>0.78599399329999997</v>
      </c>
      <c r="EE51" s="6">
        <v>7.5555524825999996</v>
      </c>
      <c r="EF51" s="6">
        <v>1.7573815584000001</v>
      </c>
      <c r="EG51" s="6">
        <v>2.4742445946</v>
      </c>
      <c r="EH51" s="6">
        <v>1.3337575E-3</v>
      </c>
    </row>
    <row r="52" spans="1:138" ht="14.1" customHeight="1">
      <c r="A52" s="153">
        <v>46124</v>
      </c>
      <c r="B52" s="8"/>
      <c r="C52" s="3">
        <v>2</v>
      </c>
      <c r="D52" s="154" t="s">
        <v>347</v>
      </c>
      <c r="E52" s="3">
        <v>200</v>
      </c>
      <c r="F52" s="3">
        <v>200</v>
      </c>
      <c r="G52" s="3">
        <v>24.026299999999999</v>
      </c>
      <c r="H52" s="3">
        <v>24.000299999999999</v>
      </c>
      <c r="I52" s="3">
        <v>758.53599999999994</v>
      </c>
      <c r="J52" s="3">
        <v>760.69399999999996</v>
      </c>
      <c r="K52" s="3">
        <v>0</v>
      </c>
      <c r="L52" s="3">
        <v>0</v>
      </c>
      <c r="M52" s="3">
        <v>759.48400000000004</v>
      </c>
      <c r="N52" s="3">
        <v>758.322</v>
      </c>
      <c r="O52" s="3">
        <v>0</v>
      </c>
      <c r="P52" s="3">
        <v>0</v>
      </c>
      <c r="Q52" s="3">
        <v>0.210096</v>
      </c>
      <c r="R52" s="3">
        <v>2000.49</v>
      </c>
      <c r="S52" s="3">
        <v>1999.94</v>
      </c>
      <c r="T52" s="3">
        <v>0</v>
      </c>
      <c r="U52" s="3">
        <v>0</v>
      </c>
      <c r="V52" s="3">
        <v>2000.01</v>
      </c>
      <c r="W52" s="3">
        <v>1999.9</v>
      </c>
      <c r="X52" s="3">
        <v>0</v>
      </c>
      <c r="Y52" s="3">
        <v>0</v>
      </c>
      <c r="Z52" s="3">
        <v>219.9</v>
      </c>
      <c r="AA52" s="3">
        <v>2.00162</v>
      </c>
      <c r="AB52" s="3">
        <v>1.99915</v>
      </c>
      <c r="AC52" s="3">
        <v>-9.7314499999999998E-2</v>
      </c>
      <c r="AD52" s="3">
        <v>6.6635999999999996E-4</v>
      </c>
      <c r="AE52" s="3">
        <v>1.99719</v>
      </c>
      <c r="AF52" s="3">
        <v>1.99274</v>
      </c>
      <c r="AG52" s="3">
        <v>-0.32688899999999999</v>
      </c>
      <c r="AH52" s="3">
        <v>-3.6581000000000002E-2</v>
      </c>
      <c r="AI52" s="7">
        <v>22.361650000000001</v>
      </c>
      <c r="AJ52" s="7">
        <v>59.407919</v>
      </c>
      <c r="AL52" s="6">
        <v>88.417755127000007</v>
      </c>
      <c r="AM52" s="6">
        <v>83.613327025999993</v>
      </c>
      <c r="AN52" s="6">
        <v>15.934251785000001</v>
      </c>
      <c r="AO52" s="6">
        <v>27.925638199000002</v>
      </c>
      <c r="AP52" s="6">
        <v>0</v>
      </c>
      <c r="AQ52" s="6">
        <v>0</v>
      </c>
      <c r="AR52" s="6">
        <v>0.1524227262</v>
      </c>
      <c r="AS52" s="6">
        <v>9.2299610399999996E-2</v>
      </c>
      <c r="AT52" s="6">
        <v>8.7505503999999994E-3</v>
      </c>
      <c r="AU52" s="6">
        <v>78.927200317</v>
      </c>
      <c r="AV52" s="6">
        <v>7.7246751785000001</v>
      </c>
      <c r="AW52" s="6">
        <v>2.6281321049000002</v>
      </c>
      <c r="AX52" s="6">
        <v>0</v>
      </c>
      <c r="AY52" s="6">
        <v>0</v>
      </c>
      <c r="AZ52" s="6">
        <v>0</v>
      </c>
      <c r="BA52" s="6">
        <v>0</v>
      </c>
      <c r="BB52" s="6">
        <v>0</v>
      </c>
      <c r="BC52" s="6">
        <v>0</v>
      </c>
      <c r="BD52" s="6">
        <v>0</v>
      </c>
      <c r="BE52" s="6">
        <v>0</v>
      </c>
      <c r="BF52" s="6">
        <v>0</v>
      </c>
      <c r="BG52" s="6">
        <v>0</v>
      </c>
      <c r="BH52" s="6">
        <v>0.46133303640000001</v>
      </c>
      <c r="BI52" s="6">
        <v>0.1218152046</v>
      </c>
      <c r="BJ52" s="6">
        <v>5.5947732925000002</v>
      </c>
      <c r="BK52" s="6">
        <v>1.4554715157</v>
      </c>
      <c r="BL52" s="6">
        <v>0</v>
      </c>
      <c r="BM52" s="6">
        <v>0</v>
      </c>
      <c r="BN52" s="6">
        <v>0</v>
      </c>
      <c r="BO52" s="6">
        <v>0</v>
      </c>
      <c r="BP52" s="6">
        <v>0</v>
      </c>
      <c r="BQ52" s="6">
        <v>0</v>
      </c>
      <c r="BR52" s="6">
        <v>0</v>
      </c>
      <c r="BS52" s="6">
        <v>0</v>
      </c>
      <c r="BT52" s="6">
        <v>0</v>
      </c>
      <c r="BU52" s="6">
        <v>0</v>
      </c>
      <c r="BV52" s="6">
        <v>0</v>
      </c>
      <c r="BW52" s="6">
        <v>0</v>
      </c>
      <c r="BX52" s="6">
        <v>0</v>
      </c>
      <c r="BY52" s="6">
        <v>0</v>
      </c>
      <c r="BZ52" s="6">
        <v>0</v>
      </c>
      <c r="CA52" s="6">
        <v>0</v>
      </c>
      <c r="CB52" s="6">
        <v>0</v>
      </c>
      <c r="CC52" s="6">
        <v>0</v>
      </c>
      <c r="CD52" s="6">
        <v>0</v>
      </c>
      <c r="CE52" s="6">
        <v>0</v>
      </c>
      <c r="CF52" s="6">
        <v>0</v>
      </c>
      <c r="CG52" s="6">
        <v>0</v>
      </c>
      <c r="CH52" s="6">
        <v>0</v>
      </c>
      <c r="CI52" s="6">
        <v>0</v>
      </c>
      <c r="CJ52" s="6">
        <v>0</v>
      </c>
      <c r="CK52" s="6">
        <v>0</v>
      </c>
      <c r="CL52" s="6">
        <v>0</v>
      </c>
      <c r="CM52" s="6">
        <v>0</v>
      </c>
      <c r="CN52" s="6">
        <v>0.36650606990000001</v>
      </c>
      <c r="CO52" s="6"/>
      <c r="CP52" s="6"/>
      <c r="CQ52" s="6"/>
      <c r="CR52" s="6"/>
      <c r="DM52" s="7">
        <v>2.4666333199000001</v>
      </c>
      <c r="DN52" s="7">
        <f t="shared" si="0"/>
        <v>100.00001292639999</v>
      </c>
      <c r="DO52" s="7"/>
      <c r="DP52" s="6">
        <v>9.3598070000000002E-4</v>
      </c>
      <c r="DQ52" s="6">
        <v>0.1525050402</v>
      </c>
      <c r="DR52" s="6">
        <v>0.46158218379999999</v>
      </c>
      <c r="DS52" s="6">
        <v>9.2349462199999996E-2</v>
      </c>
      <c r="DT52" s="6">
        <v>0.1218809932</v>
      </c>
      <c r="DU52" s="6">
        <v>8.7552768999999992E-3</v>
      </c>
      <c r="DV52" s="6">
        <v>9.2335671199999997E-2</v>
      </c>
      <c r="DW52" s="6">
        <v>0.4148146808</v>
      </c>
      <c r="DX52" s="6">
        <v>3.0603089333</v>
      </c>
      <c r="DY52" s="6">
        <v>2.0303351879</v>
      </c>
      <c r="DZ52" s="6">
        <v>78.969825744600001</v>
      </c>
      <c r="EA52" s="6">
        <v>0.85557526350000002</v>
      </c>
      <c r="EB52" s="6">
        <v>0.36670401689999998</v>
      </c>
      <c r="EC52" s="6">
        <v>0.76243478060000003</v>
      </c>
      <c r="ED52" s="6">
        <v>0.69382280110000005</v>
      </c>
      <c r="EE52" s="6">
        <v>7.7288475037</v>
      </c>
      <c r="EF52" s="6">
        <v>1.5559538603</v>
      </c>
      <c r="EG52" s="6">
        <v>2.6295514107</v>
      </c>
      <c r="EH52" s="6">
        <v>1.4787253000000001E-3</v>
      </c>
    </row>
    <row r="53" spans="1:138">
      <c r="A53" s="153">
        <v>46124</v>
      </c>
      <c r="B53" s="8"/>
      <c r="C53" s="3">
        <v>5</v>
      </c>
      <c r="D53" s="154" t="s">
        <v>348</v>
      </c>
      <c r="E53" s="3">
        <v>200</v>
      </c>
      <c r="F53" s="3">
        <v>200</v>
      </c>
      <c r="G53" s="3">
        <v>24.019100000000002</v>
      </c>
      <c r="H53" s="3">
        <v>24.0046</v>
      </c>
      <c r="I53" s="3">
        <v>743.44500000000005</v>
      </c>
      <c r="J53" s="3">
        <v>735.08799999999997</v>
      </c>
      <c r="K53" s="3">
        <v>0</v>
      </c>
      <c r="L53" s="3">
        <v>0</v>
      </c>
      <c r="M53" s="3">
        <v>740.53399999999999</v>
      </c>
      <c r="N53" s="3">
        <v>751.91600000000005</v>
      </c>
      <c r="O53" s="3">
        <v>0</v>
      </c>
      <c r="P53" s="3">
        <v>0</v>
      </c>
      <c r="Q53" s="3">
        <v>0.33840100000000001</v>
      </c>
      <c r="R53" s="3">
        <v>2000.3</v>
      </c>
      <c r="S53" s="3">
        <v>1999.91</v>
      </c>
      <c r="T53" s="3">
        <v>0</v>
      </c>
      <c r="U53" s="3">
        <v>0</v>
      </c>
      <c r="V53" s="3">
        <v>1999.69</v>
      </c>
      <c r="W53" s="3">
        <v>2000.37</v>
      </c>
      <c r="X53" s="3">
        <v>0</v>
      </c>
      <c r="Y53" s="3">
        <v>0</v>
      </c>
      <c r="Z53" s="3">
        <v>220</v>
      </c>
      <c r="AA53" s="3">
        <v>2.0003099999999998</v>
      </c>
      <c r="AB53" s="3">
        <v>1.9996700000000001</v>
      </c>
      <c r="AC53" s="3">
        <v>-9.4128299999999998E-2</v>
      </c>
      <c r="AD53" s="3">
        <v>3.7679699999999998E-3</v>
      </c>
      <c r="AE53" s="3">
        <v>1.9993000000000001</v>
      </c>
      <c r="AF53" s="3">
        <v>2.0006900000000001</v>
      </c>
      <c r="AG53" s="3">
        <v>-0.29693599999999998</v>
      </c>
      <c r="AH53" s="3">
        <v>-3.10361E-2</v>
      </c>
      <c r="AI53" s="7">
        <v>23.366049</v>
      </c>
      <c r="AJ53" s="7">
        <v>58.384990000000002</v>
      </c>
      <c r="AL53" s="6">
        <v>88.461212157999995</v>
      </c>
      <c r="AM53" s="6">
        <v>83.612518309999999</v>
      </c>
      <c r="AN53" s="6">
        <v>16.284172057999999</v>
      </c>
      <c r="AO53" s="6">
        <v>24.057136536000002</v>
      </c>
      <c r="AP53" s="6">
        <v>0</v>
      </c>
      <c r="AQ53" s="6">
        <v>0</v>
      </c>
      <c r="AR53" s="6">
        <v>0</v>
      </c>
      <c r="AS53" s="6">
        <v>0</v>
      </c>
      <c r="AT53" s="6">
        <v>1.0806006999999999E-3</v>
      </c>
      <c r="AU53" s="280">
        <v>84.384498596</v>
      </c>
      <c r="AV53" s="280">
        <v>9.7786931991999992</v>
      </c>
      <c r="AW53" s="280">
        <v>4.6786847114999999</v>
      </c>
      <c r="AX53" s="6">
        <v>0</v>
      </c>
      <c r="AY53" s="6">
        <v>0</v>
      </c>
      <c r="AZ53" s="6">
        <v>0</v>
      </c>
      <c r="BA53" s="6">
        <v>0</v>
      </c>
      <c r="BB53" s="6">
        <v>0</v>
      </c>
      <c r="BC53" s="6">
        <v>0</v>
      </c>
      <c r="BD53" s="6">
        <v>0</v>
      </c>
      <c r="BE53" s="6">
        <v>0</v>
      </c>
      <c r="BF53" s="6">
        <v>0</v>
      </c>
      <c r="BG53" s="6">
        <v>0</v>
      </c>
      <c r="BH53" s="6">
        <v>0</v>
      </c>
      <c r="BI53" s="6">
        <v>8.0112659999999997E-4</v>
      </c>
      <c r="BJ53" s="6">
        <v>0.41597768660000001</v>
      </c>
      <c r="BK53" s="6">
        <v>0</v>
      </c>
      <c r="BL53" s="6">
        <v>0</v>
      </c>
      <c r="BM53" s="6">
        <v>0</v>
      </c>
      <c r="BN53" s="6">
        <v>0</v>
      </c>
      <c r="BO53" s="6">
        <v>0</v>
      </c>
      <c r="BP53" s="6">
        <v>0</v>
      </c>
      <c r="BQ53" s="6">
        <v>0</v>
      </c>
      <c r="BR53" s="6">
        <v>0</v>
      </c>
      <c r="BS53" s="6">
        <v>0</v>
      </c>
      <c r="BT53" s="6">
        <v>0</v>
      </c>
      <c r="BU53" s="6">
        <v>0</v>
      </c>
      <c r="BV53" s="6">
        <v>0</v>
      </c>
      <c r="BW53" s="6">
        <v>0</v>
      </c>
      <c r="BX53" s="6">
        <v>0</v>
      </c>
      <c r="BY53" s="6">
        <v>0</v>
      </c>
      <c r="BZ53" s="6">
        <v>0</v>
      </c>
      <c r="CA53" s="6">
        <v>0</v>
      </c>
      <c r="CB53" s="6">
        <v>0</v>
      </c>
      <c r="CC53" s="6">
        <v>0</v>
      </c>
      <c r="CD53" s="6">
        <v>0</v>
      </c>
      <c r="CE53" s="6">
        <v>0</v>
      </c>
      <c r="CF53" s="6">
        <v>0</v>
      </c>
      <c r="CG53" s="6">
        <v>0</v>
      </c>
      <c r="CH53" s="6">
        <v>0</v>
      </c>
      <c r="CI53" s="6">
        <v>0</v>
      </c>
      <c r="CJ53" s="6">
        <v>0</v>
      </c>
      <c r="CK53" s="6">
        <v>0</v>
      </c>
      <c r="CL53" s="6">
        <v>0</v>
      </c>
      <c r="CM53" s="6">
        <v>0</v>
      </c>
      <c r="CN53" s="6">
        <v>0.55951011179999999</v>
      </c>
      <c r="CO53" s="6"/>
      <c r="CP53" s="6"/>
      <c r="CQ53" s="6"/>
      <c r="CR53" s="6"/>
      <c r="DM53" s="7">
        <v>0.1807586551</v>
      </c>
      <c r="DN53" s="7">
        <f t="shared" si="0"/>
        <v>100.0000046875</v>
      </c>
      <c r="DO53" s="7"/>
      <c r="DP53" s="6">
        <v>8.0128570000000002E-4</v>
      </c>
      <c r="DQ53" s="6">
        <v>1.0808152E-3</v>
      </c>
      <c r="DR53" s="6">
        <v>1.1431156000000001E-3</v>
      </c>
      <c r="DS53" s="6">
        <v>3.75302806E-2</v>
      </c>
      <c r="DT53" s="6">
        <v>0.37738686799999999</v>
      </c>
      <c r="DU53" s="6">
        <v>84.401252746599994</v>
      </c>
      <c r="DV53" s="6">
        <v>0.55962121490000005</v>
      </c>
      <c r="DW53" s="6">
        <v>9.6892854000000007E-3</v>
      </c>
      <c r="DX53" s="6">
        <v>9.7806339264000002</v>
      </c>
      <c r="DY53" s="6">
        <v>0.1317083389</v>
      </c>
      <c r="DZ53" s="6">
        <v>4.6796135901999998</v>
      </c>
      <c r="EA53" s="6">
        <v>1.9525900499999999E-2</v>
      </c>
      <c r="EB53" s="6"/>
      <c r="EC53" s="6"/>
      <c r="ED53" s="6"/>
      <c r="EE53" s="6"/>
      <c r="EF53" s="6"/>
      <c r="EG53" s="6"/>
      <c r="EH53" s="6"/>
    </row>
    <row r="54" spans="1:138">
      <c r="A54" s="153">
        <v>46124</v>
      </c>
      <c r="B54" s="8"/>
      <c r="C54" s="3">
        <v>6</v>
      </c>
      <c r="D54" s="154" t="s">
        <v>349</v>
      </c>
      <c r="E54" s="3">
        <v>200</v>
      </c>
      <c r="F54" s="3">
        <v>200</v>
      </c>
      <c r="G54" s="3">
        <v>23.954000000000001</v>
      </c>
      <c r="H54" s="3">
        <v>23.995999999999999</v>
      </c>
      <c r="I54" s="3">
        <v>789.08100000000002</v>
      </c>
      <c r="J54" s="3">
        <v>787.83399999999995</v>
      </c>
      <c r="K54" s="3">
        <v>0</v>
      </c>
      <c r="L54" s="3">
        <v>0</v>
      </c>
      <c r="M54" s="3">
        <v>788.01700000000005</v>
      </c>
      <c r="N54" s="3">
        <v>788.87800000000004</v>
      </c>
      <c r="O54" s="3">
        <v>0</v>
      </c>
      <c r="P54" s="3">
        <v>0</v>
      </c>
      <c r="Q54" s="3">
        <v>0.26485300000000001</v>
      </c>
      <c r="R54" s="3">
        <v>1999.69</v>
      </c>
      <c r="S54" s="3">
        <v>1999.91</v>
      </c>
      <c r="T54" s="3">
        <v>0</v>
      </c>
      <c r="U54" s="3">
        <v>0</v>
      </c>
      <c r="V54" s="3">
        <v>1999.5</v>
      </c>
      <c r="W54" s="3">
        <v>2000.24</v>
      </c>
      <c r="X54" s="3">
        <v>0</v>
      </c>
      <c r="Y54" s="3">
        <v>0</v>
      </c>
      <c r="Z54" s="3">
        <v>220</v>
      </c>
      <c r="AA54" s="3">
        <v>2.0014500000000002</v>
      </c>
      <c r="AB54" s="3">
        <v>1.9997100000000001</v>
      </c>
      <c r="AC54" s="3">
        <v>-8.11809E-2</v>
      </c>
      <c r="AD54" s="3">
        <v>-1.08395E-3</v>
      </c>
      <c r="AE54" s="3">
        <v>2.0028700000000002</v>
      </c>
      <c r="AF54" s="3">
        <v>2.0016099999999999</v>
      </c>
      <c r="AG54" s="3">
        <v>-0.270011</v>
      </c>
      <c r="AH54" s="3">
        <v>-4.0274299999999999E-2</v>
      </c>
      <c r="AI54" s="7">
        <v>21.965347999999999</v>
      </c>
      <c r="AJ54" s="7">
        <v>59.735655999999999</v>
      </c>
      <c r="AL54" s="6">
        <v>88.203628539999997</v>
      </c>
      <c r="AM54" s="6">
        <v>83.608795165999993</v>
      </c>
      <c r="AN54" s="6">
        <v>15.790207862999999</v>
      </c>
      <c r="AO54" s="6">
        <v>31.172815322999998</v>
      </c>
      <c r="AP54" s="6">
        <v>0</v>
      </c>
      <c r="AQ54" s="6">
        <v>0</v>
      </c>
      <c r="AR54" s="6">
        <v>0.27642309669999998</v>
      </c>
      <c r="AS54" s="6">
        <v>0.1683574468</v>
      </c>
      <c r="AT54" s="6">
        <v>1.3623501200000001E-2</v>
      </c>
      <c r="AU54" s="6">
        <v>74.321960449000002</v>
      </c>
      <c r="AV54" s="6">
        <v>6.3313183783999998</v>
      </c>
      <c r="AW54" s="6">
        <v>1.6572053432</v>
      </c>
      <c r="AX54" s="6">
        <v>0</v>
      </c>
      <c r="AY54" s="6">
        <v>0</v>
      </c>
      <c r="AZ54" s="6">
        <v>0</v>
      </c>
      <c r="BA54" s="6">
        <v>0</v>
      </c>
      <c r="BB54" s="6">
        <v>0</v>
      </c>
      <c r="BC54" s="6">
        <v>0</v>
      </c>
      <c r="BD54" s="6">
        <v>0</v>
      </c>
      <c r="BE54" s="6">
        <v>0</v>
      </c>
      <c r="BF54" s="6">
        <v>0</v>
      </c>
      <c r="BG54" s="6">
        <v>0</v>
      </c>
      <c r="BH54" s="6">
        <v>0.81546252969999999</v>
      </c>
      <c r="BI54" s="6">
        <v>0.22038727999999999</v>
      </c>
      <c r="BJ54" s="6">
        <v>9.9970903396999997</v>
      </c>
      <c r="BK54" s="6">
        <v>2.4151010513000002</v>
      </c>
      <c r="BL54" s="6">
        <v>0</v>
      </c>
      <c r="BM54" s="6">
        <v>0</v>
      </c>
      <c r="BN54" s="6">
        <v>0</v>
      </c>
      <c r="BO54" s="6">
        <v>0</v>
      </c>
      <c r="BP54" s="6">
        <v>0</v>
      </c>
      <c r="BQ54" s="6">
        <v>0</v>
      </c>
      <c r="BR54" s="6">
        <v>0</v>
      </c>
      <c r="BS54" s="6">
        <v>0</v>
      </c>
      <c r="BT54" s="6">
        <v>0</v>
      </c>
      <c r="BU54" s="6">
        <v>0</v>
      </c>
      <c r="BV54" s="6">
        <v>0</v>
      </c>
      <c r="BW54" s="6">
        <v>0</v>
      </c>
      <c r="BX54" s="6">
        <v>0</v>
      </c>
      <c r="BY54" s="6">
        <v>0</v>
      </c>
      <c r="BZ54" s="6">
        <v>0</v>
      </c>
      <c r="CA54" s="6">
        <v>0</v>
      </c>
      <c r="CB54" s="6">
        <v>0</v>
      </c>
      <c r="CC54" s="6">
        <v>0</v>
      </c>
      <c r="CD54" s="6">
        <v>0</v>
      </c>
      <c r="CE54" s="6">
        <v>0</v>
      </c>
      <c r="CF54" s="6">
        <v>0</v>
      </c>
      <c r="CG54" s="6">
        <v>0</v>
      </c>
      <c r="CH54" s="6">
        <v>0</v>
      </c>
      <c r="CI54" s="6">
        <v>0</v>
      </c>
      <c r="CJ54" s="6">
        <v>0</v>
      </c>
      <c r="CK54" s="6">
        <v>0</v>
      </c>
      <c r="CL54" s="6">
        <v>0</v>
      </c>
      <c r="CM54" s="6">
        <v>0</v>
      </c>
      <c r="CN54" s="6">
        <v>0.35668390989999998</v>
      </c>
      <c r="CO54" s="6"/>
      <c r="CP54" s="6"/>
      <c r="CQ54" s="6"/>
      <c r="CR54" s="6"/>
      <c r="DM54" s="7">
        <v>3.4263887405000002</v>
      </c>
      <c r="DN54" s="7">
        <f t="shared" si="0"/>
        <v>100.0000020664</v>
      </c>
      <c r="DO54" s="7"/>
      <c r="DP54" s="6">
        <v>1.5785261000000001E-3</v>
      </c>
      <c r="DQ54" s="6">
        <v>0.27654850479999998</v>
      </c>
      <c r="DR54" s="6">
        <v>0.8158324361</v>
      </c>
      <c r="DS54" s="6">
        <v>0.1684338152</v>
      </c>
      <c r="DT54" s="6">
        <v>0.22048725189999999</v>
      </c>
      <c r="DU54" s="6">
        <v>1.36296814E-2</v>
      </c>
      <c r="DV54" s="6">
        <v>0.1612847298</v>
      </c>
      <c r="DW54" s="6">
        <v>0.76410621400000001</v>
      </c>
      <c r="DX54" s="6">
        <v>5.5580396651999999</v>
      </c>
      <c r="DY54" s="6">
        <v>3.5181946754000002</v>
      </c>
      <c r="DZ54" s="6">
        <v>74.355674743700007</v>
      </c>
      <c r="EA54" s="6">
        <v>1.2871149777999999</v>
      </c>
      <c r="EB54" s="6">
        <v>0.35684570669999999</v>
      </c>
      <c r="EC54" s="6">
        <v>1.2074998616999999</v>
      </c>
      <c r="ED54" s="6">
        <v>1.2086966038</v>
      </c>
      <c r="EE54" s="6">
        <v>6.3341903686999999</v>
      </c>
      <c r="EF54" s="6">
        <v>2.0927259922000001</v>
      </c>
      <c r="EG54" s="6">
        <v>1.6579570770000001</v>
      </c>
      <c r="EH54" s="6">
        <v>1.1537987E-3</v>
      </c>
    </row>
    <row r="55" spans="1:138">
      <c r="A55" s="153">
        <v>46125</v>
      </c>
      <c r="B55" s="8"/>
      <c r="C55" s="3">
        <v>1</v>
      </c>
      <c r="D55" s="154" t="s">
        <v>350</v>
      </c>
      <c r="E55" s="3">
        <v>200</v>
      </c>
      <c r="F55" s="3">
        <v>200</v>
      </c>
      <c r="G55" s="3">
        <v>23.994499999999999</v>
      </c>
      <c r="H55" s="3">
        <v>23.994499999999999</v>
      </c>
      <c r="I55" s="3">
        <v>805.21600000000001</v>
      </c>
      <c r="J55" s="3">
        <v>803.02200000000005</v>
      </c>
      <c r="K55" s="3">
        <v>0</v>
      </c>
      <c r="L55" s="3">
        <v>0</v>
      </c>
      <c r="M55" s="3">
        <v>803.74400000000003</v>
      </c>
      <c r="N55" s="3">
        <v>805.245</v>
      </c>
      <c r="O55" s="3">
        <v>0</v>
      </c>
      <c r="P55" s="3">
        <v>0</v>
      </c>
      <c r="Q55" s="3">
        <v>0.10488699999999999</v>
      </c>
      <c r="R55" s="3">
        <v>1999.72</v>
      </c>
      <c r="S55" s="3">
        <v>1999.23</v>
      </c>
      <c r="T55" s="3">
        <v>0</v>
      </c>
      <c r="U55" s="3">
        <v>0</v>
      </c>
      <c r="V55" s="3">
        <v>2000.6</v>
      </c>
      <c r="W55" s="3">
        <v>1999.92</v>
      </c>
      <c r="X55" s="3">
        <v>0</v>
      </c>
      <c r="Y55" s="3">
        <v>0</v>
      </c>
      <c r="Z55" s="3">
        <v>220</v>
      </c>
      <c r="AA55" s="3">
        <v>2.00224</v>
      </c>
      <c r="AB55" s="3">
        <v>1.9996100000000001</v>
      </c>
      <c r="AC55" s="3">
        <v>-5.3834699999999999E-2</v>
      </c>
      <c r="AD55" s="3">
        <v>-7.6291399999999995E-4</v>
      </c>
      <c r="AE55" s="3">
        <v>1.9997100000000001</v>
      </c>
      <c r="AF55" s="3">
        <v>1.9945200000000001</v>
      </c>
      <c r="AG55" s="3">
        <v>-8.1292299999999998E-2</v>
      </c>
      <c r="AH55" s="3">
        <v>-1.7154599999999999E-2</v>
      </c>
      <c r="AI55" s="7">
        <v>23.860278999999998</v>
      </c>
      <c r="AJ55" s="7">
        <v>58.838830000000002</v>
      </c>
      <c r="AL55" s="6">
        <v>88.467674255000006</v>
      </c>
      <c r="AM55" s="6">
        <v>83.615081786999994</v>
      </c>
      <c r="AN55" s="6">
        <v>15.896516800000001</v>
      </c>
      <c r="AO55" s="6">
        <v>28.183420180999999</v>
      </c>
      <c r="AP55" s="6">
        <v>0</v>
      </c>
      <c r="AQ55" s="6">
        <v>0</v>
      </c>
      <c r="AR55" s="6">
        <v>0.1520673931</v>
      </c>
      <c r="AS55" s="6">
        <v>9.4214715099999999E-2</v>
      </c>
      <c r="AT55" s="6">
        <v>8.8198306000000001E-3</v>
      </c>
      <c r="AU55" s="6">
        <v>78.449295043999996</v>
      </c>
      <c r="AV55" s="6">
        <v>7.5306458472999998</v>
      </c>
      <c r="AW55" s="6">
        <v>2.4703977107999999</v>
      </c>
      <c r="AX55" s="6">
        <v>0</v>
      </c>
      <c r="AY55" s="6">
        <v>0</v>
      </c>
      <c r="AZ55" s="6">
        <v>0</v>
      </c>
      <c r="BA55" s="6">
        <v>0</v>
      </c>
      <c r="BB55" s="6">
        <v>0</v>
      </c>
      <c r="BC55" s="6">
        <v>0</v>
      </c>
      <c r="BD55" s="6">
        <v>0</v>
      </c>
      <c r="BE55" s="6">
        <v>0</v>
      </c>
      <c r="BF55" s="6">
        <v>0</v>
      </c>
      <c r="BG55" s="6">
        <v>0</v>
      </c>
      <c r="BH55" s="6">
        <v>0.46395906809999998</v>
      </c>
      <c r="BI55" s="6">
        <v>0.12501838800000001</v>
      </c>
      <c r="BJ55" s="6">
        <v>6.0005989074999997</v>
      </c>
      <c r="BK55" s="6">
        <v>1.6259551048000001</v>
      </c>
      <c r="BL55" s="35">
        <v>0</v>
      </c>
      <c r="BM55" s="6">
        <v>0</v>
      </c>
      <c r="BN55" s="6">
        <v>0</v>
      </c>
      <c r="BO55" s="6">
        <v>0</v>
      </c>
      <c r="BP55" s="6">
        <v>0</v>
      </c>
      <c r="BQ55" s="6">
        <v>0</v>
      </c>
      <c r="BR55" s="6">
        <v>0</v>
      </c>
      <c r="BS55" s="6">
        <v>0</v>
      </c>
      <c r="BT55" s="6">
        <v>0</v>
      </c>
      <c r="BU55" s="6">
        <v>0</v>
      </c>
      <c r="BV55" s="6">
        <v>0</v>
      </c>
      <c r="BW55" s="6">
        <v>0</v>
      </c>
      <c r="BX55" s="6">
        <v>0</v>
      </c>
      <c r="BY55" s="6">
        <v>0</v>
      </c>
      <c r="BZ55" s="6">
        <v>0</v>
      </c>
      <c r="CA55" s="6">
        <v>0</v>
      </c>
      <c r="CB55" s="6">
        <v>0</v>
      </c>
      <c r="CC55" s="6">
        <v>0</v>
      </c>
      <c r="CD55" s="6">
        <v>0</v>
      </c>
      <c r="CE55" s="6">
        <v>0</v>
      </c>
      <c r="CF55" s="6">
        <v>0</v>
      </c>
      <c r="CG55" s="6">
        <v>0</v>
      </c>
      <c r="CH55" s="6">
        <v>0</v>
      </c>
      <c r="CI55" s="6">
        <v>0</v>
      </c>
      <c r="CJ55" s="6">
        <v>0</v>
      </c>
      <c r="CK55" s="6">
        <v>0</v>
      </c>
      <c r="CL55" s="6">
        <v>0</v>
      </c>
      <c r="CM55" s="6">
        <v>0</v>
      </c>
      <c r="CN55" s="6">
        <v>0.37792447210000002</v>
      </c>
      <c r="CO55" s="6"/>
      <c r="CP55" s="6"/>
      <c r="CQ55" s="6"/>
      <c r="CR55" s="6"/>
      <c r="DM55" s="7">
        <v>2.7010996342000002</v>
      </c>
      <c r="DN55" s="7">
        <f t="shared" si="0"/>
        <v>99.999996115599998</v>
      </c>
      <c r="DO55" s="7"/>
      <c r="DP55" s="6">
        <v>9.7568869999999997E-4</v>
      </c>
      <c r="DQ55" s="6">
        <v>0.15217895810000001</v>
      </c>
      <c r="DR55" s="6">
        <v>0.46429941060000002</v>
      </c>
      <c r="DS55" s="6">
        <v>9.4283826599999995E-2</v>
      </c>
      <c r="DT55" s="6">
        <v>0.12511008979999999</v>
      </c>
      <c r="DU55" s="6">
        <v>8.8263005000000002E-3</v>
      </c>
      <c r="DV55" s="6">
        <v>9.15044993E-2</v>
      </c>
      <c r="DW55" s="6">
        <v>0.42000710959999998</v>
      </c>
      <c r="DX55" s="6">
        <v>3.3010311127</v>
      </c>
      <c r="DY55" s="6">
        <v>2.1924576759000001</v>
      </c>
      <c r="DZ55" s="6">
        <v>78.506843566900002</v>
      </c>
      <c r="EA55" s="6">
        <v>0.88994371890000001</v>
      </c>
      <c r="EB55" s="6">
        <v>0.37820169329999997</v>
      </c>
      <c r="EC55" s="6">
        <v>0.84325522180000001</v>
      </c>
      <c r="ED55" s="6">
        <v>0.78389269110000004</v>
      </c>
      <c r="EE55" s="6">
        <v>7.5361704826000002</v>
      </c>
      <c r="EF55" s="6">
        <v>1.7375241518</v>
      </c>
      <c r="EG55" s="6">
        <v>2.4722099304</v>
      </c>
      <c r="EH55" s="6">
        <v>1.3126075999999999E-3</v>
      </c>
    </row>
    <row r="56" spans="1:138">
      <c r="A56" s="153">
        <v>46125</v>
      </c>
      <c r="B56" s="8"/>
      <c r="C56" s="3">
        <v>2</v>
      </c>
      <c r="D56" s="154" t="s">
        <v>351</v>
      </c>
      <c r="E56" s="3">
        <v>200</v>
      </c>
      <c r="F56" s="3">
        <v>200</v>
      </c>
      <c r="G56" s="3">
        <v>24.0046</v>
      </c>
      <c r="H56" s="3">
        <v>24.0046</v>
      </c>
      <c r="I56" s="3">
        <v>776.00400000000002</v>
      </c>
      <c r="J56" s="3">
        <v>786.07799999999997</v>
      </c>
      <c r="K56" s="3">
        <v>0</v>
      </c>
      <c r="L56" s="3">
        <v>0</v>
      </c>
      <c r="M56" s="3">
        <v>781.98800000000006</v>
      </c>
      <c r="N56" s="3">
        <v>771.27200000000005</v>
      </c>
      <c r="O56" s="3">
        <v>0</v>
      </c>
      <c r="P56" s="3">
        <v>0</v>
      </c>
      <c r="Q56" s="3">
        <v>0.33307799999999999</v>
      </c>
      <c r="R56" s="3">
        <v>1998.42</v>
      </c>
      <c r="S56" s="3">
        <v>2000.32</v>
      </c>
      <c r="T56" s="3">
        <v>0</v>
      </c>
      <c r="U56" s="3">
        <v>0</v>
      </c>
      <c r="V56" s="3">
        <v>1999.67</v>
      </c>
      <c r="W56" s="3">
        <v>2000.57</v>
      </c>
      <c r="X56" s="3">
        <v>0</v>
      </c>
      <c r="Y56" s="3">
        <v>0</v>
      </c>
      <c r="Z56" s="3">
        <v>220.1</v>
      </c>
      <c r="AA56" s="3">
        <v>2.00285</v>
      </c>
      <c r="AB56" s="3">
        <v>1.99925</v>
      </c>
      <c r="AC56" s="3">
        <v>-6.2135200000000002E-2</v>
      </c>
      <c r="AD56" s="3">
        <v>-4.4372500000000001E-4</v>
      </c>
      <c r="AE56" s="3">
        <v>1.99657</v>
      </c>
      <c r="AF56" s="3">
        <v>1.99716</v>
      </c>
      <c r="AG56" s="3">
        <v>-8.0205499999999999E-2</v>
      </c>
      <c r="AH56" s="3">
        <v>-1.26055E-2</v>
      </c>
      <c r="AI56" s="7">
        <v>21.765612000000001</v>
      </c>
      <c r="AJ56" s="7">
        <v>59.919983000000002</v>
      </c>
      <c r="AL56" s="6">
        <v>88.402763367000006</v>
      </c>
      <c r="AM56" s="6">
        <v>83.612915039000001</v>
      </c>
      <c r="AN56" s="6">
        <v>15.939319611</v>
      </c>
      <c r="AO56" s="6">
        <v>27.919355393</v>
      </c>
      <c r="AP56" s="35">
        <v>0</v>
      </c>
      <c r="AQ56" s="35">
        <v>0</v>
      </c>
      <c r="AR56" s="6">
        <v>0.15910944339999999</v>
      </c>
      <c r="AS56" s="6">
        <v>9.47584286E-2</v>
      </c>
      <c r="AT56" s="6">
        <v>9.1082333000000008E-3</v>
      </c>
      <c r="AU56" s="6">
        <v>78.886863708999996</v>
      </c>
      <c r="AV56" s="6">
        <v>7.7542924880999999</v>
      </c>
      <c r="AW56" s="6">
        <v>2.6803433895</v>
      </c>
      <c r="AX56" s="6">
        <v>0</v>
      </c>
      <c r="AY56" s="6">
        <v>0</v>
      </c>
      <c r="AZ56" s="6">
        <v>0</v>
      </c>
      <c r="BA56" s="6">
        <v>0</v>
      </c>
      <c r="BB56" s="6">
        <v>0</v>
      </c>
      <c r="BC56" s="6">
        <v>0</v>
      </c>
      <c r="BD56" s="6">
        <v>0</v>
      </c>
      <c r="BE56" s="6">
        <v>0</v>
      </c>
      <c r="BF56" s="6">
        <v>0</v>
      </c>
      <c r="BG56" s="6">
        <v>0</v>
      </c>
      <c r="BH56" s="6">
        <v>0.48211085799999998</v>
      </c>
      <c r="BI56" s="6">
        <v>0.1270304173</v>
      </c>
      <c r="BJ56" s="6">
        <v>5.5804781914000001</v>
      </c>
      <c r="BK56" s="6">
        <v>1.4346666336</v>
      </c>
      <c r="BL56" s="35">
        <v>0</v>
      </c>
      <c r="BM56" s="6">
        <v>0</v>
      </c>
      <c r="BN56" s="6">
        <v>0</v>
      </c>
      <c r="BO56" s="6">
        <v>0</v>
      </c>
      <c r="BP56" s="6">
        <v>0</v>
      </c>
      <c r="BQ56" s="6">
        <v>0</v>
      </c>
      <c r="BR56" s="6">
        <v>0</v>
      </c>
      <c r="BS56" s="6">
        <v>0</v>
      </c>
      <c r="BT56" s="6">
        <v>0</v>
      </c>
      <c r="BU56" s="6">
        <v>0</v>
      </c>
      <c r="BV56" s="6">
        <v>0</v>
      </c>
      <c r="BW56" s="6">
        <v>0</v>
      </c>
      <c r="BX56" s="6">
        <v>0</v>
      </c>
      <c r="BY56" s="6">
        <v>0</v>
      </c>
      <c r="BZ56" s="6">
        <v>0</v>
      </c>
      <c r="CA56" s="6">
        <v>0</v>
      </c>
      <c r="CB56" s="6">
        <v>0</v>
      </c>
      <c r="CC56" s="6">
        <v>0</v>
      </c>
      <c r="CD56" s="6">
        <v>0</v>
      </c>
      <c r="CE56" s="6">
        <v>0</v>
      </c>
      <c r="CF56" s="6">
        <v>0</v>
      </c>
      <c r="CG56" s="6">
        <v>0</v>
      </c>
      <c r="CH56" s="6">
        <v>0</v>
      </c>
      <c r="CI56" s="6">
        <v>0</v>
      </c>
      <c r="CJ56" s="6">
        <v>0</v>
      </c>
      <c r="CK56" s="6">
        <v>0</v>
      </c>
      <c r="CL56" s="6">
        <v>0</v>
      </c>
      <c r="CM56" s="6">
        <v>0</v>
      </c>
      <c r="CN56" s="6">
        <v>0.35338428620000001</v>
      </c>
      <c r="CO56" s="6"/>
      <c r="CP56" s="6"/>
      <c r="CQ56" s="6"/>
      <c r="CR56" s="6"/>
      <c r="DM56" s="60">
        <v>2.4378721714</v>
      </c>
      <c r="DN56" s="7">
        <f t="shared" si="0"/>
        <v>100.00001824980001</v>
      </c>
      <c r="DO56" s="7"/>
      <c r="DP56" s="6">
        <v>1.0029082999999999E-3</v>
      </c>
      <c r="DQ56" s="6">
        <v>0.15919302399999999</v>
      </c>
      <c r="DR56" s="6">
        <v>0.48236408829999999</v>
      </c>
      <c r="DS56" s="6">
        <v>9.4808198499999996E-2</v>
      </c>
      <c r="DT56" s="6">
        <v>0.1270971447</v>
      </c>
      <c r="DU56" s="6">
        <v>9.1130175000000008E-3</v>
      </c>
      <c r="DV56" s="6">
        <v>9.43770409E-2</v>
      </c>
      <c r="DW56" s="6">
        <v>0.42376798389999998</v>
      </c>
      <c r="DX56" s="6">
        <v>3.0539996623999999</v>
      </c>
      <c r="DY56" s="6">
        <v>2.0112648009999998</v>
      </c>
      <c r="DZ56" s="6">
        <v>78.928298950200002</v>
      </c>
      <c r="EA56" s="6">
        <v>0.84847974780000002</v>
      </c>
      <c r="EB56" s="6">
        <v>0.35356989500000002</v>
      </c>
      <c r="EC56" s="6">
        <v>0.75205719469999999</v>
      </c>
      <c r="ED56" s="6">
        <v>0.68336302039999997</v>
      </c>
      <c r="EE56" s="6">
        <v>7.7583656311000002</v>
      </c>
      <c r="EF56" s="6">
        <v>1.5354739427999999</v>
      </c>
      <c r="EG56" s="6">
        <v>2.6817512512000001</v>
      </c>
      <c r="EH56" s="6">
        <v>1.6789357999999999E-3</v>
      </c>
    </row>
    <row r="57" spans="1:138">
      <c r="A57" s="153">
        <v>46125</v>
      </c>
      <c r="B57" s="8"/>
      <c r="C57" s="3">
        <v>5</v>
      </c>
      <c r="D57" s="154" t="s">
        <v>352</v>
      </c>
      <c r="E57" s="3">
        <v>199.9</v>
      </c>
      <c r="F57" s="3">
        <v>199.9</v>
      </c>
      <c r="G57" s="3">
        <v>24.000299999999999</v>
      </c>
      <c r="H57" s="3">
        <v>23.993099999999998</v>
      </c>
      <c r="I57" s="3">
        <v>803.97299999999996</v>
      </c>
      <c r="J57" s="3">
        <v>810.83900000000006</v>
      </c>
      <c r="K57" s="3">
        <v>0</v>
      </c>
      <c r="L57" s="3">
        <v>0</v>
      </c>
      <c r="M57" s="3">
        <v>806.23099999999999</v>
      </c>
      <c r="N57" s="3">
        <v>799.63900000000001</v>
      </c>
      <c r="O57" s="3">
        <v>0</v>
      </c>
      <c r="P57" s="3">
        <v>0</v>
      </c>
      <c r="Q57" s="3">
        <v>0.37012299999999998</v>
      </c>
      <c r="R57" s="3">
        <v>1999.97</v>
      </c>
      <c r="S57" s="3">
        <v>1999.53</v>
      </c>
      <c r="T57" s="3">
        <v>0</v>
      </c>
      <c r="U57" s="3">
        <v>0</v>
      </c>
      <c r="V57" s="3">
        <v>1999.94</v>
      </c>
      <c r="W57" s="3">
        <v>2000.42</v>
      </c>
      <c r="X57" s="3">
        <v>0</v>
      </c>
      <c r="Y57" s="3">
        <v>0</v>
      </c>
      <c r="Z57" s="3">
        <v>220.3</v>
      </c>
      <c r="AA57" s="3">
        <v>1.99596</v>
      </c>
      <c r="AB57" s="3">
        <v>2.0023499999999999</v>
      </c>
      <c r="AC57" s="3">
        <v>-6.4011899999999997E-2</v>
      </c>
      <c r="AD57" s="3">
        <v>-3.1817799999999999E-3</v>
      </c>
      <c r="AE57" s="3">
        <v>1.9998499999999999</v>
      </c>
      <c r="AF57" s="3">
        <v>1.9943500000000001</v>
      </c>
      <c r="AG57" s="3">
        <v>-9.2969999999999997E-2</v>
      </c>
      <c r="AH57" s="3">
        <v>-1.5355199999999999E-2</v>
      </c>
      <c r="AI57" s="7">
        <v>23.036341</v>
      </c>
      <c r="AJ57" s="7">
        <v>58.626969000000003</v>
      </c>
      <c r="AL57" s="6">
        <v>88.470069885000001</v>
      </c>
      <c r="AM57" s="6">
        <v>83.612785338999998</v>
      </c>
      <c r="AN57" s="6">
        <v>16.283779144</v>
      </c>
      <c r="AO57" s="6">
        <v>24.042398453000001</v>
      </c>
      <c r="AP57" s="6">
        <v>0</v>
      </c>
      <c r="AQ57" s="6">
        <v>0</v>
      </c>
      <c r="AR57" s="6">
        <v>0</v>
      </c>
      <c r="AS57" s="6">
        <v>0</v>
      </c>
      <c r="AT57" s="6">
        <v>9.6482230000000005E-4</v>
      </c>
      <c r="AU57" s="280">
        <v>84.350265503000003</v>
      </c>
      <c r="AV57" s="280">
        <v>9.7598056792999994</v>
      </c>
      <c r="AW57" s="280">
        <v>4.7270097732999998</v>
      </c>
      <c r="AX57" s="6">
        <v>0</v>
      </c>
      <c r="AY57" s="6">
        <v>0</v>
      </c>
      <c r="AZ57" s="6">
        <v>0</v>
      </c>
      <c r="BA57" s="6">
        <v>0</v>
      </c>
      <c r="BB57" s="6">
        <v>0</v>
      </c>
      <c r="BC57" s="6">
        <v>0</v>
      </c>
      <c r="BD57" s="6">
        <v>0</v>
      </c>
      <c r="BE57" s="6">
        <v>0</v>
      </c>
      <c r="BF57" s="6">
        <v>0</v>
      </c>
      <c r="BG57" s="6">
        <v>0</v>
      </c>
      <c r="BH57" s="6">
        <v>0</v>
      </c>
      <c r="BI57" s="6">
        <v>5.6200900000000003E-4</v>
      </c>
      <c r="BJ57" s="6">
        <v>0.4166387916</v>
      </c>
      <c r="BK57" s="6">
        <v>1.1002612E-3</v>
      </c>
      <c r="BL57" s="6">
        <v>0</v>
      </c>
      <c r="BM57" s="6">
        <v>0</v>
      </c>
      <c r="BN57" s="6">
        <v>0</v>
      </c>
      <c r="BO57" s="6">
        <v>0</v>
      </c>
      <c r="BP57" s="6">
        <v>0</v>
      </c>
      <c r="BQ57" s="6">
        <v>0</v>
      </c>
      <c r="BR57" s="6">
        <v>0</v>
      </c>
      <c r="BS57" s="6">
        <v>0</v>
      </c>
      <c r="BT57" s="6">
        <v>0</v>
      </c>
      <c r="BU57" s="6">
        <v>0</v>
      </c>
      <c r="BV57" s="6">
        <v>0</v>
      </c>
      <c r="BW57" s="6">
        <v>0</v>
      </c>
      <c r="BX57" s="6">
        <v>0</v>
      </c>
      <c r="BY57" s="6">
        <v>0</v>
      </c>
      <c r="BZ57" s="6">
        <v>0</v>
      </c>
      <c r="CA57" s="6">
        <v>0</v>
      </c>
      <c r="CB57" s="6">
        <v>0</v>
      </c>
      <c r="CC57" s="6">
        <v>0</v>
      </c>
      <c r="CD57" s="6">
        <v>0</v>
      </c>
      <c r="CE57" s="6">
        <v>0</v>
      </c>
      <c r="CF57" s="6">
        <v>0</v>
      </c>
      <c r="CG57" s="6">
        <v>0</v>
      </c>
      <c r="CH57" s="6">
        <v>0</v>
      </c>
      <c r="CI57" s="6">
        <v>0</v>
      </c>
      <c r="CJ57" s="6">
        <v>0</v>
      </c>
      <c r="CK57" s="6">
        <v>0</v>
      </c>
      <c r="CL57" s="6">
        <v>0</v>
      </c>
      <c r="CM57" s="6">
        <v>0</v>
      </c>
      <c r="CN57" s="6">
        <v>0.56194627289999999</v>
      </c>
      <c r="CO57" s="6"/>
      <c r="CP57" s="6"/>
      <c r="CQ57" s="6"/>
      <c r="CR57" s="6"/>
      <c r="CS57" s="6"/>
      <c r="CT57" s="6"/>
      <c r="CU57" s="6"/>
      <c r="CV57" s="6"/>
      <c r="CW57" s="6"/>
      <c r="CX57" s="6"/>
      <c r="CY57" s="6"/>
      <c r="CZ57" s="6"/>
      <c r="DA57" s="6"/>
      <c r="DB57" s="6"/>
      <c r="DC57" s="6"/>
      <c r="DD57" s="6"/>
      <c r="DE57" s="6"/>
      <c r="DF57" s="6"/>
      <c r="DG57" s="6"/>
      <c r="DH57" s="6"/>
      <c r="DI57" s="6"/>
      <c r="DJ57" s="6"/>
      <c r="DK57" s="6"/>
      <c r="DL57" s="6"/>
      <c r="DM57" s="7">
        <v>0.1817105711</v>
      </c>
      <c r="DN57" s="7">
        <f t="shared" si="0"/>
        <v>100.0000036837</v>
      </c>
      <c r="DO57" s="7"/>
      <c r="DP57" s="6">
        <v>5.6212079999999999E-4</v>
      </c>
      <c r="DQ57" s="6">
        <v>9.6501430000000003E-4</v>
      </c>
      <c r="DR57" s="6">
        <v>1.2010005E-3</v>
      </c>
      <c r="DS57" s="6">
        <v>3.7995636499999999E-2</v>
      </c>
      <c r="DT57" s="6">
        <v>0.37752506139999997</v>
      </c>
      <c r="DU57" s="6">
        <v>84.367050170900001</v>
      </c>
      <c r="DV57" s="6">
        <v>0.56205815079999999</v>
      </c>
      <c r="DW57" s="6">
        <v>1.1004802000000001E-3</v>
      </c>
      <c r="DX57" s="6">
        <v>9.9874781000000006E-3</v>
      </c>
      <c r="DY57" s="6">
        <v>9.7617483139000001</v>
      </c>
      <c r="DZ57" s="6">
        <v>0.1327156723</v>
      </c>
      <c r="EA57" s="6">
        <v>4.7279505730000002</v>
      </c>
      <c r="EB57" s="6">
        <v>1.9142150899999998E-2</v>
      </c>
      <c r="EC57" s="6"/>
      <c r="ED57" s="6"/>
      <c r="EE57" s="6"/>
      <c r="EF57" s="6"/>
      <c r="EG57" s="6"/>
      <c r="EH57" s="6"/>
    </row>
    <row r="58" spans="1:138">
      <c r="A58" s="153">
        <v>46125</v>
      </c>
      <c r="B58" s="8"/>
      <c r="C58" s="3">
        <v>6</v>
      </c>
      <c r="D58" s="154" t="s">
        <v>353</v>
      </c>
      <c r="E58" s="3">
        <v>200</v>
      </c>
      <c r="F58" s="3">
        <v>200</v>
      </c>
      <c r="G58" s="3">
        <v>23.966999999999999</v>
      </c>
      <c r="H58" s="3">
        <v>24.016200000000001</v>
      </c>
      <c r="I58" s="3">
        <v>773.625</v>
      </c>
      <c r="J58" s="3">
        <v>771.37199999999996</v>
      </c>
      <c r="K58" s="3">
        <v>0</v>
      </c>
      <c r="L58" s="3">
        <v>0</v>
      </c>
      <c r="M58" s="3">
        <v>773.13300000000004</v>
      </c>
      <c r="N58" s="3">
        <v>774.55499999999995</v>
      </c>
      <c r="O58" s="3">
        <v>0</v>
      </c>
      <c r="P58" s="3">
        <v>0</v>
      </c>
      <c r="Q58" s="3">
        <v>0.28925899999999999</v>
      </c>
      <c r="R58" s="3">
        <v>2001.57</v>
      </c>
      <c r="S58" s="3">
        <v>1999.89</v>
      </c>
      <c r="T58" s="3">
        <v>0</v>
      </c>
      <c r="U58" s="3">
        <v>0</v>
      </c>
      <c r="V58" s="3">
        <v>2000.13</v>
      </c>
      <c r="W58" s="3">
        <v>1999.49</v>
      </c>
      <c r="X58" s="3">
        <v>0</v>
      </c>
      <c r="Y58" s="3">
        <v>0</v>
      </c>
      <c r="Z58" s="3">
        <v>219.9</v>
      </c>
      <c r="AA58" s="3">
        <v>2.0019399999999998</v>
      </c>
      <c r="AB58" s="3">
        <v>1.99837</v>
      </c>
      <c r="AC58" s="3">
        <v>-5.7986999999999997E-2</v>
      </c>
      <c r="AD58" s="3">
        <v>-2.3247200000000002E-3</v>
      </c>
      <c r="AE58" s="3">
        <v>1.99935</v>
      </c>
      <c r="AF58" s="3">
        <v>2.00265</v>
      </c>
      <c r="AG58" s="3">
        <v>-9.0884099999999995E-2</v>
      </c>
      <c r="AH58" s="3">
        <v>-1.76001E-2</v>
      </c>
      <c r="AI58" s="7">
        <v>22.014832999999999</v>
      </c>
      <c r="AJ58" s="7">
        <v>59.604596000000001</v>
      </c>
      <c r="AL58" s="6">
        <v>88.136245727000002</v>
      </c>
      <c r="AM58" s="6">
        <v>83.606948852000002</v>
      </c>
      <c r="AN58" s="6">
        <v>15.800444603000001</v>
      </c>
      <c r="AO58" s="6">
        <v>31.355726241999999</v>
      </c>
      <c r="AP58" s="6">
        <v>0</v>
      </c>
      <c r="AQ58" s="6">
        <v>0</v>
      </c>
      <c r="AR58" s="6">
        <v>0.2916218042</v>
      </c>
      <c r="AS58" s="6">
        <v>0.1765037924</v>
      </c>
      <c r="AT58" s="6">
        <v>1.43120559E-2</v>
      </c>
      <c r="AU58" s="6">
        <v>74.190689086999996</v>
      </c>
      <c r="AV58" s="6">
        <v>6.2965207100000002</v>
      </c>
      <c r="AW58" s="6">
        <v>1.6239756346000001</v>
      </c>
      <c r="AX58" s="6">
        <v>0</v>
      </c>
      <c r="AY58" s="6">
        <v>0</v>
      </c>
      <c r="AZ58" s="6">
        <v>0</v>
      </c>
      <c r="BA58" s="6">
        <v>0</v>
      </c>
      <c r="BB58" s="6">
        <v>0</v>
      </c>
      <c r="BC58" s="6">
        <v>0</v>
      </c>
      <c r="BD58" s="6">
        <v>0</v>
      </c>
      <c r="BE58" s="6">
        <v>0</v>
      </c>
      <c r="BF58" s="6">
        <v>0</v>
      </c>
      <c r="BG58" s="6">
        <v>0</v>
      </c>
      <c r="BH58" s="6">
        <v>0.85702121259999997</v>
      </c>
      <c r="BI58" s="6">
        <v>0.22912019489999999</v>
      </c>
      <c r="BJ58" s="6">
        <v>10.188724518000001</v>
      </c>
      <c r="BK58" s="6">
        <v>2.4221918583000002</v>
      </c>
      <c r="BL58" s="6">
        <v>0</v>
      </c>
      <c r="BM58" s="6">
        <v>0</v>
      </c>
      <c r="BN58" s="6">
        <v>0</v>
      </c>
      <c r="BO58" s="6">
        <v>0</v>
      </c>
      <c r="BP58" s="6">
        <v>0</v>
      </c>
      <c r="BQ58" s="6">
        <v>0</v>
      </c>
      <c r="BR58" s="6">
        <v>0</v>
      </c>
      <c r="BS58" s="6">
        <v>0</v>
      </c>
      <c r="BT58" s="6">
        <v>0</v>
      </c>
      <c r="BU58" s="6">
        <v>0</v>
      </c>
      <c r="BV58" s="6">
        <v>0</v>
      </c>
      <c r="BW58" s="6">
        <v>0</v>
      </c>
      <c r="BX58" s="6">
        <v>0</v>
      </c>
      <c r="BY58" s="6">
        <v>0</v>
      </c>
      <c r="BZ58" s="6">
        <v>0</v>
      </c>
      <c r="CA58" s="6">
        <v>0</v>
      </c>
      <c r="CB58" s="6">
        <v>0</v>
      </c>
      <c r="CC58" s="6">
        <v>0</v>
      </c>
      <c r="CD58" s="6">
        <v>0</v>
      </c>
      <c r="CE58" s="6">
        <v>0</v>
      </c>
      <c r="CF58" s="6">
        <v>0</v>
      </c>
      <c r="CG58" s="6">
        <v>0</v>
      </c>
      <c r="CH58" s="6">
        <v>0</v>
      </c>
      <c r="CI58" s="6">
        <v>0</v>
      </c>
      <c r="CJ58" s="6">
        <v>0</v>
      </c>
      <c r="CK58" s="6">
        <v>0</v>
      </c>
      <c r="CL58" s="6">
        <v>0</v>
      </c>
      <c r="CM58" s="6">
        <v>0</v>
      </c>
      <c r="CN58" s="6">
        <v>0.33658412100000001</v>
      </c>
      <c r="CO58" s="6"/>
      <c r="CP58" s="6"/>
      <c r="CQ58" s="6"/>
      <c r="CR58" s="6"/>
      <c r="CS58" s="6"/>
      <c r="CT58" s="6"/>
      <c r="CU58" s="6"/>
      <c r="CV58" s="6"/>
      <c r="CW58" s="6"/>
      <c r="CX58" s="6"/>
      <c r="CY58" s="6"/>
      <c r="CZ58" s="6"/>
      <c r="DA58" s="6"/>
      <c r="DB58" s="6"/>
      <c r="DC58" s="6"/>
      <c r="DD58" s="6"/>
      <c r="DE58" s="6"/>
      <c r="DF58" s="6"/>
      <c r="DG58" s="6"/>
      <c r="DH58" s="6"/>
      <c r="DI58" s="6"/>
      <c r="DJ58" s="6"/>
      <c r="DK58" s="6"/>
      <c r="DL58" s="6"/>
      <c r="DM58" s="7">
        <v>3.3727192878999999</v>
      </c>
      <c r="DN58" s="7">
        <f t="shared" si="0"/>
        <v>99.999984276799992</v>
      </c>
      <c r="DO58" s="7"/>
      <c r="DP58" s="6">
        <v>1.73519E-3</v>
      </c>
      <c r="DQ58" s="6">
        <v>0.29175189140000002</v>
      </c>
      <c r="DR58" s="6">
        <v>0.85740357639999998</v>
      </c>
      <c r="DS58" s="6">
        <v>0.17658254500000001</v>
      </c>
      <c r="DT58" s="6">
        <v>0.2292224169</v>
      </c>
      <c r="DU58" s="6">
        <v>1.4318440999999999E-2</v>
      </c>
      <c r="DV58" s="6">
        <v>0.16812039910000001</v>
      </c>
      <c r="DW58" s="6">
        <v>0.79161423440000001</v>
      </c>
      <c r="DX58" s="6">
        <v>5.6582441330000002</v>
      </c>
      <c r="DY58" s="6">
        <v>3.5752911568000001</v>
      </c>
      <c r="DZ58" s="6">
        <v>74.223785400400004</v>
      </c>
      <c r="EA58" s="6">
        <v>1.2670625447999999</v>
      </c>
      <c r="EB58" s="6">
        <v>0.33673429490000001</v>
      </c>
      <c r="EC58" s="6">
        <v>1.2108345032000001</v>
      </c>
      <c r="ED58" s="6">
        <v>1.2124378681000001</v>
      </c>
      <c r="EE58" s="6">
        <v>6.2993297576999998</v>
      </c>
      <c r="EF58" s="6">
        <v>2.0588316917</v>
      </c>
      <c r="EG58" s="6">
        <v>1.6247001886000001</v>
      </c>
      <c r="EH58" s="6">
        <v>1.9839532000000002E-3</v>
      </c>
    </row>
    <row r="59" spans="1:138">
      <c r="A59" s="153">
        <v>46125</v>
      </c>
      <c r="B59" s="8"/>
      <c r="C59" s="3">
        <v>1</v>
      </c>
      <c r="D59" s="154" t="s">
        <v>354</v>
      </c>
      <c r="E59" s="3">
        <v>200</v>
      </c>
      <c r="F59" s="3">
        <v>200</v>
      </c>
      <c r="G59" s="3">
        <v>23.990200000000002</v>
      </c>
      <c r="H59" s="3">
        <v>24.0061</v>
      </c>
      <c r="I59" s="3">
        <v>747.60599999999999</v>
      </c>
      <c r="J59" s="3">
        <v>749.15700000000004</v>
      </c>
      <c r="K59" s="3">
        <v>0</v>
      </c>
      <c r="L59" s="3">
        <v>0</v>
      </c>
      <c r="M59" s="3">
        <v>748.39200000000005</v>
      </c>
      <c r="N59" s="3">
        <v>746.43700000000001</v>
      </c>
      <c r="O59" s="3">
        <v>0</v>
      </c>
      <c r="P59" s="3">
        <v>0</v>
      </c>
      <c r="Q59" s="3">
        <v>0.17893999999999999</v>
      </c>
      <c r="R59" s="3">
        <v>1999.18</v>
      </c>
      <c r="S59" s="3">
        <v>1999.87</v>
      </c>
      <c r="T59" s="3">
        <v>0</v>
      </c>
      <c r="U59" s="3">
        <v>0</v>
      </c>
      <c r="V59" s="3">
        <v>2000.24</v>
      </c>
      <c r="W59" s="3">
        <v>2000.07</v>
      </c>
      <c r="X59" s="3">
        <v>0</v>
      </c>
      <c r="Y59" s="3">
        <v>0</v>
      </c>
      <c r="Z59" s="3">
        <v>220</v>
      </c>
      <c r="AA59" s="3">
        <v>1.9995400000000001</v>
      </c>
      <c r="AB59" s="3">
        <v>1.9999</v>
      </c>
      <c r="AC59" s="3">
        <v>-6.6506700000000002E-2</v>
      </c>
      <c r="AD59" s="3">
        <v>-9.6391599999999999E-4</v>
      </c>
      <c r="AE59" s="3">
        <v>2.00108</v>
      </c>
      <c r="AF59" s="3">
        <v>1.99983</v>
      </c>
      <c r="AG59" s="3">
        <v>-0.12811900000000001</v>
      </c>
      <c r="AH59" s="3">
        <v>-1.6722299999999999E-2</v>
      </c>
      <c r="AI59" s="7">
        <v>24.429818999999998</v>
      </c>
      <c r="AJ59" s="7">
        <v>58.563668999999997</v>
      </c>
      <c r="AL59" s="6">
        <v>88.445663452000005</v>
      </c>
      <c r="AM59" s="6">
        <v>83.614494324000006</v>
      </c>
      <c r="AN59" s="6">
        <v>15.900496483</v>
      </c>
      <c r="AO59" s="6">
        <v>28.218334198000001</v>
      </c>
      <c r="AP59" s="6">
        <v>0</v>
      </c>
      <c r="AQ59" s="6">
        <v>0</v>
      </c>
      <c r="AR59" s="6">
        <v>0.15747231249999999</v>
      </c>
      <c r="AS59" s="6">
        <v>9.7743831599999997E-2</v>
      </c>
      <c r="AT59" s="6">
        <v>8.9439470000000007E-3</v>
      </c>
      <c r="AU59" s="6">
        <v>78.435462951999995</v>
      </c>
      <c r="AV59" s="6">
        <v>7.5342516898999996</v>
      </c>
      <c r="AW59" s="6">
        <v>2.4694566726999998</v>
      </c>
      <c r="AX59" s="6">
        <v>0</v>
      </c>
      <c r="AY59" s="6">
        <v>0</v>
      </c>
      <c r="AZ59" s="6">
        <v>0</v>
      </c>
      <c r="BA59" s="6">
        <v>0</v>
      </c>
      <c r="BB59" s="6">
        <v>0</v>
      </c>
      <c r="BC59" s="6">
        <v>0</v>
      </c>
      <c r="BD59" s="6">
        <v>0</v>
      </c>
      <c r="BE59" s="6">
        <v>0</v>
      </c>
      <c r="BF59" s="6">
        <v>0</v>
      </c>
      <c r="BG59" s="6">
        <v>0</v>
      </c>
      <c r="BH59" s="6">
        <v>0.477433145</v>
      </c>
      <c r="BI59" s="6">
        <v>0.12840647999999999</v>
      </c>
      <c r="BJ59" s="6">
        <v>6.0179080963000002</v>
      </c>
      <c r="BK59" s="6">
        <v>1.6180027722999999</v>
      </c>
      <c r="BL59" s="35">
        <v>0</v>
      </c>
      <c r="BM59" s="6">
        <v>0</v>
      </c>
      <c r="BN59" s="6">
        <v>0</v>
      </c>
      <c r="BO59" s="6">
        <v>0</v>
      </c>
      <c r="BP59" s="6">
        <v>0</v>
      </c>
      <c r="BQ59" s="6">
        <v>0</v>
      </c>
      <c r="BR59" s="6">
        <v>0</v>
      </c>
      <c r="BS59" s="6">
        <v>0</v>
      </c>
      <c r="BT59" s="6">
        <v>0</v>
      </c>
      <c r="BU59" s="6">
        <v>0</v>
      </c>
      <c r="BV59" s="6">
        <v>0</v>
      </c>
      <c r="BW59" s="6">
        <v>0</v>
      </c>
      <c r="BX59" s="6">
        <v>0</v>
      </c>
      <c r="BY59" s="6">
        <v>0</v>
      </c>
      <c r="BZ59" s="6">
        <v>0</v>
      </c>
      <c r="CA59" s="6">
        <v>0</v>
      </c>
      <c r="CB59" s="6">
        <v>0</v>
      </c>
      <c r="CC59" s="6">
        <v>0</v>
      </c>
      <c r="CD59" s="6">
        <v>0</v>
      </c>
      <c r="CE59" s="6">
        <v>0</v>
      </c>
      <c r="CF59" s="6">
        <v>0</v>
      </c>
      <c r="CG59" s="6">
        <v>0</v>
      </c>
      <c r="CH59" s="6">
        <v>0</v>
      </c>
      <c r="CI59" s="6">
        <v>0</v>
      </c>
      <c r="CJ59" s="6">
        <v>0</v>
      </c>
      <c r="CK59" s="6">
        <v>0</v>
      </c>
      <c r="CL59" s="6">
        <v>0</v>
      </c>
      <c r="CM59" s="6">
        <v>0</v>
      </c>
      <c r="CN59" s="6">
        <v>0.37606278059999998</v>
      </c>
      <c r="CO59" s="6"/>
      <c r="CP59" s="6"/>
      <c r="CQ59" s="6"/>
      <c r="DM59" s="7">
        <v>2.6788749694999998</v>
      </c>
      <c r="DN59" s="7">
        <f t="shared" si="0"/>
        <v>100.0000196494</v>
      </c>
      <c r="DO59" s="7"/>
      <c r="DP59" s="6">
        <v>1.1973503999999999E-3</v>
      </c>
      <c r="DQ59" s="6">
        <v>0.15758542719999999</v>
      </c>
      <c r="DR59" s="6">
        <v>0.47777611019999999</v>
      </c>
      <c r="DS59" s="6">
        <v>9.7814038399999997E-2</v>
      </c>
      <c r="DT59" s="6">
        <v>0.12849871809999999</v>
      </c>
      <c r="DU59" s="6">
        <v>8.9503722000000008E-3</v>
      </c>
      <c r="DV59" s="6">
        <v>9.2701263699999994E-2</v>
      </c>
      <c r="DW59" s="6">
        <v>0.4258244336</v>
      </c>
      <c r="DX59" s="6">
        <v>3.3116846084999998</v>
      </c>
      <c r="DY59" s="6">
        <v>2.1920204163000001</v>
      </c>
      <c r="DZ59" s="6">
        <v>78.491806030299998</v>
      </c>
      <c r="EA59" s="6">
        <v>0.8854061365</v>
      </c>
      <c r="EB59" s="6">
        <v>0.37633293870000001</v>
      </c>
      <c r="EC59" s="6">
        <v>0.839815855</v>
      </c>
      <c r="ED59" s="6">
        <v>0.77934914830000002</v>
      </c>
      <c r="EE59" s="6">
        <v>7.5396637916999998</v>
      </c>
      <c r="EF59" s="6">
        <v>1.7212338448</v>
      </c>
      <c r="EG59" s="6">
        <v>2.4712305069</v>
      </c>
      <c r="EH59" s="6">
        <v>1.0973571E-3</v>
      </c>
    </row>
    <row r="60" spans="1:138">
      <c r="A60" s="153">
        <v>46125</v>
      </c>
      <c r="B60" s="8"/>
      <c r="C60" s="3">
        <v>2</v>
      </c>
      <c r="D60" s="154" t="s">
        <v>355</v>
      </c>
      <c r="E60" s="3">
        <v>200</v>
      </c>
      <c r="F60" s="3">
        <v>200</v>
      </c>
      <c r="G60" s="3">
        <v>24.016200000000001</v>
      </c>
      <c r="H60" s="3">
        <v>24.0046</v>
      </c>
      <c r="I60" s="3">
        <v>816.89099999999996</v>
      </c>
      <c r="J60" s="3">
        <v>810.01599999999996</v>
      </c>
      <c r="K60" s="3">
        <v>0</v>
      </c>
      <c r="L60" s="3">
        <v>0</v>
      </c>
      <c r="M60" s="3">
        <v>813.68299999999999</v>
      </c>
      <c r="N60" s="3">
        <v>817.495</v>
      </c>
      <c r="O60" s="3">
        <v>0</v>
      </c>
      <c r="P60" s="3">
        <v>0</v>
      </c>
      <c r="Q60" s="3">
        <v>0.41355999999999998</v>
      </c>
      <c r="R60" s="3">
        <v>1999.52</v>
      </c>
      <c r="S60" s="3">
        <v>1999.71</v>
      </c>
      <c r="T60" s="3">
        <v>0</v>
      </c>
      <c r="U60" s="3">
        <v>0</v>
      </c>
      <c r="V60" s="3">
        <v>1999.83</v>
      </c>
      <c r="W60" s="3">
        <v>2000.74</v>
      </c>
      <c r="X60" s="3">
        <v>0</v>
      </c>
      <c r="Y60" s="3">
        <v>0</v>
      </c>
      <c r="Z60" s="3">
        <v>220</v>
      </c>
      <c r="AA60" s="3">
        <v>1.9981199999999999</v>
      </c>
      <c r="AB60" s="3">
        <v>1.99919</v>
      </c>
      <c r="AC60" s="3">
        <v>-5.6952299999999997E-2</v>
      </c>
      <c r="AD60" s="3">
        <v>-2.8903100000000001E-3</v>
      </c>
      <c r="AE60" s="3">
        <v>2.0024299999999999</v>
      </c>
      <c r="AF60" s="3">
        <v>2.00109</v>
      </c>
      <c r="AG60" s="3">
        <v>-7.7981499999999995E-2</v>
      </c>
      <c r="AH60" s="3">
        <v>-1.83918E-2</v>
      </c>
      <c r="AI60" s="7">
        <v>22.251411000000001</v>
      </c>
      <c r="AJ60" s="7">
        <v>59.702945</v>
      </c>
      <c r="AL60" s="6">
        <v>88.371704101999995</v>
      </c>
      <c r="AM60" s="6">
        <v>83.612144470000004</v>
      </c>
      <c r="AN60" s="6">
        <v>15.940168380999999</v>
      </c>
      <c r="AO60" s="6">
        <v>28.006925583000001</v>
      </c>
      <c r="AP60" s="6">
        <v>0</v>
      </c>
      <c r="AQ60" s="6">
        <v>0</v>
      </c>
      <c r="AR60" s="6">
        <v>0.16795478759999999</v>
      </c>
      <c r="AS60" s="6">
        <v>9.9637851099999994E-2</v>
      </c>
      <c r="AT60" s="6">
        <v>9.5760933999999992E-3</v>
      </c>
      <c r="AU60" s="6">
        <v>78.839889525999993</v>
      </c>
      <c r="AV60" s="6">
        <v>7.7237792015000002</v>
      </c>
      <c r="AW60" s="6">
        <v>2.6484625340000001</v>
      </c>
      <c r="AX60" s="6">
        <v>0</v>
      </c>
      <c r="AY60" s="6">
        <v>0</v>
      </c>
      <c r="AZ60" s="6">
        <v>0</v>
      </c>
      <c r="BA60" s="6">
        <v>0</v>
      </c>
      <c r="BB60" s="6">
        <v>0</v>
      </c>
      <c r="BC60" s="6">
        <v>0</v>
      </c>
      <c r="BD60" s="6">
        <v>0</v>
      </c>
      <c r="BE60" s="6">
        <v>0</v>
      </c>
      <c r="BF60" s="6">
        <v>0</v>
      </c>
      <c r="BG60" s="6">
        <v>0</v>
      </c>
      <c r="BH60" s="6">
        <v>0.50492757560000001</v>
      </c>
      <c r="BI60" s="6">
        <v>0.13142174479999999</v>
      </c>
      <c r="BJ60" s="6">
        <v>5.6478109359999999</v>
      </c>
      <c r="BK60" s="6">
        <v>1.4397064447000001</v>
      </c>
      <c r="BL60" s="35">
        <v>0</v>
      </c>
      <c r="BM60" s="6">
        <v>0</v>
      </c>
      <c r="BN60" s="6">
        <v>0</v>
      </c>
      <c r="BO60" s="6">
        <v>0</v>
      </c>
      <c r="BP60" s="6">
        <v>0</v>
      </c>
      <c r="BQ60" s="6">
        <v>0</v>
      </c>
      <c r="BR60" s="6">
        <v>0</v>
      </c>
      <c r="BS60" s="6">
        <v>0</v>
      </c>
      <c r="BT60" s="6">
        <v>0</v>
      </c>
      <c r="BU60" s="6">
        <v>0</v>
      </c>
      <c r="BV60" s="6">
        <v>0</v>
      </c>
      <c r="BW60" s="6">
        <v>0</v>
      </c>
      <c r="BX60" s="6">
        <v>0</v>
      </c>
      <c r="BY60" s="6">
        <v>0</v>
      </c>
      <c r="BZ60" s="6">
        <v>0</v>
      </c>
      <c r="CA60" s="6">
        <v>0</v>
      </c>
      <c r="CB60" s="6">
        <v>0</v>
      </c>
      <c r="CC60" s="6">
        <v>0</v>
      </c>
      <c r="CD60" s="6">
        <v>0</v>
      </c>
      <c r="CE60" s="6">
        <v>0</v>
      </c>
      <c r="CF60" s="6">
        <v>0</v>
      </c>
      <c r="CG60" s="6">
        <v>0</v>
      </c>
      <c r="CH60" s="6">
        <v>0</v>
      </c>
      <c r="CI60" s="6">
        <v>0</v>
      </c>
      <c r="CJ60" s="6">
        <v>0</v>
      </c>
      <c r="CK60" s="6">
        <v>0</v>
      </c>
      <c r="CL60" s="6">
        <v>0</v>
      </c>
      <c r="CM60" s="6">
        <v>0</v>
      </c>
      <c r="CN60" s="6">
        <v>0.3495282233</v>
      </c>
      <c r="CO60" s="6"/>
      <c r="CP60" s="6"/>
      <c r="CQ60" s="6"/>
      <c r="DM60" s="7">
        <v>2.4373078345999999</v>
      </c>
      <c r="DN60" s="7">
        <f t="shared" si="0"/>
        <v>100.00000275259997</v>
      </c>
      <c r="DO60" s="7"/>
      <c r="DP60" s="6">
        <v>1.1140485E-3</v>
      </c>
      <c r="DQ60" s="6">
        <v>0.1680305302</v>
      </c>
      <c r="DR60" s="6">
        <v>0.50515532490000004</v>
      </c>
      <c r="DS60" s="6">
        <v>9.9682793000000006E-2</v>
      </c>
      <c r="DT60" s="6">
        <v>0.1314810216</v>
      </c>
      <c r="DU60" s="6">
        <v>9.5804128999999998E-3</v>
      </c>
      <c r="DV60" s="6">
        <v>9.7580105099999995E-2</v>
      </c>
      <c r="DW60" s="6">
        <v>0.43573081489999999</v>
      </c>
      <c r="DX60" s="6">
        <v>3.0926599502999998</v>
      </c>
      <c r="DY60" s="6">
        <v>2.0243875980000001</v>
      </c>
      <c r="DZ60" s="6">
        <v>78.875450134299996</v>
      </c>
      <c r="EA60" s="6">
        <v>0.87271809580000004</v>
      </c>
      <c r="EB60" s="6">
        <v>0.34968587759999997</v>
      </c>
      <c r="EC60" s="6">
        <v>0.75477331879999998</v>
      </c>
      <c r="ED60" s="6">
        <v>0.68558251859999997</v>
      </c>
      <c r="EE60" s="6">
        <v>7.7272629738000003</v>
      </c>
      <c r="EF60" s="6">
        <v>1.5175942183</v>
      </c>
      <c r="EG60" s="6">
        <v>2.6496572495000001</v>
      </c>
      <c r="EH60" s="6">
        <v>1.8425506000000001E-3</v>
      </c>
    </row>
    <row r="61" spans="1:138">
      <c r="A61" s="153">
        <v>46125</v>
      </c>
      <c r="B61" s="8"/>
      <c r="C61" s="3">
        <v>5</v>
      </c>
      <c r="D61" s="154" t="s">
        <v>356</v>
      </c>
      <c r="E61" s="3">
        <v>200</v>
      </c>
      <c r="F61" s="3">
        <v>200</v>
      </c>
      <c r="G61" s="3">
        <v>24.010400000000001</v>
      </c>
      <c r="H61" s="3">
        <v>24.0046</v>
      </c>
      <c r="I61" s="3">
        <v>765.61599999999999</v>
      </c>
      <c r="J61" s="3">
        <v>759.42</v>
      </c>
      <c r="K61" s="3">
        <v>0</v>
      </c>
      <c r="L61" s="3">
        <v>0</v>
      </c>
      <c r="M61" s="3">
        <v>762.72299999999996</v>
      </c>
      <c r="N61" s="3">
        <v>769.12400000000002</v>
      </c>
      <c r="O61" s="3">
        <v>0</v>
      </c>
      <c r="P61" s="3">
        <v>0</v>
      </c>
      <c r="Q61" s="3">
        <v>0.26404300000000003</v>
      </c>
      <c r="R61" s="3">
        <v>2001.01</v>
      </c>
      <c r="S61" s="3">
        <v>2000.08</v>
      </c>
      <c r="T61" s="3">
        <v>0</v>
      </c>
      <c r="U61" s="3">
        <v>0</v>
      </c>
      <c r="V61" s="3">
        <v>1999.56</v>
      </c>
      <c r="W61" s="3">
        <v>2000.39</v>
      </c>
      <c r="X61" s="3">
        <v>0</v>
      </c>
      <c r="Y61" s="3">
        <v>0</v>
      </c>
      <c r="Z61" s="3">
        <v>220</v>
      </c>
      <c r="AA61" s="3">
        <v>2.0005600000000001</v>
      </c>
      <c r="AB61" s="3">
        <v>1.99902</v>
      </c>
      <c r="AC61" s="3">
        <v>-5.8865800000000003E-2</v>
      </c>
      <c r="AD61" s="3">
        <v>-1.8797099999999999E-3</v>
      </c>
      <c r="AE61" s="3">
        <v>1.9987699999999999</v>
      </c>
      <c r="AF61" s="3">
        <v>1.9894400000000001</v>
      </c>
      <c r="AG61" s="3">
        <v>-8.8308499999999998E-2</v>
      </c>
      <c r="AH61" s="3">
        <v>-4.0602399999999997E-2</v>
      </c>
      <c r="AI61" s="7">
        <v>23.473344999999998</v>
      </c>
      <c r="AJ61" s="7">
        <v>58.288652999999996</v>
      </c>
      <c r="AL61" s="6">
        <v>88.476852417000003</v>
      </c>
      <c r="AM61" s="6">
        <v>83.613227843999994</v>
      </c>
      <c r="AN61" s="6">
        <v>16.283212662</v>
      </c>
      <c r="AO61" s="6">
        <v>24.037656783999999</v>
      </c>
      <c r="AP61" s="6">
        <v>0</v>
      </c>
      <c r="AQ61" s="6">
        <v>0</v>
      </c>
      <c r="AR61" s="6">
        <v>0</v>
      </c>
      <c r="AS61" s="6">
        <v>0</v>
      </c>
      <c r="AT61" s="6">
        <v>1.1627959E-3</v>
      </c>
      <c r="AU61" s="280">
        <v>84.296562195000007</v>
      </c>
      <c r="AV61" s="280">
        <v>9.7828969954999998</v>
      </c>
      <c r="AW61" s="280">
        <v>4.7447600364999998</v>
      </c>
      <c r="AX61" s="6">
        <v>0</v>
      </c>
      <c r="AY61" s="6">
        <v>0</v>
      </c>
      <c r="AZ61" s="6">
        <v>0</v>
      </c>
      <c r="BA61" s="6">
        <v>0</v>
      </c>
      <c r="BB61" s="6">
        <v>0</v>
      </c>
      <c r="BC61" s="6">
        <v>0</v>
      </c>
      <c r="BD61" s="6">
        <v>0</v>
      </c>
      <c r="BE61" s="6">
        <v>0</v>
      </c>
      <c r="BF61" s="6">
        <v>0</v>
      </c>
      <c r="BG61" s="6">
        <v>0</v>
      </c>
      <c r="BH61" s="6">
        <v>0</v>
      </c>
      <c r="BI61" s="6">
        <v>8.4165659999999997E-4</v>
      </c>
      <c r="BJ61" s="6">
        <v>0.41582638030000002</v>
      </c>
      <c r="BK61" s="6">
        <v>0</v>
      </c>
      <c r="BL61" s="6">
        <v>0</v>
      </c>
      <c r="BM61" s="6">
        <v>0</v>
      </c>
      <c r="BN61" s="6">
        <v>0</v>
      </c>
      <c r="BO61" s="6">
        <v>0</v>
      </c>
      <c r="BP61" s="6">
        <v>0</v>
      </c>
      <c r="BQ61" s="6">
        <v>0</v>
      </c>
      <c r="BR61" s="6">
        <v>0</v>
      </c>
      <c r="BS61" s="6">
        <v>0</v>
      </c>
      <c r="BT61" s="6">
        <v>0</v>
      </c>
      <c r="BU61" s="6">
        <v>0</v>
      </c>
      <c r="BV61" s="6">
        <v>0</v>
      </c>
      <c r="BW61" s="6">
        <v>0</v>
      </c>
      <c r="BX61" s="6">
        <v>0</v>
      </c>
      <c r="BY61" s="6">
        <v>0</v>
      </c>
      <c r="BZ61" s="6">
        <v>0</v>
      </c>
      <c r="CA61" s="6">
        <v>0</v>
      </c>
      <c r="CB61" s="6">
        <v>0</v>
      </c>
      <c r="CC61" s="6">
        <v>0</v>
      </c>
      <c r="CD61" s="6">
        <v>0</v>
      </c>
      <c r="CE61" s="6">
        <v>0</v>
      </c>
      <c r="CF61" s="6">
        <v>0</v>
      </c>
      <c r="CG61" s="6">
        <v>0</v>
      </c>
      <c r="CH61" s="6">
        <v>0</v>
      </c>
      <c r="CI61" s="35">
        <v>0</v>
      </c>
      <c r="CJ61" s="6">
        <v>0</v>
      </c>
      <c r="CK61" s="6">
        <v>0</v>
      </c>
      <c r="CL61" s="6">
        <v>0</v>
      </c>
      <c r="CM61" s="6">
        <v>0</v>
      </c>
      <c r="CN61" s="6">
        <v>0.57531821729999999</v>
      </c>
      <c r="CO61" s="6"/>
      <c r="DM61" s="7">
        <v>0.18265338240000001</v>
      </c>
      <c r="DN61" s="7">
        <f t="shared" si="0"/>
        <v>100.00002165950001</v>
      </c>
      <c r="DO61" s="7"/>
      <c r="DP61" s="6">
        <v>8.4182530000000003E-4</v>
      </c>
      <c r="DQ61" s="6">
        <v>1.1630290000000001E-3</v>
      </c>
      <c r="DR61" s="6">
        <v>1.2057750000000001E-3</v>
      </c>
      <c r="DS61" s="6">
        <v>3.7954121799999997E-2</v>
      </c>
      <c r="DT61" s="6">
        <v>0.37674984340000001</v>
      </c>
      <c r="DU61" s="6">
        <v>84.313453674300007</v>
      </c>
      <c r="DV61" s="6">
        <v>0.57543355230000004</v>
      </c>
      <c r="DW61" s="6">
        <v>9.7372829999999994E-3</v>
      </c>
      <c r="DX61" s="6">
        <v>9.7848577499000005</v>
      </c>
      <c r="DY61" s="6">
        <v>0.1331404299</v>
      </c>
      <c r="DZ61" s="6">
        <v>4.7457108498</v>
      </c>
      <c r="EA61" s="6">
        <v>1.9716890500000001E-2</v>
      </c>
      <c r="EB61" s="6"/>
      <c r="EC61" s="6"/>
      <c r="ED61" s="6"/>
      <c r="EE61" s="6"/>
      <c r="EF61" s="6"/>
      <c r="EG61" s="6"/>
      <c r="EH61" s="6"/>
    </row>
    <row r="62" spans="1:138">
      <c r="A62" s="153">
        <v>46125</v>
      </c>
      <c r="B62" s="8"/>
      <c r="C62" s="3">
        <v>6</v>
      </c>
      <c r="D62" s="154" t="s">
        <v>357</v>
      </c>
      <c r="E62" s="3">
        <v>206.3</v>
      </c>
      <c r="F62" s="3">
        <v>206.5</v>
      </c>
      <c r="G62" s="3">
        <v>23.995999999999999</v>
      </c>
      <c r="H62" s="3">
        <v>24.019100000000002</v>
      </c>
      <c r="I62" s="3">
        <v>773.96199999999999</v>
      </c>
      <c r="J62" s="3">
        <v>770.952</v>
      </c>
      <c r="K62" s="3">
        <v>0</v>
      </c>
      <c r="L62" s="3">
        <v>0</v>
      </c>
      <c r="M62" s="3">
        <v>772.96500000000003</v>
      </c>
      <c r="N62" s="3">
        <v>777.16300000000001</v>
      </c>
      <c r="O62" s="3">
        <v>0</v>
      </c>
      <c r="P62" s="3">
        <v>0</v>
      </c>
      <c r="Q62" s="3">
        <v>0.117849</v>
      </c>
      <c r="R62" s="3">
        <v>2000.37</v>
      </c>
      <c r="S62" s="3">
        <v>2000.56</v>
      </c>
      <c r="T62" s="3">
        <v>0</v>
      </c>
      <c r="U62" s="3">
        <v>0</v>
      </c>
      <c r="V62" s="3">
        <v>2000.08</v>
      </c>
      <c r="W62" s="3">
        <v>2000.1</v>
      </c>
      <c r="X62" s="3">
        <v>0</v>
      </c>
      <c r="Y62" s="3">
        <v>0</v>
      </c>
      <c r="Z62" s="3">
        <v>220</v>
      </c>
      <c r="AA62" s="3">
        <v>2.0021499999999999</v>
      </c>
      <c r="AB62" s="3">
        <v>1.9997199999999999</v>
      </c>
      <c r="AC62" s="3">
        <v>-6.5804299999999996E-2</v>
      </c>
      <c r="AD62" s="3">
        <v>-1.06106E-3</v>
      </c>
      <c r="AE62" s="3">
        <v>1.99688</v>
      </c>
      <c r="AF62" s="3">
        <v>1.9990399999999999</v>
      </c>
      <c r="AG62" s="3">
        <v>-6.8037200000000006E-2</v>
      </c>
      <c r="AH62" s="3">
        <v>-5.1042200000000003E-2</v>
      </c>
      <c r="AI62" s="7">
        <v>22.479934</v>
      </c>
      <c r="AJ62" s="7">
        <v>59.023935999999999</v>
      </c>
      <c r="AL62" s="6">
        <v>88.136177063000005</v>
      </c>
      <c r="AM62" s="6">
        <v>83.607017517000003</v>
      </c>
      <c r="AN62" s="6">
        <v>15.801973343</v>
      </c>
      <c r="AO62" s="6">
        <v>31.237588882000001</v>
      </c>
      <c r="AP62" s="6">
        <v>0</v>
      </c>
      <c r="AQ62" s="6">
        <v>0</v>
      </c>
      <c r="AR62" s="6">
        <v>0.29458907249999999</v>
      </c>
      <c r="AS62" s="6">
        <v>0.17596796149999999</v>
      </c>
      <c r="AT62" s="6">
        <v>1.47980349E-2</v>
      </c>
      <c r="AU62" s="6">
        <v>74.364883422999995</v>
      </c>
      <c r="AV62" s="6">
        <v>6.3468003273000004</v>
      </c>
      <c r="AW62" s="6">
        <v>1.6620421409999999</v>
      </c>
      <c r="AX62" s="6">
        <v>0</v>
      </c>
      <c r="AY62" s="6">
        <v>0</v>
      </c>
      <c r="AZ62" s="6">
        <v>0</v>
      </c>
      <c r="BA62" s="6">
        <v>0</v>
      </c>
      <c r="BB62" s="6">
        <v>0</v>
      </c>
      <c r="BC62" s="6">
        <v>0</v>
      </c>
      <c r="BD62" s="6">
        <v>0</v>
      </c>
      <c r="BE62" s="6">
        <v>0</v>
      </c>
      <c r="BF62" s="6">
        <v>0</v>
      </c>
      <c r="BG62" s="6">
        <v>0</v>
      </c>
      <c r="BH62" s="6">
        <v>0.85892683270000003</v>
      </c>
      <c r="BI62" s="6">
        <v>0.2287522703</v>
      </c>
      <c r="BJ62" s="6">
        <v>9.9753303528000004</v>
      </c>
      <c r="BK62" s="6">
        <v>2.3672757148999999</v>
      </c>
      <c r="BL62" s="35">
        <v>0</v>
      </c>
      <c r="BM62" s="6">
        <v>0</v>
      </c>
      <c r="BN62" s="6">
        <v>0</v>
      </c>
      <c r="BO62" s="6">
        <v>0</v>
      </c>
      <c r="BP62" s="6">
        <v>0</v>
      </c>
      <c r="BQ62" s="6">
        <v>0</v>
      </c>
      <c r="BR62" s="6">
        <v>0</v>
      </c>
      <c r="BS62" s="6">
        <v>0</v>
      </c>
      <c r="BT62" s="6">
        <v>0</v>
      </c>
      <c r="BU62" s="6">
        <v>0</v>
      </c>
      <c r="BV62" s="6">
        <v>0</v>
      </c>
      <c r="BW62" s="6">
        <v>0</v>
      </c>
      <c r="BX62" s="6">
        <v>0</v>
      </c>
      <c r="BY62" s="6">
        <v>0</v>
      </c>
      <c r="BZ62" s="6">
        <v>0</v>
      </c>
      <c r="CA62" s="6">
        <v>0</v>
      </c>
      <c r="CB62" s="6">
        <v>0</v>
      </c>
      <c r="CC62" s="6">
        <v>0</v>
      </c>
      <c r="CD62" s="6">
        <v>0</v>
      </c>
      <c r="CE62" s="6">
        <v>0</v>
      </c>
      <c r="CF62" s="6">
        <v>0</v>
      </c>
      <c r="CG62" s="6">
        <v>0</v>
      </c>
      <c r="CH62" s="6">
        <v>0</v>
      </c>
      <c r="CI62" s="35">
        <v>0</v>
      </c>
      <c r="CJ62" s="6">
        <v>0</v>
      </c>
      <c r="CK62" s="6">
        <v>0</v>
      </c>
      <c r="CL62" s="6">
        <v>0</v>
      </c>
      <c r="CM62" s="6">
        <v>0</v>
      </c>
      <c r="CN62" s="6">
        <v>0.34944200520000002</v>
      </c>
      <c r="CO62" s="6"/>
      <c r="CP62" s="32"/>
      <c r="DM62" s="7">
        <v>3.3611934185000001</v>
      </c>
      <c r="DN62" s="7">
        <f t="shared" si="0"/>
        <v>100.00000155460002</v>
      </c>
      <c r="DO62" s="7"/>
      <c r="DP62" s="6">
        <v>1.6387552000000001E-3</v>
      </c>
      <c r="DQ62" s="6">
        <v>0.29468592999999998</v>
      </c>
      <c r="DR62" s="6">
        <v>0.85920917990000001</v>
      </c>
      <c r="DS62" s="6">
        <v>0.1760258079</v>
      </c>
      <c r="DT62" s="6">
        <v>0.22882747649999999</v>
      </c>
      <c r="DU62" s="6">
        <v>1.4802899200000001E-2</v>
      </c>
      <c r="DV62" s="6">
        <v>0.16675575079999999</v>
      </c>
      <c r="DW62" s="6">
        <v>0.78104019170000005</v>
      </c>
      <c r="DX62" s="6">
        <v>5.5351257324000001</v>
      </c>
      <c r="DY62" s="6">
        <v>3.4956879615999998</v>
      </c>
      <c r="DZ62" s="6">
        <v>74.389335632300003</v>
      </c>
      <c r="EA62" s="6">
        <v>1.3011875153000001</v>
      </c>
      <c r="EB62" s="6">
        <v>0.34955689309999999</v>
      </c>
      <c r="EC62" s="6">
        <v>1.1838649510999999</v>
      </c>
      <c r="ED62" s="6">
        <v>1.1841890812</v>
      </c>
      <c r="EE62" s="6">
        <v>6.3488869667000003</v>
      </c>
      <c r="EF62" s="6">
        <v>2.0252318381999999</v>
      </c>
      <c r="EG62" s="6">
        <v>1.6625884770999999</v>
      </c>
      <c r="EH62" s="6">
        <v>1.3712189000000001E-3</v>
      </c>
    </row>
    <row r="63" spans="1:138">
      <c r="A63" s="153">
        <v>46125</v>
      </c>
      <c r="B63" s="8"/>
      <c r="C63" s="3">
        <v>1</v>
      </c>
      <c r="D63" s="154" t="s">
        <v>358</v>
      </c>
      <c r="E63" s="3">
        <v>210</v>
      </c>
      <c r="F63" s="3">
        <v>210</v>
      </c>
      <c r="G63" s="3">
        <v>23.994499999999999</v>
      </c>
      <c r="H63" s="3">
        <v>24.0046</v>
      </c>
      <c r="I63" s="3">
        <v>710.63800000000003</v>
      </c>
      <c r="J63" s="3">
        <v>717.51800000000003</v>
      </c>
      <c r="K63" s="3">
        <v>0</v>
      </c>
      <c r="L63" s="3">
        <v>0</v>
      </c>
      <c r="M63" s="3">
        <v>713.43100000000004</v>
      </c>
      <c r="N63" s="3">
        <v>706.84500000000003</v>
      </c>
      <c r="O63" s="3">
        <v>0</v>
      </c>
      <c r="P63" s="3">
        <v>0</v>
      </c>
      <c r="Q63" s="3">
        <v>0.403671</v>
      </c>
      <c r="R63" s="3">
        <v>2000.08</v>
      </c>
      <c r="S63" s="3">
        <v>2000.09</v>
      </c>
      <c r="T63" s="3">
        <v>0</v>
      </c>
      <c r="U63" s="3">
        <v>0</v>
      </c>
      <c r="V63" s="3">
        <v>2000.24</v>
      </c>
      <c r="W63" s="3">
        <v>2000.09</v>
      </c>
      <c r="X63" s="3">
        <v>0</v>
      </c>
      <c r="Y63" s="3">
        <v>0</v>
      </c>
      <c r="Z63" s="3">
        <v>220</v>
      </c>
      <c r="AA63" s="3">
        <v>2.0016699999999998</v>
      </c>
      <c r="AB63" s="3">
        <v>1.99875</v>
      </c>
      <c r="AC63" s="3">
        <v>-7.0671200000000003E-2</v>
      </c>
      <c r="AD63" s="3">
        <v>2.07676E-3</v>
      </c>
      <c r="AE63" s="3">
        <v>1.9983599999999999</v>
      </c>
      <c r="AF63" s="3">
        <v>1.9978899999999999</v>
      </c>
      <c r="AG63" s="3">
        <v>-6.5029100000000006E-2</v>
      </c>
      <c r="AH63" s="3">
        <v>-2.94858E-2</v>
      </c>
      <c r="AI63" s="7">
        <v>24.346962999999999</v>
      </c>
      <c r="AJ63" s="7">
        <v>58.223308000000003</v>
      </c>
      <c r="AL63" s="6">
        <v>87.728034973000007</v>
      </c>
      <c r="AM63" s="6">
        <v>83.596572875999996</v>
      </c>
      <c r="AN63" s="6">
        <v>15.784399033</v>
      </c>
      <c r="AO63" s="6">
        <v>33.476737976000003</v>
      </c>
      <c r="AP63" s="6">
        <v>0</v>
      </c>
      <c r="AQ63" s="6">
        <v>0</v>
      </c>
      <c r="AR63" s="6">
        <v>0.4459373653</v>
      </c>
      <c r="AS63" s="6">
        <v>0.24992054699999999</v>
      </c>
      <c r="AT63" s="6">
        <v>2.49211285E-2</v>
      </c>
      <c r="AU63" s="6">
        <v>71.669593810999999</v>
      </c>
      <c r="AV63" s="6">
        <v>5.5915026665000003</v>
      </c>
      <c r="AW63" s="6">
        <v>1.2406924962999999</v>
      </c>
      <c r="AX63" s="6">
        <v>0</v>
      </c>
      <c r="AY63" s="6">
        <v>0</v>
      </c>
      <c r="AZ63" s="6">
        <v>0</v>
      </c>
      <c r="BA63" s="6">
        <v>0</v>
      </c>
      <c r="BB63" s="6">
        <v>0</v>
      </c>
      <c r="BC63" s="6">
        <v>0</v>
      </c>
      <c r="BD63" s="6">
        <v>0</v>
      </c>
      <c r="BE63" s="6">
        <v>0</v>
      </c>
      <c r="BF63" s="6">
        <v>0</v>
      </c>
      <c r="BG63" s="6">
        <v>0</v>
      </c>
      <c r="BH63" s="6">
        <v>1.2130473852000001</v>
      </c>
      <c r="BI63" s="6">
        <v>0.31560632589999998</v>
      </c>
      <c r="BJ63" s="6">
        <v>12.653017997999999</v>
      </c>
      <c r="BK63" s="6">
        <v>2.7245731354</v>
      </c>
      <c r="BL63" s="6">
        <v>0</v>
      </c>
      <c r="BM63" s="6">
        <v>0</v>
      </c>
      <c r="BN63" s="6">
        <v>0</v>
      </c>
      <c r="BO63" s="6">
        <v>0</v>
      </c>
      <c r="BP63" s="6">
        <v>0</v>
      </c>
      <c r="BQ63" s="6">
        <v>0</v>
      </c>
      <c r="BR63" s="6">
        <v>0</v>
      </c>
      <c r="BS63" s="6">
        <v>0</v>
      </c>
      <c r="BT63" s="6">
        <v>0</v>
      </c>
      <c r="BU63" s="6">
        <v>0</v>
      </c>
      <c r="BV63" s="6">
        <v>0</v>
      </c>
      <c r="BW63" s="6">
        <v>0</v>
      </c>
      <c r="BX63" s="6">
        <v>0</v>
      </c>
      <c r="BY63" s="6">
        <v>0</v>
      </c>
      <c r="BZ63" s="6">
        <v>0</v>
      </c>
      <c r="CA63" s="6">
        <v>0</v>
      </c>
      <c r="CB63" s="6">
        <v>0</v>
      </c>
      <c r="CC63" s="6">
        <v>0</v>
      </c>
      <c r="CD63" s="6">
        <v>0</v>
      </c>
      <c r="CE63" s="6">
        <v>0</v>
      </c>
      <c r="CF63" s="6">
        <v>0</v>
      </c>
      <c r="CG63" s="6">
        <v>0</v>
      </c>
      <c r="CH63" s="6">
        <v>0</v>
      </c>
      <c r="CI63" s="6">
        <v>0</v>
      </c>
      <c r="CJ63" s="6">
        <v>0</v>
      </c>
      <c r="CK63" s="6">
        <v>0</v>
      </c>
      <c r="CL63" s="6">
        <v>0</v>
      </c>
      <c r="CM63" s="6">
        <v>0</v>
      </c>
      <c r="CN63" s="6">
        <v>0.33633959289999998</v>
      </c>
      <c r="CO63" s="6"/>
      <c r="CP63" s="6"/>
      <c r="CQ63" s="6"/>
      <c r="CR63" s="6"/>
      <c r="CS63" s="6"/>
      <c r="CT63" s="6"/>
      <c r="CU63" s="6"/>
      <c r="CV63" s="6"/>
      <c r="CW63" s="6"/>
      <c r="CX63" s="6"/>
      <c r="CY63" s="6"/>
      <c r="CZ63" s="6"/>
      <c r="DA63" s="6"/>
      <c r="DB63" s="6"/>
      <c r="DC63" s="6"/>
      <c r="DD63" s="6"/>
      <c r="DE63" s="6"/>
      <c r="DF63" s="6"/>
      <c r="DG63" s="6"/>
      <c r="DH63" s="6"/>
      <c r="DI63" s="6"/>
      <c r="DJ63" s="6"/>
      <c r="DK63" s="6"/>
      <c r="DL63" s="6"/>
      <c r="DM63" s="7">
        <v>3.5348558425999999</v>
      </c>
      <c r="DN63" s="7">
        <f t="shared" si="0"/>
        <v>100.00000829460001</v>
      </c>
      <c r="DO63" s="7"/>
      <c r="DP63" s="6">
        <v>1.9789245000000001E-3</v>
      </c>
      <c r="DQ63" s="6">
        <v>0.44590511919999998</v>
      </c>
      <c r="DR63" s="6">
        <v>1.2129596471999999</v>
      </c>
      <c r="DS63" s="6">
        <v>0.24990247190000001</v>
      </c>
      <c r="DT63" s="6">
        <v>0.31558349730000002</v>
      </c>
      <c r="DU63" s="6">
        <v>2.4919325499999999E-2</v>
      </c>
      <c r="DV63" s="6">
        <v>0.26418942210000002</v>
      </c>
      <c r="DW63" s="6">
        <v>1.0222948789999999</v>
      </c>
      <c r="DX63" s="6">
        <v>6.9906592369</v>
      </c>
      <c r="DY63" s="6">
        <v>4.3749589919999998</v>
      </c>
      <c r="DZ63" s="6">
        <v>71.664413452100007</v>
      </c>
      <c r="EA63" s="6">
        <v>1.5069671869000001</v>
      </c>
      <c r="EB63" s="6">
        <v>0.33631527420000001</v>
      </c>
      <c r="EC63" s="6">
        <v>1.3514834642</v>
      </c>
      <c r="ED63" s="6">
        <v>1.372892499</v>
      </c>
      <c r="EE63" s="6">
        <v>5.5910983086000003</v>
      </c>
      <c r="EF63" s="6">
        <v>2.0237202644000001</v>
      </c>
      <c r="EG63" s="6">
        <v>1.2406027316999999</v>
      </c>
      <c r="EH63" s="6">
        <v>9.1607925000000007E-3</v>
      </c>
    </row>
    <row r="64" spans="1:138">
      <c r="A64" s="153">
        <v>46125</v>
      </c>
      <c r="B64" s="8"/>
      <c r="C64" s="3">
        <v>2</v>
      </c>
      <c r="D64" s="154" t="s">
        <v>359</v>
      </c>
      <c r="E64" s="3">
        <v>210</v>
      </c>
      <c r="F64" s="3">
        <v>209.9</v>
      </c>
      <c r="G64" s="3">
        <v>24.014800000000001</v>
      </c>
      <c r="H64" s="3">
        <v>24.0075</v>
      </c>
      <c r="I64" s="3">
        <v>854.33100000000002</v>
      </c>
      <c r="J64" s="3">
        <v>853.149</v>
      </c>
      <c r="K64" s="3">
        <v>0</v>
      </c>
      <c r="L64" s="3">
        <v>0</v>
      </c>
      <c r="M64" s="3">
        <v>854.11</v>
      </c>
      <c r="N64" s="3">
        <v>855.73900000000003</v>
      </c>
      <c r="O64" s="3">
        <v>0</v>
      </c>
      <c r="P64" s="3">
        <v>0</v>
      </c>
      <c r="Q64" s="3">
        <v>0.301651</v>
      </c>
      <c r="R64" s="3">
        <v>1999.68</v>
      </c>
      <c r="S64" s="3">
        <v>1999.58</v>
      </c>
      <c r="T64" s="3">
        <v>0</v>
      </c>
      <c r="U64" s="3">
        <v>0</v>
      </c>
      <c r="V64" s="3">
        <v>1999.56</v>
      </c>
      <c r="W64" s="3">
        <v>1999.59</v>
      </c>
      <c r="X64" s="3">
        <v>0</v>
      </c>
      <c r="Y64" s="3">
        <v>0</v>
      </c>
      <c r="Z64" s="3">
        <v>220</v>
      </c>
      <c r="AA64" s="3">
        <v>1.9962599999999999</v>
      </c>
      <c r="AB64" s="3">
        <v>2.0014400000000001</v>
      </c>
      <c r="AC64" s="3">
        <v>-7.1202399999999999E-2</v>
      </c>
      <c r="AD64" s="3">
        <v>7.4633099999999999E-3</v>
      </c>
      <c r="AE64" s="3">
        <v>2.0007100000000002</v>
      </c>
      <c r="AF64" s="3">
        <v>1.9973399999999999</v>
      </c>
      <c r="AG64" s="3">
        <v>-0.19617200000000001</v>
      </c>
      <c r="AH64" s="3">
        <v>-4.2725899999999997E-2</v>
      </c>
      <c r="AI64" s="7">
        <v>21.441959000000001</v>
      </c>
      <c r="AJ64" s="7">
        <v>59.999609</v>
      </c>
      <c r="AL64" s="6">
        <v>87.609687804999993</v>
      </c>
      <c r="AM64" s="6">
        <v>83.593696593999994</v>
      </c>
      <c r="AN64" s="6">
        <v>15.820095062</v>
      </c>
      <c r="AO64" s="6">
        <v>33.344566344999997</v>
      </c>
      <c r="AP64" s="6">
        <v>0</v>
      </c>
      <c r="AQ64" s="6">
        <v>0</v>
      </c>
      <c r="AR64" s="6">
        <v>0.48087576030000001</v>
      </c>
      <c r="AS64" s="6">
        <v>0.25644096729999999</v>
      </c>
      <c r="AT64" s="6">
        <v>2.7815360599999998E-2</v>
      </c>
      <c r="AU64" s="6">
        <v>72.018516540999997</v>
      </c>
      <c r="AV64" s="6">
        <v>5.8139128685000001</v>
      </c>
      <c r="AW64" s="6">
        <v>1.3576161861</v>
      </c>
      <c r="AX64" s="6">
        <v>0</v>
      </c>
      <c r="AY64" s="6">
        <v>0</v>
      </c>
      <c r="AZ64" s="6">
        <v>0</v>
      </c>
      <c r="BA64" s="6">
        <v>0</v>
      </c>
      <c r="BB64" s="6">
        <v>0</v>
      </c>
      <c r="BC64" s="6">
        <v>0</v>
      </c>
      <c r="BD64" s="6">
        <v>0</v>
      </c>
      <c r="BE64" s="6">
        <v>0</v>
      </c>
      <c r="BF64" s="6">
        <v>0</v>
      </c>
      <c r="BG64" s="6">
        <v>0</v>
      </c>
      <c r="BH64" s="6">
        <v>1.2891476153999999</v>
      </c>
      <c r="BI64" s="6">
        <v>0.32424977420000001</v>
      </c>
      <c r="BJ64" s="6">
        <v>12.271310806000001</v>
      </c>
      <c r="BK64" s="6">
        <v>2.5217182636</v>
      </c>
      <c r="BL64" s="6">
        <v>0</v>
      </c>
      <c r="BM64" s="6">
        <v>0</v>
      </c>
      <c r="BN64" s="6">
        <v>0</v>
      </c>
      <c r="BO64" s="6">
        <v>0</v>
      </c>
      <c r="BP64" s="6">
        <v>0</v>
      </c>
      <c r="BQ64" s="6">
        <v>0</v>
      </c>
      <c r="BR64" s="6">
        <v>0</v>
      </c>
      <c r="BS64" s="6">
        <v>0</v>
      </c>
      <c r="BT64" s="6">
        <v>0</v>
      </c>
      <c r="BU64" s="6">
        <v>0</v>
      </c>
      <c r="BV64" s="6">
        <v>0</v>
      </c>
      <c r="BW64" s="6">
        <v>0</v>
      </c>
      <c r="BX64" s="6">
        <v>0</v>
      </c>
      <c r="BY64" s="6">
        <v>0</v>
      </c>
      <c r="BZ64" s="6">
        <v>0</v>
      </c>
      <c r="CA64" s="6">
        <v>0</v>
      </c>
      <c r="CB64" s="6">
        <v>0</v>
      </c>
      <c r="CC64" s="6">
        <v>0</v>
      </c>
      <c r="CD64" s="6">
        <v>0</v>
      </c>
      <c r="CE64" s="6">
        <v>0</v>
      </c>
      <c r="CF64" s="6">
        <v>0</v>
      </c>
      <c r="CG64" s="6">
        <v>0</v>
      </c>
      <c r="CH64" s="6">
        <v>0</v>
      </c>
      <c r="CI64" s="6">
        <v>0</v>
      </c>
      <c r="CJ64" s="6">
        <v>0</v>
      </c>
      <c r="CK64" s="6">
        <v>0</v>
      </c>
      <c r="CL64" s="6">
        <v>0</v>
      </c>
      <c r="CM64" s="6">
        <v>0</v>
      </c>
      <c r="CN64" s="6">
        <v>0.31333559750000001</v>
      </c>
      <c r="CO64" s="6"/>
      <c r="CP64" s="6"/>
      <c r="CQ64" s="6"/>
      <c r="CR64" s="6"/>
      <c r="CS64" s="6"/>
      <c r="CT64" s="6"/>
      <c r="CU64" s="6"/>
      <c r="CV64" s="6"/>
      <c r="CW64" s="6"/>
      <c r="CX64" s="6"/>
      <c r="CY64" s="6"/>
      <c r="CZ64" s="6"/>
      <c r="DA64" s="6"/>
      <c r="DB64" s="6"/>
      <c r="DC64" s="6"/>
      <c r="DD64" s="6"/>
      <c r="DE64" s="6"/>
      <c r="DF64" s="6"/>
      <c r="DG64" s="6"/>
      <c r="DH64" s="6"/>
      <c r="DI64" s="6"/>
      <c r="DJ64" s="6"/>
      <c r="DK64" s="6"/>
      <c r="DL64" s="6"/>
      <c r="DM64" s="7">
        <v>3.3250639439</v>
      </c>
      <c r="DN64" s="7">
        <f t="shared" si="0"/>
        <v>100.0000036844</v>
      </c>
      <c r="DO64" s="7"/>
      <c r="DP64" s="6">
        <v>1.9794856000000002E-3</v>
      </c>
      <c r="DQ64" s="6">
        <v>0.48078379030000001</v>
      </c>
      <c r="DR64" s="6">
        <v>1.2889010906</v>
      </c>
      <c r="DS64" s="6">
        <v>0.2563919127</v>
      </c>
      <c r="DT64" s="6">
        <v>0.32418775560000002</v>
      </c>
      <c r="DU64" s="6">
        <v>2.7810040899999999E-2</v>
      </c>
      <c r="DV64" s="6">
        <v>0.27887332440000001</v>
      </c>
      <c r="DW64" s="6">
        <v>1.0575938224999999</v>
      </c>
      <c r="DX64" s="6">
        <v>6.7466292380999997</v>
      </c>
      <c r="DY64" s="6">
        <v>4.1858673095999999</v>
      </c>
      <c r="DZ64" s="6">
        <v>72.004745483400001</v>
      </c>
      <c r="EA64" s="6">
        <v>1.4584434032</v>
      </c>
      <c r="EB64" s="6">
        <v>0.31327566499999998</v>
      </c>
      <c r="EC64" s="6">
        <v>1.2512012720000001</v>
      </c>
      <c r="ED64" s="6">
        <v>1.27003479</v>
      </c>
      <c r="EE64" s="6">
        <v>5.8128008841999996</v>
      </c>
      <c r="EF64" s="6">
        <v>1.8732573986000001</v>
      </c>
      <c r="EG64" s="6">
        <v>1.3573565483000001</v>
      </c>
      <c r="EH64" s="6">
        <v>9.8884822999999993E-3</v>
      </c>
    </row>
    <row r="65" spans="1:139">
      <c r="A65" s="153">
        <v>46125</v>
      </c>
      <c r="B65" s="8"/>
      <c r="C65" s="3">
        <v>5</v>
      </c>
      <c r="D65" s="154" t="s">
        <v>360</v>
      </c>
      <c r="E65" s="3">
        <v>210.1</v>
      </c>
      <c r="F65" s="3">
        <v>210.1</v>
      </c>
      <c r="G65" s="3">
        <v>24.020499999999998</v>
      </c>
      <c r="H65" s="3">
        <v>24.0017</v>
      </c>
      <c r="I65" s="3">
        <v>767.99199999999996</v>
      </c>
      <c r="J65" s="3">
        <v>769.36400000000003</v>
      </c>
      <c r="K65" s="3">
        <v>0</v>
      </c>
      <c r="L65" s="3">
        <v>0</v>
      </c>
      <c r="M65" s="3">
        <v>768.48400000000004</v>
      </c>
      <c r="N65" s="3">
        <v>767.94799999999998</v>
      </c>
      <c r="O65" s="3">
        <v>0</v>
      </c>
      <c r="P65" s="3">
        <v>0</v>
      </c>
      <c r="Q65" s="3">
        <v>0.33158100000000001</v>
      </c>
      <c r="R65" s="3">
        <v>1999.79</v>
      </c>
      <c r="S65" s="3">
        <v>2000.36</v>
      </c>
      <c r="T65" s="3">
        <v>0</v>
      </c>
      <c r="U65" s="3">
        <v>0</v>
      </c>
      <c r="V65" s="3">
        <v>1999.9</v>
      </c>
      <c r="W65" s="3">
        <v>2000.1</v>
      </c>
      <c r="X65" s="3">
        <v>0</v>
      </c>
      <c r="Y65" s="3">
        <v>0</v>
      </c>
      <c r="Z65" s="3">
        <v>220.1</v>
      </c>
      <c r="AA65" s="3">
        <v>1.99787</v>
      </c>
      <c r="AB65" s="3">
        <v>1.9977199999999999</v>
      </c>
      <c r="AC65" s="3">
        <v>-6.4474100000000006E-2</v>
      </c>
      <c r="AD65" s="3">
        <v>1.6117200000000001E-3</v>
      </c>
      <c r="AE65" s="3">
        <v>1.9992000000000001</v>
      </c>
      <c r="AF65" s="3">
        <v>2.0018099999999999</v>
      </c>
      <c r="AG65" s="3">
        <v>-4.9952000000000003E-2</v>
      </c>
      <c r="AH65" s="3">
        <v>-2.3145599999999999E-2</v>
      </c>
      <c r="AI65" s="7">
        <v>23.214171</v>
      </c>
      <c r="AJ65" s="7">
        <v>58.556694</v>
      </c>
      <c r="AL65" s="6">
        <v>88.479858398000005</v>
      </c>
      <c r="AM65" s="6">
        <v>83.613136291000004</v>
      </c>
      <c r="AN65" s="6">
        <v>16.283164977999999</v>
      </c>
      <c r="AO65" s="6">
        <v>24.028911591</v>
      </c>
      <c r="AP65" s="6">
        <v>0</v>
      </c>
      <c r="AQ65" s="6">
        <v>0</v>
      </c>
      <c r="AR65" s="6">
        <v>0</v>
      </c>
      <c r="AS65" s="6">
        <v>0</v>
      </c>
      <c r="AT65" s="6">
        <v>9.3454189999999998E-4</v>
      </c>
      <c r="AU65" s="280">
        <v>84.295288085999999</v>
      </c>
      <c r="AV65" s="280">
        <v>9.7693357467999995</v>
      </c>
      <c r="AW65" s="280">
        <v>4.7642536163000004</v>
      </c>
      <c r="AX65" s="6">
        <v>0</v>
      </c>
      <c r="AY65" s="6">
        <v>0</v>
      </c>
      <c r="AZ65" s="6">
        <v>0</v>
      </c>
      <c r="BA65" s="6">
        <v>0</v>
      </c>
      <c r="BB65" s="6">
        <v>0</v>
      </c>
      <c r="BC65" s="6">
        <v>0</v>
      </c>
      <c r="BD65" s="6">
        <v>0</v>
      </c>
      <c r="BE65" s="6">
        <v>0</v>
      </c>
      <c r="BF65" s="6">
        <v>0</v>
      </c>
      <c r="BG65" s="6">
        <v>0</v>
      </c>
      <c r="BH65" s="6">
        <v>0</v>
      </c>
      <c r="BI65" s="6">
        <v>8.0227719999999996E-4</v>
      </c>
      <c r="BJ65" s="6">
        <v>0.41641765829999999</v>
      </c>
      <c r="BK65" s="6">
        <v>0</v>
      </c>
      <c r="BL65" s="6">
        <v>0</v>
      </c>
      <c r="BM65" s="6">
        <v>0</v>
      </c>
      <c r="BN65" s="6">
        <v>0</v>
      </c>
      <c r="BO65" s="6">
        <v>0</v>
      </c>
      <c r="BP65" s="6">
        <v>0</v>
      </c>
      <c r="BQ65" s="6">
        <v>0</v>
      </c>
      <c r="BR65" s="6">
        <v>0</v>
      </c>
      <c r="BS65" s="6">
        <v>0</v>
      </c>
      <c r="BT65" s="6">
        <v>0</v>
      </c>
      <c r="BU65" s="6">
        <v>0</v>
      </c>
      <c r="BV65" s="6">
        <v>0</v>
      </c>
      <c r="BW65" s="6">
        <v>0</v>
      </c>
      <c r="BX65" s="6">
        <v>0</v>
      </c>
      <c r="BY65" s="6">
        <v>0</v>
      </c>
      <c r="BZ65" s="6">
        <v>0</v>
      </c>
      <c r="CA65" s="6">
        <v>0</v>
      </c>
      <c r="CB65" s="6">
        <v>0</v>
      </c>
      <c r="CC65" s="6">
        <v>0</v>
      </c>
      <c r="CD65" s="6">
        <v>0</v>
      </c>
      <c r="CE65" s="6">
        <v>0</v>
      </c>
      <c r="CF65" s="6">
        <v>0</v>
      </c>
      <c r="CG65" s="6">
        <v>0</v>
      </c>
      <c r="CH65" s="6">
        <v>0</v>
      </c>
      <c r="CI65" s="6">
        <v>0</v>
      </c>
      <c r="CJ65" s="6">
        <v>0</v>
      </c>
      <c r="CK65" s="6">
        <v>0</v>
      </c>
      <c r="CL65" s="6">
        <v>0</v>
      </c>
      <c r="CM65" s="6">
        <v>0</v>
      </c>
      <c r="CN65" s="6">
        <v>0.56972575189999997</v>
      </c>
      <c r="CO65" s="6"/>
      <c r="CP65" s="6"/>
      <c r="CQ65" s="6"/>
      <c r="CR65" s="6"/>
      <c r="CS65" s="6"/>
      <c r="CT65" s="6"/>
      <c r="CU65" s="6"/>
      <c r="CV65" s="6"/>
      <c r="CW65" s="6"/>
      <c r="CX65" s="6"/>
      <c r="CY65" s="6"/>
      <c r="CZ65" s="6"/>
      <c r="DA65" s="6"/>
      <c r="DB65" s="6"/>
      <c r="DC65" s="6"/>
      <c r="DD65" s="6"/>
      <c r="DE65" s="6"/>
      <c r="DF65" s="6"/>
      <c r="DG65" s="6"/>
      <c r="DH65" s="6"/>
      <c r="DI65" s="6"/>
      <c r="DJ65" s="6"/>
      <c r="DK65" s="6"/>
      <c r="DL65" s="6"/>
      <c r="DM65" s="7">
        <v>0.18324017519999999</v>
      </c>
      <c r="DN65" s="7">
        <f t="shared" si="0"/>
        <v>99.999997853599979</v>
      </c>
      <c r="DO65" s="7"/>
      <c r="DP65" s="6">
        <v>8.0243839999999996E-4</v>
      </c>
      <c r="DQ65" s="6">
        <v>9.3472960000000002E-4</v>
      </c>
      <c r="DR65" s="6">
        <v>1.1469441E-3</v>
      </c>
      <c r="DS65" s="6">
        <v>3.84786539E-2</v>
      </c>
      <c r="DT65" s="6">
        <v>0.37687569859999998</v>
      </c>
      <c r="DU65" s="6">
        <v>84.312217712399999</v>
      </c>
      <c r="DV65" s="6">
        <v>0.56984019279999998</v>
      </c>
      <c r="DW65" s="6">
        <v>1.00434758E-2</v>
      </c>
      <c r="DX65" s="6">
        <v>9.7712974547999991</v>
      </c>
      <c r="DY65" s="6">
        <v>0.13334232569999999</v>
      </c>
      <c r="DZ65" s="6">
        <v>4.7652106285000002</v>
      </c>
      <c r="EA65" s="6">
        <v>1.9813707100000001E-2</v>
      </c>
      <c r="EB65" s="6"/>
      <c r="EC65" s="6"/>
      <c r="ED65" s="6"/>
      <c r="EE65" s="6"/>
      <c r="EF65" s="6"/>
      <c r="EG65" s="6"/>
      <c r="EH65" s="6"/>
    </row>
    <row r="66" spans="1:139">
      <c r="A66" s="153">
        <v>46125</v>
      </c>
      <c r="B66" s="8"/>
      <c r="C66" s="3">
        <v>6</v>
      </c>
      <c r="D66" s="154" t="s">
        <v>361</v>
      </c>
      <c r="E66" s="3">
        <v>210</v>
      </c>
      <c r="F66" s="3">
        <v>209.9</v>
      </c>
      <c r="G66" s="3">
        <v>24.0365</v>
      </c>
      <c r="H66" s="3">
        <v>24.0017</v>
      </c>
      <c r="I66" s="3">
        <v>758.05499999999995</v>
      </c>
      <c r="J66" s="3">
        <v>747.89200000000005</v>
      </c>
      <c r="K66" s="3">
        <v>0</v>
      </c>
      <c r="L66" s="3">
        <v>0</v>
      </c>
      <c r="M66" s="3">
        <v>752.41099999999994</v>
      </c>
      <c r="N66" s="3">
        <v>762.447</v>
      </c>
      <c r="O66" s="3">
        <v>0</v>
      </c>
      <c r="P66" s="3">
        <v>0</v>
      </c>
      <c r="Q66" s="3">
        <v>0.235397</v>
      </c>
      <c r="R66" s="3">
        <v>2000.23</v>
      </c>
      <c r="S66" s="3">
        <v>1999.17</v>
      </c>
      <c r="T66" s="3">
        <v>0</v>
      </c>
      <c r="U66" s="3">
        <v>0</v>
      </c>
      <c r="V66" s="3">
        <v>1999.44</v>
      </c>
      <c r="W66" s="3">
        <v>2000.51</v>
      </c>
      <c r="X66" s="3">
        <v>0</v>
      </c>
      <c r="Y66" s="3">
        <v>0</v>
      </c>
      <c r="Z66" s="3">
        <v>219.9</v>
      </c>
      <c r="AA66" s="3">
        <v>1.99881</v>
      </c>
      <c r="AB66" s="3">
        <v>2.0032899999999998</v>
      </c>
      <c r="AC66" s="3">
        <v>-5.8337100000000003E-2</v>
      </c>
      <c r="AD66" s="3">
        <v>2.9481899999999998E-3</v>
      </c>
      <c r="AE66" s="3">
        <v>2.0013899999999998</v>
      </c>
      <c r="AF66" s="3">
        <v>2.00481</v>
      </c>
      <c r="AG66" s="3">
        <v>-9.3278600000000003E-2</v>
      </c>
      <c r="AH66" s="3">
        <v>-2.3653799999999999E-2</v>
      </c>
      <c r="AI66" s="7">
        <v>21.8629</v>
      </c>
      <c r="AJ66" s="7">
        <v>59.427836999999997</v>
      </c>
      <c r="AL66" s="6">
        <v>86.744010924999998</v>
      </c>
      <c r="AM66" s="6">
        <v>83.570075989000003</v>
      </c>
      <c r="AN66" s="6">
        <v>15.788972855000001</v>
      </c>
      <c r="AO66" s="6">
        <v>39.776481627999999</v>
      </c>
      <c r="AP66" s="6">
        <v>0</v>
      </c>
      <c r="AQ66" s="6">
        <v>0</v>
      </c>
      <c r="AR66" s="6">
        <v>0.80911564830000005</v>
      </c>
      <c r="AS66" s="6">
        <v>0.40985375639999999</v>
      </c>
      <c r="AT66" s="6">
        <v>4.1355647099999997E-2</v>
      </c>
      <c r="AU66" s="6">
        <v>63.348346710000001</v>
      </c>
      <c r="AV66" s="6">
        <v>3.9310133456999998</v>
      </c>
      <c r="AW66" s="6">
        <v>0.58509820700000004</v>
      </c>
      <c r="AX66" s="6">
        <v>0</v>
      </c>
      <c r="AY66" s="6">
        <v>0</v>
      </c>
      <c r="AZ66" s="6">
        <v>0</v>
      </c>
      <c r="BA66" s="6">
        <v>0</v>
      </c>
      <c r="BB66" s="6">
        <v>0</v>
      </c>
      <c r="BC66" s="6">
        <v>0</v>
      </c>
      <c r="BD66" s="6">
        <v>0</v>
      </c>
      <c r="BE66" s="6">
        <v>0</v>
      </c>
      <c r="BF66" s="6">
        <v>0</v>
      </c>
      <c r="BG66" s="6">
        <v>0</v>
      </c>
      <c r="BH66" s="6">
        <v>2.0498569012000001</v>
      </c>
      <c r="BI66" s="6">
        <v>0.51125574110000005</v>
      </c>
      <c r="BJ66" s="6">
        <v>20.892557144000001</v>
      </c>
      <c r="BK66" s="6">
        <v>3.4347815514</v>
      </c>
      <c r="BL66" s="6">
        <v>0</v>
      </c>
      <c r="BM66" s="6">
        <v>0</v>
      </c>
      <c r="BN66" s="6">
        <v>0</v>
      </c>
      <c r="BO66" s="6">
        <v>0</v>
      </c>
      <c r="BP66" s="6">
        <v>0</v>
      </c>
      <c r="BQ66" s="6">
        <v>0</v>
      </c>
      <c r="BR66" s="6">
        <v>0</v>
      </c>
      <c r="BS66" s="6">
        <v>0</v>
      </c>
      <c r="BT66" s="6">
        <v>0</v>
      </c>
      <c r="BU66" s="6">
        <v>0</v>
      </c>
      <c r="BV66" s="6">
        <v>0</v>
      </c>
      <c r="BW66" s="6">
        <v>0</v>
      </c>
      <c r="BX66" s="6">
        <v>0</v>
      </c>
      <c r="BY66" s="6">
        <v>0</v>
      </c>
      <c r="BZ66" s="6">
        <v>0</v>
      </c>
      <c r="CA66" s="6">
        <v>0</v>
      </c>
      <c r="CB66" s="6">
        <v>0</v>
      </c>
      <c r="CC66" s="6">
        <v>0</v>
      </c>
      <c r="CD66" s="6">
        <v>0</v>
      </c>
      <c r="CE66" s="6">
        <v>0</v>
      </c>
      <c r="CF66" s="6">
        <v>0</v>
      </c>
      <c r="CG66" s="6">
        <v>0</v>
      </c>
      <c r="CH66" s="6">
        <v>0</v>
      </c>
      <c r="CI66" s="6">
        <v>0</v>
      </c>
      <c r="CJ66" s="6">
        <v>0</v>
      </c>
      <c r="CK66" s="6">
        <v>0</v>
      </c>
      <c r="CL66" s="6">
        <v>0</v>
      </c>
      <c r="CM66" s="6">
        <v>0</v>
      </c>
      <c r="CN66" s="6">
        <v>0.33777192230000003</v>
      </c>
      <c r="CO66" s="6"/>
      <c r="CP66" s="6"/>
      <c r="CQ66" s="6"/>
      <c r="CR66" s="6"/>
      <c r="CS66" s="6"/>
      <c r="CT66" s="6"/>
      <c r="CU66" s="6"/>
      <c r="CV66" s="6"/>
      <c r="CW66" s="6"/>
      <c r="CX66" s="6"/>
      <c r="CY66" s="6"/>
      <c r="CZ66" s="6"/>
      <c r="DA66" s="6"/>
      <c r="DB66" s="6"/>
      <c r="DC66" s="6"/>
      <c r="DD66" s="6"/>
      <c r="DE66" s="6"/>
      <c r="DF66" s="6"/>
      <c r="DG66" s="6"/>
      <c r="DH66" s="6"/>
      <c r="DI66" s="6"/>
      <c r="DJ66" s="6"/>
      <c r="DK66" s="6"/>
      <c r="DL66" s="6"/>
      <c r="DM66" s="7">
        <v>3.6490097046000001</v>
      </c>
      <c r="DN66" s="7">
        <f t="shared" si="0"/>
        <v>100.00001627910001</v>
      </c>
      <c r="DO66" s="7"/>
      <c r="DP66" s="6">
        <v>4.0806108000000004E-3</v>
      </c>
      <c r="DQ66" s="6">
        <v>0.80778992179999998</v>
      </c>
      <c r="DR66" s="6">
        <v>2.0464982986</v>
      </c>
      <c r="DS66" s="6">
        <v>0.40918222069999999</v>
      </c>
      <c r="DT66" s="6">
        <v>0.51041805740000001</v>
      </c>
      <c r="DU66" s="6">
        <v>4.1287884099999998E-2</v>
      </c>
      <c r="DV66" s="6">
        <v>0.50425469879999996</v>
      </c>
      <c r="DW66" s="6">
        <v>1.9162395000000001</v>
      </c>
      <c r="DX66" s="6">
        <v>11.354054451</v>
      </c>
      <c r="DY66" s="6">
        <v>7.0837755202999997</v>
      </c>
      <c r="DZ66" s="6">
        <v>63.244548797599997</v>
      </c>
      <c r="EA66" s="6">
        <v>2.0736136435999999</v>
      </c>
      <c r="EB66" s="6">
        <v>0.3372184634</v>
      </c>
      <c r="EC66" s="6">
        <v>1.6334449053</v>
      </c>
      <c r="ED66" s="6">
        <v>1.7957087755000001</v>
      </c>
      <c r="EE66" s="6">
        <v>3.9245722293999998</v>
      </c>
      <c r="EF66" s="6">
        <v>1.7215971946999999</v>
      </c>
      <c r="EG66" s="6">
        <v>0.58413952589999996</v>
      </c>
      <c r="EH66" s="6">
        <v>7.5779235999999996E-3</v>
      </c>
    </row>
    <row r="67" spans="1:139">
      <c r="A67" s="153">
        <v>46126</v>
      </c>
      <c r="B67" s="91"/>
      <c r="C67" s="87">
        <v>1</v>
      </c>
      <c r="D67" s="154" t="s">
        <v>362</v>
      </c>
      <c r="E67" s="87">
        <v>210</v>
      </c>
      <c r="F67" s="87">
        <v>209.9</v>
      </c>
      <c r="G67" s="87">
        <v>24.0075</v>
      </c>
      <c r="H67" s="87">
        <v>24.000299999999999</v>
      </c>
      <c r="I67" s="87">
        <v>795.28700000000003</v>
      </c>
      <c r="J67" s="87">
        <v>791.89700000000005</v>
      </c>
      <c r="K67" s="87">
        <v>0</v>
      </c>
      <c r="L67" s="87">
        <v>0</v>
      </c>
      <c r="M67" s="87">
        <v>793.99699999999996</v>
      </c>
      <c r="N67" s="87">
        <v>797.577</v>
      </c>
      <c r="O67" s="87">
        <v>0</v>
      </c>
      <c r="P67" s="87">
        <v>0</v>
      </c>
      <c r="Q67" s="87">
        <v>0.17447699999999999</v>
      </c>
      <c r="R67" s="87">
        <v>1999.86</v>
      </c>
      <c r="S67" s="87">
        <v>2000.08</v>
      </c>
      <c r="T67" s="87">
        <v>0</v>
      </c>
      <c r="U67" s="87">
        <v>0</v>
      </c>
      <c r="V67" s="87">
        <v>1999.97</v>
      </c>
      <c r="W67" s="87">
        <v>1999.69</v>
      </c>
      <c r="X67" s="87">
        <v>0</v>
      </c>
      <c r="Y67" s="87">
        <v>0</v>
      </c>
      <c r="Z67" s="87">
        <v>220</v>
      </c>
      <c r="AA67" s="87">
        <v>1.99902</v>
      </c>
      <c r="AB67" s="87">
        <v>2.0026999999999999</v>
      </c>
      <c r="AC67" s="87">
        <v>-9.2568499999999998E-2</v>
      </c>
      <c r="AD67" s="87">
        <v>-2.2395700000000002E-3</v>
      </c>
      <c r="AE67" s="87">
        <v>1.99733</v>
      </c>
      <c r="AF67" s="87">
        <v>1.9970000000000001</v>
      </c>
      <c r="AG67" s="87">
        <v>-0.409188</v>
      </c>
      <c r="AH67" s="87">
        <v>-4.6719799999999999E-2</v>
      </c>
      <c r="AI67" s="92">
        <v>24.011344000000001</v>
      </c>
      <c r="AJ67" s="92">
        <v>58.606026999999997</v>
      </c>
      <c r="AL67" s="93">
        <v>87.665542602000002</v>
      </c>
      <c r="AM67" s="93">
        <v>83.594833374000004</v>
      </c>
      <c r="AN67" s="93">
        <v>15.786613464</v>
      </c>
      <c r="AO67" s="93">
        <v>33.766128539999997</v>
      </c>
      <c r="AP67" s="93">
        <v>0</v>
      </c>
      <c r="AQ67" s="93">
        <v>0</v>
      </c>
      <c r="AR67" s="93">
        <v>0.46959289910000002</v>
      </c>
      <c r="AS67" s="93">
        <v>0.25967344640000001</v>
      </c>
      <c r="AT67" s="93">
        <v>2.6356605799999999E-2</v>
      </c>
      <c r="AU67" s="93">
        <v>71.301513671999999</v>
      </c>
      <c r="AV67" s="93">
        <v>5.5492978095999996</v>
      </c>
      <c r="AW67" s="93">
        <v>1.2055882215</v>
      </c>
      <c r="AX67" s="93">
        <v>0</v>
      </c>
      <c r="AY67" s="93">
        <v>0</v>
      </c>
      <c r="AZ67" s="93">
        <v>0</v>
      </c>
      <c r="BA67" s="93">
        <v>0</v>
      </c>
      <c r="BB67" s="93">
        <v>0</v>
      </c>
      <c r="BC67" s="93">
        <v>0</v>
      </c>
      <c r="BD67" s="93">
        <v>0</v>
      </c>
      <c r="BE67" s="93">
        <v>0</v>
      </c>
      <c r="BF67" s="93">
        <v>0</v>
      </c>
      <c r="BG67" s="93">
        <v>0</v>
      </c>
      <c r="BH67" s="93">
        <v>1.2657110691</v>
      </c>
      <c r="BI67" s="93">
        <v>0.3267873228</v>
      </c>
      <c r="BJ67" s="93">
        <v>12.989499092000001</v>
      </c>
      <c r="BK67" s="93">
        <v>2.7386257648000001</v>
      </c>
      <c r="BL67" s="93">
        <v>0</v>
      </c>
      <c r="BM67" s="93">
        <v>0</v>
      </c>
      <c r="BN67" s="93">
        <v>0</v>
      </c>
      <c r="BO67" s="93">
        <v>0</v>
      </c>
      <c r="BP67" s="93">
        <v>0</v>
      </c>
      <c r="BQ67" s="93">
        <v>0</v>
      </c>
      <c r="BR67" s="93">
        <v>0</v>
      </c>
      <c r="BS67" s="93">
        <v>0</v>
      </c>
      <c r="BT67" s="93">
        <v>0</v>
      </c>
      <c r="BU67" s="93">
        <v>0</v>
      </c>
      <c r="BV67" s="93">
        <v>0</v>
      </c>
      <c r="BW67" s="93">
        <v>0</v>
      </c>
      <c r="BX67" s="93">
        <v>0</v>
      </c>
      <c r="BY67" s="93">
        <v>0</v>
      </c>
      <c r="BZ67" s="93">
        <v>0</v>
      </c>
      <c r="CA67" s="93">
        <v>0</v>
      </c>
      <c r="CB67" s="93">
        <v>0</v>
      </c>
      <c r="CC67" s="93">
        <v>0</v>
      </c>
      <c r="CD67" s="93">
        <v>0</v>
      </c>
      <c r="CE67" s="93">
        <v>0</v>
      </c>
      <c r="CF67" s="93">
        <v>0</v>
      </c>
      <c r="CG67" s="93">
        <v>0</v>
      </c>
      <c r="CH67" s="93">
        <v>0</v>
      </c>
      <c r="CI67" s="93">
        <v>0</v>
      </c>
      <c r="CJ67" s="93">
        <v>0</v>
      </c>
      <c r="CK67" s="93">
        <v>0</v>
      </c>
      <c r="CL67" s="93">
        <v>0</v>
      </c>
      <c r="CM67" s="93">
        <v>0</v>
      </c>
      <c r="CN67" s="93">
        <v>0.33794355390000003</v>
      </c>
      <c r="CO67" s="93"/>
      <c r="CP67" s="93"/>
      <c r="CQ67" s="93"/>
      <c r="CR67" s="93"/>
      <c r="CS67" s="93"/>
      <c r="CT67" s="93"/>
      <c r="CU67" s="93"/>
      <c r="CV67" s="93"/>
      <c r="CW67" s="93"/>
      <c r="CX67" s="93"/>
      <c r="CY67" s="93"/>
      <c r="CZ67" s="93"/>
      <c r="DA67" s="93"/>
      <c r="DB67" s="93"/>
      <c r="DC67" s="93"/>
      <c r="DD67" s="93"/>
      <c r="DE67" s="93"/>
      <c r="DF67" s="93"/>
      <c r="DG67" s="93"/>
      <c r="DH67" s="93"/>
      <c r="DI67" s="93"/>
      <c r="DJ67" s="93"/>
      <c r="DK67" s="93"/>
      <c r="DL67" s="93"/>
      <c r="DM67" s="92">
        <v>3.5294020175999998</v>
      </c>
      <c r="DN67" s="92">
        <f t="shared" ref="DN67:DN130" si="1">SUM(AP67:DM67)</f>
        <v>99.999991474600009</v>
      </c>
      <c r="DO67" s="92"/>
      <c r="DP67" s="6">
        <v>2.2926307000000002E-3</v>
      </c>
      <c r="DQ67" s="6">
        <v>0.46947577600000001</v>
      </c>
      <c r="DR67" s="6">
        <v>1.2653954029000001</v>
      </c>
      <c r="DS67" s="6">
        <v>0.25960868599999998</v>
      </c>
      <c r="DT67" s="6">
        <v>0.32670581339999999</v>
      </c>
      <c r="DU67" s="6">
        <v>2.6350032499999999E-2</v>
      </c>
      <c r="DV67" s="6">
        <v>0.27787417170000001</v>
      </c>
      <c r="DW67" s="6">
        <v>1.0702557563999999</v>
      </c>
      <c r="DX67" s="6">
        <v>7.1651282309999997</v>
      </c>
      <c r="DY67" s="6">
        <v>4.4730014800999998</v>
      </c>
      <c r="DZ67" s="6">
        <v>71.283729553200004</v>
      </c>
      <c r="EA67" s="6">
        <v>1.5633897780999999</v>
      </c>
      <c r="EB67" s="6">
        <v>0.33785924319999999</v>
      </c>
      <c r="EC67" s="6">
        <v>1.3557753562999999</v>
      </c>
      <c r="ED67" s="6">
        <v>1.3821674584999999</v>
      </c>
      <c r="EE67" s="6">
        <v>5.5479140282000001</v>
      </c>
      <c r="EF67" s="6">
        <v>1.9786827564</v>
      </c>
      <c r="EG67" s="6">
        <v>1.2052875756999999</v>
      </c>
      <c r="EH67" s="6">
        <v>9.1120395999999999E-3</v>
      </c>
    </row>
    <row r="68" spans="1:139" s="2" customFormat="1">
      <c r="A68" s="4">
        <v>46126</v>
      </c>
      <c r="B68" s="8"/>
      <c r="C68" s="3">
        <v>2</v>
      </c>
      <c r="D68" s="90" t="s">
        <v>363</v>
      </c>
      <c r="E68" s="3">
        <v>210</v>
      </c>
      <c r="F68" s="3">
        <v>210</v>
      </c>
      <c r="G68" s="3">
        <v>24.0017</v>
      </c>
      <c r="H68" s="3">
        <v>24.0046</v>
      </c>
      <c r="I68" s="3">
        <v>802.42399999999998</v>
      </c>
      <c r="J68" s="3">
        <v>811.93</v>
      </c>
      <c r="K68" s="3">
        <v>0</v>
      </c>
      <c r="L68" s="3">
        <v>0</v>
      </c>
      <c r="M68" s="3">
        <v>807.31399999999996</v>
      </c>
      <c r="N68" s="3">
        <v>796.27499999999998</v>
      </c>
      <c r="O68" s="3">
        <v>0</v>
      </c>
      <c r="P68" s="3">
        <v>0</v>
      </c>
      <c r="Q68" s="3">
        <v>0.39143299999999998</v>
      </c>
      <c r="R68" s="3">
        <v>2000.94</v>
      </c>
      <c r="S68" s="3">
        <v>2000.03</v>
      </c>
      <c r="T68" s="3">
        <v>0</v>
      </c>
      <c r="U68" s="3">
        <v>0</v>
      </c>
      <c r="V68" s="3">
        <v>2000.04</v>
      </c>
      <c r="W68" s="3">
        <v>2000.78</v>
      </c>
      <c r="X68" s="3">
        <v>0</v>
      </c>
      <c r="Y68" s="3">
        <v>0</v>
      </c>
      <c r="Z68" s="3">
        <v>220</v>
      </c>
      <c r="AA68" s="3">
        <v>1.99881</v>
      </c>
      <c r="AB68" s="3">
        <v>2.0009999999999999</v>
      </c>
      <c r="AC68" s="3">
        <v>-5.3546499999999997E-2</v>
      </c>
      <c r="AD68" s="3">
        <v>1.38104E-4</v>
      </c>
      <c r="AE68" s="3">
        <v>1.99939</v>
      </c>
      <c r="AF68" s="3">
        <v>1.99932</v>
      </c>
      <c r="AG68" s="3">
        <v>-8.5870600000000005E-2</v>
      </c>
      <c r="AH68" s="3">
        <v>-1.8394600000000001E-2</v>
      </c>
      <c r="AI68" s="7">
        <v>21.603677000000001</v>
      </c>
      <c r="AJ68" s="7">
        <v>59.763730000000002</v>
      </c>
      <c r="AK68" s="3"/>
      <c r="AL68" s="6">
        <v>87.549545288000004</v>
      </c>
      <c r="AM68" s="6">
        <v>83.592224121000001</v>
      </c>
      <c r="AN68" s="6">
        <v>15.831461905999999</v>
      </c>
      <c r="AO68" s="6">
        <v>33.391117096000002</v>
      </c>
      <c r="AP68" s="6">
        <v>0</v>
      </c>
      <c r="AQ68" s="6">
        <v>0</v>
      </c>
      <c r="AR68" s="6">
        <v>0.4964739084</v>
      </c>
      <c r="AS68" s="6">
        <v>0.26112875340000002</v>
      </c>
      <c r="AT68" s="6">
        <v>2.8739854700000001E-2</v>
      </c>
      <c r="AU68" s="6">
        <v>72.100585937999995</v>
      </c>
      <c r="AV68" s="6">
        <v>5.8132514954000003</v>
      </c>
      <c r="AW68" s="6">
        <v>1.3664630651</v>
      </c>
      <c r="AX68" s="6">
        <v>0</v>
      </c>
      <c r="AY68" s="6">
        <v>0</v>
      </c>
      <c r="AZ68" s="6">
        <v>0</v>
      </c>
      <c r="BA68" s="6">
        <v>0</v>
      </c>
      <c r="BB68" s="6">
        <v>0</v>
      </c>
      <c r="BC68" s="6">
        <v>0</v>
      </c>
      <c r="BD68" s="6">
        <v>0</v>
      </c>
      <c r="BE68" s="6">
        <v>0</v>
      </c>
      <c r="BF68" s="6">
        <v>0</v>
      </c>
      <c r="BG68" s="6">
        <v>0</v>
      </c>
      <c r="BH68" s="6">
        <v>1.3254992962000001</v>
      </c>
      <c r="BI68" s="6">
        <v>0.33189207320000003</v>
      </c>
      <c r="BJ68" s="6">
        <v>12.229160308999999</v>
      </c>
      <c r="BK68" s="6">
        <v>2.4768800734999998</v>
      </c>
      <c r="BL68" s="97">
        <v>0</v>
      </c>
      <c r="BM68" s="6">
        <v>0</v>
      </c>
      <c r="BN68" s="6">
        <v>0</v>
      </c>
      <c r="BO68" s="6">
        <v>0</v>
      </c>
      <c r="BP68" s="6">
        <v>0</v>
      </c>
      <c r="BQ68" s="6">
        <v>0</v>
      </c>
      <c r="BR68" s="6">
        <v>0</v>
      </c>
      <c r="BS68" s="6">
        <v>0</v>
      </c>
      <c r="BT68" s="6">
        <v>0</v>
      </c>
      <c r="BU68" s="6">
        <v>0</v>
      </c>
      <c r="BV68" s="6">
        <v>0</v>
      </c>
      <c r="BW68" s="6">
        <v>0</v>
      </c>
      <c r="BX68" s="6">
        <v>0</v>
      </c>
      <c r="BY68" s="6">
        <v>0</v>
      </c>
      <c r="BZ68" s="6">
        <v>0</v>
      </c>
      <c r="CA68" s="6">
        <v>0</v>
      </c>
      <c r="CB68" s="6">
        <v>0</v>
      </c>
      <c r="CC68" s="6">
        <v>0</v>
      </c>
      <c r="CD68" s="6">
        <v>0</v>
      </c>
      <c r="CE68" s="6">
        <v>0</v>
      </c>
      <c r="CF68" s="6">
        <v>0</v>
      </c>
      <c r="CG68" s="6">
        <v>0</v>
      </c>
      <c r="CH68" s="6">
        <v>0</v>
      </c>
      <c r="CI68" s="97">
        <v>0</v>
      </c>
      <c r="CJ68" s="97">
        <v>0</v>
      </c>
      <c r="CK68" s="97">
        <v>0</v>
      </c>
      <c r="CL68" s="97">
        <v>0</v>
      </c>
      <c r="CM68" s="6">
        <v>0</v>
      </c>
      <c r="CN68" s="6">
        <v>0.30876547100000001</v>
      </c>
      <c r="CO68" s="98"/>
      <c r="CP68" s="98"/>
      <c r="CQ68" s="6"/>
      <c r="CR68" s="6"/>
      <c r="CS68" s="6"/>
      <c r="CT68" s="6"/>
      <c r="CU68" s="6"/>
      <c r="CV68" s="6"/>
      <c r="CW68" s="6"/>
      <c r="CX68" s="6"/>
      <c r="CY68" s="6"/>
      <c r="CZ68" s="6"/>
      <c r="DA68" s="6"/>
      <c r="DB68" s="6"/>
      <c r="DC68" s="6"/>
      <c r="DD68" s="6"/>
      <c r="DE68" s="6"/>
      <c r="DF68" s="6"/>
      <c r="DG68" s="6"/>
      <c r="DH68" s="6"/>
      <c r="DI68" s="6"/>
      <c r="DJ68" s="6"/>
      <c r="DK68" s="6"/>
      <c r="DL68" s="6"/>
      <c r="DM68" s="7">
        <v>3.2611520289999998</v>
      </c>
      <c r="DN68" s="7">
        <f t="shared" si="1"/>
        <v>99.99999226689998</v>
      </c>
      <c r="DO68" s="7"/>
      <c r="DP68" s="6">
        <v>2.0181147999999999E-3</v>
      </c>
      <c r="DQ68" s="6">
        <v>0.49635091419999999</v>
      </c>
      <c r="DR68" s="6">
        <v>1.3251708745999999</v>
      </c>
      <c r="DS68" s="6">
        <v>0.26106405259999999</v>
      </c>
      <c r="DT68" s="6">
        <v>0.33180981869999998</v>
      </c>
      <c r="DU68" s="6">
        <v>2.8732731899999999E-2</v>
      </c>
      <c r="DV68" s="6">
        <v>0.28425392510000003</v>
      </c>
      <c r="DW68" s="6">
        <v>1.0718829632</v>
      </c>
      <c r="DX68" s="6">
        <v>6.7161059380000001</v>
      </c>
      <c r="DY68" s="6">
        <v>4.1538877486999999</v>
      </c>
      <c r="DZ68" s="6">
        <v>72.082725524899999</v>
      </c>
      <c r="EA68" s="6">
        <v>1.4503314494999999</v>
      </c>
      <c r="EB68" s="6">
        <v>0.30868896839999999</v>
      </c>
      <c r="EC68" s="6">
        <v>1.2282059192999999</v>
      </c>
      <c r="ED68" s="6">
        <v>1.2480603455999999</v>
      </c>
      <c r="EE68" s="6">
        <v>5.8118109702999998</v>
      </c>
      <c r="EF68" s="6">
        <v>1.8206853866999999</v>
      </c>
      <c r="EG68" s="6">
        <v>1.3661245108</v>
      </c>
      <c r="EH68" s="6">
        <v>1.2091353500000001E-2</v>
      </c>
      <c r="EI68" s="152"/>
    </row>
    <row r="69" spans="1:139" s="2" customFormat="1">
      <c r="A69" s="4">
        <v>46126</v>
      </c>
      <c r="B69" s="8"/>
      <c r="C69" s="3">
        <v>5</v>
      </c>
      <c r="D69" s="90" t="s">
        <v>364</v>
      </c>
      <c r="E69" s="3">
        <v>210</v>
      </c>
      <c r="F69" s="3">
        <v>209.9</v>
      </c>
      <c r="G69" s="3">
        <v>23.997399999999999</v>
      </c>
      <c r="H69" s="3">
        <v>23.988700000000001</v>
      </c>
      <c r="I69" s="3">
        <v>791.01400000000001</v>
      </c>
      <c r="J69" s="3">
        <v>802.351</v>
      </c>
      <c r="K69" s="3">
        <v>0</v>
      </c>
      <c r="L69" s="3">
        <v>0</v>
      </c>
      <c r="M69" s="3">
        <v>798.66099999999994</v>
      </c>
      <c r="N69" s="3">
        <v>786.28099999999995</v>
      </c>
      <c r="O69" s="3">
        <v>0</v>
      </c>
      <c r="P69" s="3">
        <v>0</v>
      </c>
      <c r="Q69" s="3">
        <v>0.32329000000000002</v>
      </c>
      <c r="R69" s="3">
        <v>2000.27</v>
      </c>
      <c r="S69" s="3">
        <v>2000.55</v>
      </c>
      <c r="T69" s="3">
        <v>0</v>
      </c>
      <c r="U69" s="3">
        <v>0</v>
      </c>
      <c r="V69" s="3">
        <v>2000.12</v>
      </c>
      <c r="W69" s="3">
        <v>2000.14</v>
      </c>
      <c r="X69" s="3">
        <v>0</v>
      </c>
      <c r="Y69" s="3">
        <v>0</v>
      </c>
      <c r="Z69" s="3">
        <v>219.8</v>
      </c>
      <c r="AA69" s="3">
        <v>1.9988699999999999</v>
      </c>
      <c r="AB69" s="3">
        <v>2.0019900000000002</v>
      </c>
      <c r="AC69" s="3">
        <v>-5.4885200000000002E-2</v>
      </c>
      <c r="AD69" s="3">
        <v>4.6437900000000001E-4</v>
      </c>
      <c r="AE69" s="3">
        <v>2.00299</v>
      </c>
      <c r="AF69" s="3">
        <v>2.0011999999999999</v>
      </c>
      <c r="AG69" s="3">
        <v>-7.1505799999999994E-2</v>
      </c>
      <c r="AH69" s="3">
        <v>-6.22493E-3</v>
      </c>
      <c r="AI69" s="7">
        <v>23.303550000000001</v>
      </c>
      <c r="AJ69" s="7">
        <v>58.387087000000001</v>
      </c>
      <c r="AK69" s="3"/>
      <c r="AL69" s="6">
        <v>88.483856200999995</v>
      </c>
      <c r="AM69" s="6">
        <v>83.613128661999994</v>
      </c>
      <c r="AN69" s="6">
        <v>16.283033370999998</v>
      </c>
      <c r="AO69" s="6">
        <v>24.018072128</v>
      </c>
      <c r="AP69" s="6">
        <v>0</v>
      </c>
      <c r="AQ69" s="6">
        <v>0</v>
      </c>
      <c r="AR69" s="6">
        <v>0</v>
      </c>
      <c r="AS69" s="6">
        <v>0</v>
      </c>
      <c r="AT69" s="6">
        <v>8.433332E-4</v>
      </c>
      <c r="AU69" s="280">
        <v>84.282203674000002</v>
      </c>
      <c r="AV69" s="280">
        <v>9.7748231887999992</v>
      </c>
      <c r="AW69" s="280">
        <v>4.7767238616999999</v>
      </c>
      <c r="AX69" s="6">
        <v>0</v>
      </c>
      <c r="AY69" s="6">
        <v>0</v>
      </c>
      <c r="AZ69" s="6">
        <v>0</v>
      </c>
      <c r="BA69" s="6">
        <v>0</v>
      </c>
      <c r="BB69" s="6">
        <v>0</v>
      </c>
      <c r="BC69" s="6">
        <v>0</v>
      </c>
      <c r="BD69" s="6">
        <v>0</v>
      </c>
      <c r="BE69" s="6">
        <v>0</v>
      </c>
      <c r="BF69" s="6">
        <v>0</v>
      </c>
      <c r="BG69" s="6">
        <v>0</v>
      </c>
      <c r="BH69" s="6">
        <v>0</v>
      </c>
      <c r="BI69" s="6">
        <v>8.5252099999999996E-4</v>
      </c>
      <c r="BJ69" s="6">
        <v>0.41635066269999998</v>
      </c>
      <c r="BK69" s="6">
        <v>0</v>
      </c>
      <c r="BL69" s="6">
        <v>0</v>
      </c>
      <c r="BM69" s="6">
        <v>0</v>
      </c>
      <c r="BN69" s="6">
        <v>0</v>
      </c>
      <c r="BO69" s="6">
        <v>0</v>
      </c>
      <c r="BP69" s="6">
        <v>0</v>
      </c>
      <c r="BQ69" s="6">
        <v>0</v>
      </c>
      <c r="BR69" s="6">
        <v>0</v>
      </c>
      <c r="BS69" s="6">
        <v>0</v>
      </c>
      <c r="BT69" s="6">
        <v>0</v>
      </c>
      <c r="BU69" s="6">
        <v>0</v>
      </c>
      <c r="BV69" s="6">
        <v>0</v>
      </c>
      <c r="BW69" s="6">
        <v>0</v>
      </c>
      <c r="BX69" s="6">
        <v>0</v>
      </c>
      <c r="BY69" s="6">
        <v>0</v>
      </c>
      <c r="BZ69" s="6">
        <v>0</v>
      </c>
      <c r="CA69" s="6">
        <v>0</v>
      </c>
      <c r="CB69" s="6">
        <v>0</v>
      </c>
      <c r="CC69" s="6">
        <v>0</v>
      </c>
      <c r="CD69" s="6">
        <v>0</v>
      </c>
      <c r="CE69" s="6">
        <v>0</v>
      </c>
      <c r="CF69" s="6">
        <v>0</v>
      </c>
      <c r="CG69" s="6">
        <v>0</v>
      </c>
      <c r="CH69" s="6">
        <v>0</v>
      </c>
      <c r="CI69" s="6">
        <v>0</v>
      </c>
      <c r="CJ69" s="6">
        <v>0</v>
      </c>
      <c r="CK69" s="6">
        <v>0</v>
      </c>
      <c r="CL69" s="6">
        <v>0</v>
      </c>
      <c r="CM69" s="6">
        <v>0</v>
      </c>
      <c r="CN69" s="6">
        <v>0.56390631199999997</v>
      </c>
      <c r="CO69" s="6"/>
      <c r="CP69" s="6"/>
      <c r="CQ69" s="6"/>
      <c r="CR69" s="6"/>
      <c r="CS69" s="6"/>
      <c r="CT69" s="6"/>
      <c r="CU69" s="6"/>
      <c r="CV69" s="6"/>
      <c r="CW69" s="6"/>
      <c r="CX69" s="6"/>
      <c r="CY69" s="6"/>
      <c r="CZ69" s="6"/>
      <c r="DA69" s="6"/>
      <c r="DB69" s="6"/>
      <c r="DC69" s="6"/>
      <c r="DD69" s="6"/>
      <c r="DE69" s="6"/>
      <c r="DF69" s="6"/>
      <c r="DG69" s="6"/>
      <c r="DH69" s="6"/>
      <c r="DI69" s="6"/>
      <c r="DJ69" s="6"/>
      <c r="DK69" s="6"/>
      <c r="DL69" s="6"/>
      <c r="DM69" s="7">
        <v>0.18431851269999999</v>
      </c>
      <c r="DN69" s="7">
        <f t="shared" si="1"/>
        <v>100.0000220661</v>
      </c>
      <c r="DO69" s="7"/>
      <c r="DP69" s="6">
        <v>8.5269410000000001E-4</v>
      </c>
      <c r="DQ69" s="6">
        <v>8.4350449999999997E-4</v>
      </c>
      <c r="DR69" s="6">
        <v>1.3474311999999999E-3</v>
      </c>
      <c r="DS69" s="6">
        <v>3.8316760200000001E-2</v>
      </c>
      <c r="DT69" s="6">
        <v>0.37677103280000002</v>
      </c>
      <c r="DU69" s="6">
        <v>84.299316406299994</v>
      </c>
      <c r="DV69" s="6">
        <v>0.56402087209999996</v>
      </c>
      <c r="DW69" s="6">
        <v>9.6808271000000008E-3</v>
      </c>
      <c r="DX69" s="6">
        <v>9.7768087386999998</v>
      </c>
      <c r="DY69" s="6">
        <v>0.13499380650000001</v>
      </c>
      <c r="DZ69" s="6">
        <v>4.7776937484999999</v>
      </c>
      <c r="EA69" s="6">
        <v>1.9359039099999999E-2</v>
      </c>
      <c r="EB69" s="6"/>
      <c r="EC69" s="6"/>
      <c r="ED69" s="6"/>
      <c r="EE69" s="6"/>
      <c r="EF69" s="6"/>
      <c r="EG69" s="6"/>
      <c r="EH69" s="6"/>
      <c r="EI69" s="152"/>
    </row>
    <row r="70" spans="1:139" s="2" customFormat="1">
      <c r="A70" s="4">
        <v>46126</v>
      </c>
      <c r="B70" s="8"/>
      <c r="C70" s="3">
        <v>6</v>
      </c>
      <c r="D70" s="90" t="s">
        <v>365</v>
      </c>
      <c r="E70" s="3">
        <v>210</v>
      </c>
      <c r="F70" s="3">
        <v>210</v>
      </c>
      <c r="G70" s="3">
        <v>23.988700000000001</v>
      </c>
      <c r="H70" s="3">
        <v>24.0046</v>
      </c>
      <c r="I70" s="3">
        <v>772.03099999999995</v>
      </c>
      <c r="J70" s="3">
        <v>778.00300000000004</v>
      </c>
      <c r="K70" s="3">
        <v>0</v>
      </c>
      <c r="L70" s="3">
        <v>0</v>
      </c>
      <c r="M70" s="3">
        <v>775.029</v>
      </c>
      <c r="N70" s="3">
        <v>767.72799999999995</v>
      </c>
      <c r="O70" s="3">
        <v>0</v>
      </c>
      <c r="P70" s="3">
        <v>0</v>
      </c>
      <c r="Q70" s="3">
        <v>0.291912</v>
      </c>
      <c r="R70" s="3">
        <v>2001.15</v>
      </c>
      <c r="S70" s="3">
        <v>1999.65</v>
      </c>
      <c r="T70" s="3">
        <v>0</v>
      </c>
      <c r="U70" s="3">
        <v>0</v>
      </c>
      <c r="V70" s="3">
        <v>2000.15</v>
      </c>
      <c r="W70" s="3">
        <v>2000.56</v>
      </c>
      <c r="X70" s="3">
        <v>0</v>
      </c>
      <c r="Y70" s="3">
        <v>0</v>
      </c>
      <c r="Z70" s="3">
        <v>219.8</v>
      </c>
      <c r="AA70" s="3">
        <v>1.9996100000000001</v>
      </c>
      <c r="AB70" s="3">
        <v>2.0001799999999998</v>
      </c>
      <c r="AC70" s="3">
        <v>-6.3879699999999998E-2</v>
      </c>
      <c r="AD70" s="3">
        <v>1.55755E-3</v>
      </c>
      <c r="AE70" s="3">
        <v>2.0011100000000002</v>
      </c>
      <c r="AF70" s="3">
        <v>2.0062099999999998</v>
      </c>
      <c r="AG70" s="3">
        <v>-0.21593699999999999</v>
      </c>
      <c r="AH70" s="3">
        <v>-2.84465E-2</v>
      </c>
      <c r="AI70" s="7">
        <v>22.062591000000001</v>
      </c>
      <c r="AJ70" s="7">
        <v>59.381512000000001</v>
      </c>
      <c r="AK70" s="3"/>
      <c r="AL70" s="6">
        <v>86.669555664000001</v>
      </c>
      <c r="AM70" s="6">
        <v>83.568206786999994</v>
      </c>
      <c r="AN70" s="6">
        <v>15.799815177999999</v>
      </c>
      <c r="AO70" s="6">
        <v>39.887512207</v>
      </c>
      <c r="AP70" s="6">
        <v>0</v>
      </c>
      <c r="AQ70" s="6">
        <v>0</v>
      </c>
      <c r="AR70" s="6">
        <v>0.83484548329999997</v>
      </c>
      <c r="AS70" s="6">
        <v>0.41711586709999998</v>
      </c>
      <c r="AT70" s="6">
        <v>4.3308746100000003E-2</v>
      </c>
      <c r="AU70" s="6">
        <v>63.326381683000001</v>
      </c>
      <c r="AV70" s="6">
        <v>3.9273743629000002</v>
      </c>
      <c r="AW70" s="6">
        <v>0.58277589080000003</v>
      </c>
      <c r="AX70" s="6">
        <v>0</v>
      </c>
      <c r="AY70" s="6">
        <v>0</v>
      </c>
      <c r="AZ70" s="6">
        <v>0</v>
      </c>
      <c r="BA70" s="6">
        <v>0</v>
      </c>
      <c r="BB70" s="6">
        <v>0</v>
      </c>
      <c r="BC70" s="6">
        <v>0</v>
      </c>
      <c r="BD70" s="6">
        <v>0</v>
      </c>
      <c r="BE70" s="6">
        <v>0</v>
      </c>
      <c r="BF70" s="6">
        <v>0</v>
      </c>
      <c r="BG70" s="6">
        <v>0</v>
      </c>
      <c r="BH70" s="6">
        <v>2.1020722388999999</v>
      </c>
      <c r="BI70" s="6">
        <v>0.51894551519999998</v>
      </c>
      <c r="BJ70" s="6">
        <v>20.919544219999999</v>
      </c>
      <c r="BK70" s="6">
        <v>3.4033284187000001</v>
      </c>
      <c r="BL70" s="6">
        <v>0</v>
      </c>
      <c r="BM70" s="6">
        <v>0</v>
      </c>
      <c r="BN70" s="6">
        <v>0</v>
      </c>
      <c r="BO70" s="6">
        <v>0</v>
      </c>
      <c r="BP70" s="6">
        <v>0</v>
      </c>
      <c r="BQ70" s="6">
        <v>0</v>
      </c>
      <c r="BR70" s="6">
        <v>0</v>
      </c>
      <c r="BS70" s="6">
        <v>0</v>
      </c>
      <c r="BT70" s="6">
        <v>0</v>
      </c>
      <c r="BU70" s="6">
        <v>0</v>
      </c>
      <c r="BV70" s="6">
        <v>0</v>
      </c>
      <c r="BW70" s="6">
        <v>0</v>
      </c>
      <c r="BX70" s="6">
        <v>0</v>
      </c>
      <c r="BY70" s="6">
        <v>0</v>
      </c>
      <c r="BZ70" s="6">
        <v>0</v>
      </c>
      <c r="CA70" s="6">
        <v>0</v>
      </c>
      <c r="CB70" s="6">
        <v>0</v>
      </c>
      <c r="CC70" s="6">
        <v>0</v>
      </c>
      <c r="CD70" s="6">
        <v>0</v>
      </c>
      <c r="CE70" s="6">
        <v>0</v>
      </c>
      <c r="CF70" s="6">
        <v>0</v>
      </c>
      <c r="CG70" s="6">
        <v>0</v>
      </c>
      <c r="CH70" s="6">
        <v>0</v>
      </c>
      <c r="CI70" s="6">
        <v>0</v>
      </c>
      <c r="CJ70" s="6">
        <v>0</v>
      </c>
      <c r="CK70" s="6">
        <v>0</v>
      </c>
      <c r="CL70" s="6">
        <v>0</v>
      </c>
      <c r="CM70" s="6">
        <v>0</v>
      </c>
      <c r="CN70" s="6">
        <v>0.33360311390000003</v>
      </c>
      <c r="CO70" s="6"/>
      <c r="CP70" s="6"/>
      <c r="CQ70" s="6"/>
      <c r="CR70" s="6"/>
      <c r="CS70" s="6"/>
      <c r="CT70" s="6"/>
      <c r="CU70" s="6"/>
      <c r="CV70" s="6"/>
      <c r="CW70" s="6"/>
      <c r="CX70" s="6"/>
      <c r="CY70" s="6"/>
      <c r="CZ70" s="6"/>
      <c r="DA70" s="6"/>
      <c r="DB70" s="6"/>
      <c r="DC70" s="6"/>
      <c r="DD70" s="6"/>
      <c r="DE70" s="6"/>
      <c r="DF70" s="6"/>
      <c r="DG70" s="6"/>
      <c r="DH70" s="6"/>
      <c r="DI70" s="6"/>
      <c r="DJ70" s="6"/>
      <c r="DK70" s="6"/>
      <c r="DL70" s="6"/>
      <c r="DM70" s="7">
        <v>3.5906846522999998</v>
      </c>
      <c r="DN70" s="7">
        <f t="shared" si="1"/>
        <v>99.999980192199985</v>
      </c>
      <c r="DO70" s="7"/>
      <c r="DP70" s="6">
        <v>3.9927792000000002E-3</v>
      </c>
      <c r="DQ70" s="6">
        <v>0.83347380159999995</v>
      </c>
      <c r="DR70" s="6">
        <v>2.0986185073999999</v>
      </c>
      <c r="DS70" s="6">
        <v>0.41643053289999998</v>
      </c>
      <c r="DT70" s="6">
        <v>0.51809287069999999</v>
      </c>
      <c r="DU70" s="6">
        <v>4.3237589299999997E-2</v>
      </c>
      <c r="DV70" s="6">
        <v>0.51158899069999997</v>
      </c>
      <c r="DW70" s="6">
        <v>1.9430454968999999</v>
      </c>
      <c r="DX70" s="6">
        <v>11.367532730100001</v>
      </c>
      <c r="DY70" s="6">
        <v>7.0630059241999996</v>
      </c>
      <c r="DZ70" s="6">
        <v>63.222335815400001</v>
      </c>
      <c r="EA70" s="6">
        <v>2.0508053302999998</v>
      </c>
      <c r="EB70" s="6">
        <v>0.33305498960000002</v>
      </c>
      <c r="EC70" s="6">
        <v>1.616943121</v>
      </c>
      <c r="ED70" s="6">
        <v>1.7807934284</v>
      </c>
      <c r="EE70" s="6">
        <v>3.9209215640999999</v>
      </c>
      <c r="EF70" s="6">
        <v>1.6865950823</v>
      </c>
      <c r="EG70" s="6">
        <v>0.58181834219999995</v>
      </c>
      <c r="EH70" s="6">
        <v>7.7154151999999998E-3</v>
      </c>
      <c r="EI70" s="152"/>
    </row>
    <row r="71" spans="1:139" s="2" customFormat="1">
      <c r="A71" s="4">
        <v>46126</v>
      </c>
      <c r="B71" s="8"/>
      <c r="C71" s="3">
        <v>1</v>
      </c>
      <c r="D71" s="90" t="s">
        <v>366</v>
      </c>
      <c r="E71" s="3">
        <v>210</v>
      </c>
      <c r="F71" s="3">
        <v>210.1</v>
      </c>
      <c r="G71" s="3">
        <v>24.0017</v>
      </c>
      <c r="H71" s="3">
        <v>24.0075</v>
      </c>
      <c r="I71" s="3">
        <v>782.49099999999999</v>
      </c>
      <c r="J71" s="3">
        <v>778.92399999999998</v>
      </c>
      <c r="K71" s="3">
        <v>0</v>
      </c>
      <c r="L71" s="3">
        <v>0</v>
      </c>
      <c r="M71" s="3">
        <v>781.28700000000003</v>
      </c>
      <c r="N71" s="3">
        <v>783.30200000000002</v>
      </c>
      <c r="O71" s="3">
        <v>0</v>
      </c>
      <c r="P71" s="3">
        <v>0</v>
      </c>
      <c r="Q71" s="3">
        <v>0.15327499999999999</v>
      </c>
      <c r="R71" s="3">
        <v>1999.14</v>
      </c>
      <c r="S71" s="3">
        <v>1999.89</v>
      </c>
      <c r="T71" s="3">
        <v>0</v>
      </c>
      <c r="U71" s="3">
        <v>0</v>
      </c>
      <c r="V71" s="3">
        <v>2000.3</v>
      </c>
      <c r="W71" s="3">
        <v>2000.17</v>
      </c>
      <c r="X71" s="3">
        <v>0</v>
      </c>
      <c r="Y71" s="3">
        <v>0</v>
      </c>
      <c r="Z71" s="3">
        <v>220</v>
      </c>
      <c r="AA71" s="3">
        <v>2.0017200000000002</v>
      </c>
      <c r="AB71" s="3">
        <v>1.9984599999999999</v>
      </c>
      <c r="AC71" s="3">
        <v>-6.2274599999999999E-2</v>
      </c>
      <c r="AD71" s="3">
        <v>7.4237900000000004E-4</v>
      </c>
      <c r="AE71" s="3">
        <v>1.9999100000000001</v>
      </c>
      <c r="AF71" s="3">
        <v>1.9956199999999999</v>
      </c>
      <c r="AG71" s="3">
        <v>-9.32925E-2</v>
      </c>
      <c r="AH71" s="54">
        <v>-2.0062199999999999E-2</v>
      </c>
      <c r="AI71" s="7">
        <v>24.135493</v>
      </c>
      <c r="AJ71" s="7">
        <v>58.735424999999999</v>
      </c>
      <c r="AK71" s="3"/>
      <c r="AL71" s="6">
        <v>87.588050842000001</v>
      </c>
      <c r="AM71" s="6">
        <v>83.592956543</v>
      </c>
      <c r="AN71" s="6">
        <v>15.794474601999999</v>
      </c>
      <c r="AO71" s="6">
        <v>34.010429381999998</v>
      </c>
      <c r="AP71" s="6">
        <v>0</v>
      </c>
      <c r="AQ71" s="6">
        <v>0</v>
      </c>
      <c r="AR71" s="6">
        <v>0.49315065149999998</v>
      </c>
      <c r="AS71" s="6">
        <v>0.26918035750000002</v>
      </c>
      <c r="AT71" s="6">
        <v>2.7663921899999999E-2</v>
      </c>
      <c r="AU71" s="6">
        <v>71.081619262999993</v>
      </c>
      <c r="AV71" s="6">
        <v>5.4789309501999996</v>
      </c>
      <c r="AW71" s="6">
        <v>1.1864007711</v>
      </c>
      <c r="AX71" s="6">
        <v>0</v>
      </c>
      <c r="AY71" s="6">
        <v>0</v>
      </c>
      <c r="AZ71" s="6">
        <v>0</v>
      </c>
      <c r="BA71" s="6">
        <v>0</v>
      </c>
      <c r="BB71" s="6">
        <v>0</v>
      </c>
      <c r="BC71" s="6">
        <v>0</v>
      </c>
      <c r="BD71" s="6">
        <v>0</v>
      </c>
      <c r="BE71" s="6">
        <v>0</v>
      </c>
      <c r="BF71" s="6">
        <v>0</v>
      </c>
      <c r="BG71" s="6">
        <v>0</v>
      </c>
      <c r="BH71" s="6">
        <v>1.3216482401</v>
      </c>
      <c r="BI71" s="6">
        <v>0.34050136800000003</v>
      </c>
      <c r="BJ71" s="6">
        <v>13.239486694</v>
      </c>
      <c r="BK71" s="6">
        <v>2.742603302</v>
      </c>
      <c r="BL71" s="6">
        <v>0</v>
      </c>
      <c r="BM71" s="6">
        <v>0</v>
      </c>
      <c r="BN71" s="6">
        <v>0</v>
      </c>
      <c r="BO71" s="6">
        <v>0</v>
      </c>
      <c r="BP71" s="6">
        <v>0</v>
      </c>
      <c r="BQ71" s="6">
        <v>0</v>
      </c>
      <c r="BR71" s="6">
        <v>0</v>
      </c>
      <c r="BS71" s="6">
        <v>0</v>
      </c>
      <c r="BT71" s="6">
        <v>0</v>
      </c>
      <c r="BU71" s="6">
        <v>0</v>
      </c>
      <c r="BV71" s="6">
        <v>0</v>
      </c>
      <c r="BW71" s="6">
        <v>0</v>
      </c>
      <c r="BX71" s="6">
        <v>0</v>
      </c>
      <c r="BY71" s="6">
        <v>0</v>
      </c>
      <c r="BZ71" s="6">
        <v>0</v>
      </c>
      <c r="CA71" s="6">
        <v>0</v>
      </c>
      <c r="CB71" s="6">
        <v>0</v>
      </c>
      <c r="CC71" s="6">
        <v>0</v>
      </c>
      <c r="CD71" s="6">
        <v>0</v>
      </c>
      <c r="CE71" s="6">
        <v>0</v>
      </c>
      <c r="CF71" s="6">
        <v>0</v>
      </c>
      <c r="CG71" s="6">
        <v>0</v>
      </c>
      <c r="CH71" s="6">
        <v>0</v>
      </c>
      <c r="CI71" s="6">
        <v>0</v>
      </c>
      <c r="CJ71" s="6">
        <v>0</v>
      </c>
      <c r="CK71" s="6">
        <v>0</v>
      </c>
      <c r="CL71" s="6">
        <v>0</v>
      </c>
      <c r="CM71" s="6">
        <v>0</v>
      </c>
      <c r="CN71" s="6">
        <v>0.32744517919999999</v>
      </c>
      <c r="CO71" s="6"/>
      <c r="CP71" s="6"/>
      <c r="CQ71" s="6"/>
      <c r="CR71" s="6"/>
      <c r="CS71" s="6"/>
      <c r="CT71" s="6"/>
      <c r="CU71" s="6"/>
      <c r="CV71" s="6"/>
      <c r="CW71" s="6"/>
      <c r="CX71" s="6"/>
      <c r="CY71" s="6"/>
      <c r="CZ71" s="6"/>
      <c r="DA71" s="6"/>
      <c r="DB71" s="6"/>
      <c r="DC71" s="6"/>
      <c r="DD71" s="6"/>
      <c r="DE71" s="6"/>
      <c r="DF71" s="6"/>
      <c r="DG71" s="6"/>
      <c r="DH71" s="6"/>
      <c r="DI71" s="6"/>
      <c r="DJ71" s="6"/>
      <c r="DK71" s="6"/>
      <c r="DL71" s="6"/>
      <c r="DM71" s="7">
        <v>3.4913439750999999</v>
      </c>
      <c r="DN71" s="7">
        <f t="shared" si="1"/>
        <v>99.999974673599993</v>
      </c>
      <c r="DO71" s="7"/>
      <c r="DP71" s="6">
        <v>2.1506327000000002E-3</v>
      </c>
      <c r="DQ71" s="6">
        <v>0.49303233619999998</v>
      </c>
      <c r="DR71" s="6">
        <v>1.3213311433999999</v>
      </c>
      <c r="DS71" s="6">
        <v>0.26911577580000001</v>
      </c>
      <c r="DT71" s="6">
        <v>0.34041967989999999</v>
      </c>
      <c r="DU71" s="6">
        <v>2.7657285300000001E-2</v>
      </c>
      <c r="DV71" s="6">
        <v>0.2891548276</v>
      </c>
      <c r="DW71" s="6">
        <v>1.1031240225000001</v>
      </c>
      <c r="DX71" s="6">
        <v>7.2913951874</v>
      </c>
      <c r="DY71" s="6">
        <v>4.5526366233999997</v>
      </c>
      <c r="DZ71" s="6">
        <v>71.064567565900006</v>
      </c>
      <c r="EA71" s="6">
        <v>1.5442075729</v>
      </c>
      <c r="EB71" s="6">
        <v>0.32736662030000002</v>
      </c>
      <c r="EC71" s="6">
        <v>1.3565151690999999</v>
      </c>
      <c r="ED71" s="6">
        <v>1.3854302167999999</v>
      </c>
      <c r="EE71" s="6">
        <v>5.4776163101000002</v>
      </c>
      <c r="EF71" s="6">
        <v>1.9586414099</v>
      </c>
      <c r="EG71" s="6">
        <v>1.1861162186</v>
      </c>
      <c r="EH71" s="6">
        <v>9.4826613000000004E-3</v>
      </c>
      <c r="EI71" s="152"/>
    </row>
    <row r="72" spans="1:139" s="2" customFormat="1">
      <c r="A72" s="4">
        <v>46126</v>
      </c>
      <c r="B72" s="8"/>
      <c r="C72" s="3">
        <v>2</v>
      </c>
      <c r="D72" s="90" t="s">
        <v>367</v>
      </c>
      <c r="E72" s="3">
        <v>210.1</v>
      </c>
      <c r="F72" s="3">
        <v>210</v>
      </c>
      <c r="G72" s="3">
        <v>23.968499999999999</v>
      </c>
      <c r="H72" s="3">
        <v>23.994499999999999</v>
      </c>
      <c r="I72" s="3">
        <v>818.74099999999999</v>
      </c>
      <c r="J72" s="3">
        <v>826.71</v>
      </c>
      <c r="K72" s="3">
        <v>0</v>
      </c>
      <c r="L72" s="3">
        <v>0</v>
      </c>
      <c r="M72" s="3">
        <v>824.36400000000003</v>
      </c>
      <c r="N72" s="3">
        <v>815.303</v>
      </c>
      <c r="O72" s="3">
        <v>0</v>
      </c>
      <c r="P72" s="3">
        <v>0</v>
      </c>
      <c r="Q72" s="3">
        <v>0.286879</v>
      </c>
      <c r="R72" s="3">
        <v>1999.66</v>
      </c>
      <c r="S72" s="3">
        <v>1999.88</v>
      </c>
      <c r="T72" s="3">
        <v>0</v>
      </c>
      <c r="U72" s="3">
        <v>0</v>
      </c>
      <c r="V72" s="3">
        <v>2000.01</v>
      </c>
      <c r="W72" s="3">
        <v>1999.38</v>
      </c>
      <c r="X72" s="3">
        <v>0</v>
      </c>
      <c r="Y72" s="3">
        <v>0</v>
      </c>
      <c r="Z72" s="3">
        <v>220</v>
      </c>
      <c r="AA72" s="3">
        <v>1.99777</v>
      </c>
      <c r="AB72" s="3">
        <v>1.99935</v>
      </c>
      <c r="AC72" s="3">
        <v>-6.8468000000000001E-2</v>
      </c>
      <c r="AD72" s="3">
        <v>2.2291800000000001E-4</v>
      </c>
      <c r="AE72" s="3">
        <v>2.0015200000000002</v>
      </c>
      <c r="AF72" s="3">
        <v>2.0009100000000002</v>
      </c>
      <c r="AG72" s="3">
        <v>-9.4651399999999997E-2</v>
      </c>
      <c r="AH72" s="3">
        <v>-1.16937E-2</v>
      </c>
      <c r="AI72" s="7">
        <v>21.891292</v>
      </c>
      <c r="AJ72" s="7">
        <v>59.736103999999997</v>
      </c>
      <c r="AK72" s="3"/>
      <c r="AL72" s="6">
        <v>87.478096007999994</v>
      </c>
      <c r="AM72" s="6">
        <v>83.59046936</v>
      </c>
      <c r="AN72" s="6">
        <v>15.838500977000001</v>
      </c>
      <c r="AO72" s="6">
        <v>33.571178435999997</v>
      </c>
      <c r="AP72" s="6">
        <v>0</v>
      </c>
      <c r="AQ72" s="6">
        <v>0</v>
      </c>
      <c r="AR72" s="6">
        <v>0.52015757559999998</v>
      </c>
      <c r="AS72" s="6">
        <v>0.27075716849999998</v>
      </c>
      <c r="AT72" s="6">
        <v>3.06096431E-2</v>
      </c>
      <c r="AU72" s="6">
        <v>71.952613830999994</v>
      </c>
      <c r="AV72" s="6">
        <v>5.7840433120999997</v>
      </c>
      <c r="AW72" s="6">
        <v>1.3516668081000001</v>
      </c>
      <c r="AX72" s="6">
        <v>0</v>
      </c>
      <c r="AY72" s="6">
        <v>0</v>
      </c>
      <c r="AZ72" s="6">
        <v>0</v>
      </c>
      <c r="BA72" s="6">
        <v>0</v>
      </c>
      <c r="BB72" s="6">
        <v>0</v>
      </c>
      <c r="BC72" s="6">
        <v>0</v>
      </c>
      <c r="BD72" s="6">
        <v>0</v>
      </c>
      <c r="BE72" s="6">
        <v>0</v>
      </c>
      <c r="BF72" s="6">
        <v>0</v>
      </c>
      <c r="BG72" s="6">
        <v>0</v>
      </c>
      <c r="BH72" s="6">
        <v>1.3797464370999999</v>
      </c>
      <c r="BI72" s="6">
        <v>0.34400856489999998</v>
      </c>
      <c r="BJ72" s="6">
        <v>12.369983673</v>
      </c>
      <c r="BK72" s="6">
        <v>2.4637632370000002</v>
      </c>
      <c r="BL72" s="6">
        <v>0</v>
      </c>
      <c r="BM72" s="6">
        <v>0</v>
      </c>
      <c r="BN72" s="6">
        <v>0</v>
      </c>
      <c r="BO72" s="6">
        <v>0</v>
      </c>
      <c r="BP72" s="6">
        <v>0</v>
      </c>
      <c r="BQ72" s="6">
        <v>0</v>
      </c>
      <c r="BR72" s="6">
        <v>0</v>
      </c>
      <c r="BS72" s="6">
        <v>0</v>
      </c>
      <c r="BT72" s="6">
        <v>0</v>
      </c>
      <c r="BU72" s="6">
        <v>0</v>
      </c>
      <c r="BV72" s="6">
        <v>0</v>
      </c>
      <c r="BW72" s="6">
        <v>0</v>
      </c>
      <c r="BX72" s="6">
        <v>0</v>
      </c>
      <c r="BY72" s="6">
        <v>0</v>
      </c>
      <c r="BZ72" s="6">
        <v>0</v>
      </c>
      <c r="CA72" s="6">
        <v>0</v>
      </c>
      <c r="CB72" s="6">
        <v>0</v>
      </c>
      <c r="CC72" s="6">
        <v>0</v>
      </c>
      <c r="CD72" s="6">
        <v>0</v>
      </c>
      <c r="CE72" s="6">
        <v>0</v>
      </c>
      <c r="CF72" s="6">
        <v>0</v>
      </c>
      <c r="CG72" s="6">
        <v>0</v>
      </c>
      <c r="CH72" s="6">
        <v>0</v>
      </c>
      <c r="CI72" s="6">
        <v>0</v>
      </c>
      <c r="CJ72" s="6">
        <v>0</v>
      </c>
      <c r="CK72" s="6">
        <v>0</v>
      </c>
      <c r="CL72" s="6">
        <v>0</v>
      </c>
      <c r="CM72" s="6">
        <v>0</v>
      </c>
      <c r="CN72" s="6">
        <v>0.3061141074</v>
      </c>
      <c r="CO72" s="6"/>
      <c r="CP72" s="6"/>
      <c r="CQ72" s="6"/>
      <c r="CR72" s="6"/>
      <c r="CS72" s="6"/>
      <c r="CT72" s="6"/>
      <c r="CU72" s="6"/>
      <c r="CV72" s="6"/>
      <c r="CW72" s="6"/>
      <c r="CX72" s="6"/>
      <c r="CY72" s="6"/>
      <c r="CZ72" s="6"/>
      <c r="DA72" s="6"/>
      <c r="DB72" s="6"/>
      <c r="DC72" s="6"/>
      <c r="DD72" s="6"/>
      <c r="DE72" s="6"/>
      <c r="DF72" s="6"/>
      <c r="DG72" s="6"/>
      <c r="DH72" s="6"/>
      <c r="DI72" s="6"/>
      <c r="DJ72" s="6"/>
      <c r="DK72" s="6"/>
      <c r="DL72" s="6"/>
      <c r="DM72" s="7">
        <v>3.2265524864000001</v>
      </c>
      <c r="DN72" s="7">
        <f t="shared" si="1"/>
        <v>100.00001684419999</v>
      </c>
      <c r="DO72" s="7"/>
      <c r="DP72" s="6">
        <v>1.8223563999999999E-3</v>
      </c>
      <c r="DQ72" s="6">
        <v>0.51999622580000004</v>
      </c>
      <c r="DR72" s="6">
        <v>1.3793183565</v>
      </c>
      <c r="DS72" s="6">
        <v>0.27067315580000001</v>
      </c>
      <c r="DT72" s="6">
        <v>0.34390184280000002</v>
      </c>
      <c r="DU72" s="6">
        <v>3.0600147300000002E-2</v>
      </c>
      <c r="DV72" s="6">
        <v>0.29523631929999999</v>
      </c>
      <c r="DW72" s="6">
        <v>1.0987386702999999</v>
      </c>
      <c r="DX72" s="6">
        <v>6.7860012053999998</v>
      </c>
      <c r="DY72" s="6">
        <v>4.1861696242999997</v>
      </c>
      <c r="DZ72" s="6">
        <v>71.9302902222</v>
      </c>
      <c r="EA72" s="6">
        <v>1.4564760923</v>
      </c>
      <c r="EB72" s="6">
        <v>0.30601912739999998</v>
      </c>
      <c r="EC72" s="6">
        <v>1.2211709022999999</v>
      </c>
      <c r="ED72" s="6">
        <v>1.2418279647999999</v>
      </c>
      <c r="EE72" s="6">
        <v>5.7822489737999998</v>
      </c>
      <c r="EF72" s="6">
        <v>1.7868978977000001</v>
      </c>
      <c r="EG72" s="6">
        <v>1.3512474297999999</v>
      </c>
      <c r="EH72" s="6">
        <v>1.1352533499999999E-2</v>
      </c>
      <c r="EI72" s="152"/>
    </row>
    <row r="73" spans="1:139" s="2" customFormat="1">
      <c r="A73" s="4">
        <v>46126</v>
      </c>
      <c r="B73" s="8"/>
      <c r="C73" s="3">
        <v>5</v>
      </c>
      <c r="D73" s="90" t="s">
        <v>368</v>
      </c>
      <c r="E73" s="3">
        <v>210</v>
      </c>
      <c r="F73" s="3">
        <v>210</v>
      </c>
      <c r="G73" s="3">
        <v>23.991599999999998</v>
      </c>
      <c r="H73" s="3">
        <v>24.0061</v>
      </c>
      <c r="I73" s="3">
        <v>776.346</v>
      </c>
      <c r="J73" s="3">
        <v>769.10799999999995</v>
      </c>
      <c r="K73" s="3">
        <v>0</v>
      </c>
      <c r="L73" s="3">
        <v>0</v>
      </c>
      <c r="M73" s="3">
        <v>772.12099999999998</v>
      </c>
      <c r="N73" s="3">
        <v>780.00099999999998</v>
      </c>
      <c r="O73" s="3">
        <v>0</v>
      </c>
      <c r="P73" s="3">
        <v>0</v>
      </c>
      <c r="Q73" s="3">
        <v>0.31506299999999998</v>
      </c>
      <c r="R73" s="3">
        <v>2000.43</v>
      </c>
      <c r="S73" s="3">
        <v>1999.38</v>
      </c>
      <c r="T73" s="3">
        <v>0</v>
      </c>
      <c r="U73" s="3">
        <v>0</v>
      </c>
      <c r="V73" s="3">
        <v>2000.04</v>
      </c>
      <c r="W73" s="3">
        <v>2000.07</v>
      </c>
      <c r="X73" s="3">
        <v>0</v>
      </c>
      <c r="Y73" s="3">
        <v>0</v>
      </c>
      <c r="Z73" s="3">
        <v>220</v>
      </c>
      <c r="AA73" s="3">
        <v>2.0002200000000001</v>
      </c>
      <c r="AB73" s="3">
        <v>1.99983</v>
      </c>
      <c r="AC73" s="3">
        <v>-7.2169700000000003E-2</v>
      </c>
      <c r="AD73" s="3">
        <v>4.4573599999999996E-3</v>
      </c>
      <c r="AE73" s="3">
        <v>1.9984500000000001</v>
      </c>
      <c r="AF73" s="3">
        <v>2.00081</v>
      </c>
      <c r="AG73" s="3">
        <v>-0.11086500000000001</v>
      </c>
      <c r="AH73" s="3">
        <v>0.14279700000000001</v>
      </c>
      <c r="AI73" s="7">
        <v>24.019653000000002</v>
      </c>
      <c r="AJ73" s="7">
        <v>58.323152</v>
      </c>
      <c r="AK73" s="3"/>
      <c r="AL73" s="6">
        <v>88.479286193999997</v>
      </c>
      <c r="AM73" s="6">
        <v>83.612892150999997</v>
      </c>
      <c r="AN73" s="6">
        <v>16.283803939999999</v>
      </c>
      <c r="AO73" s="6">
        <v>24.022018433</v>
      </c>
      <c r="AP73" s="6">
        <v>0</v>
      </c>
      <c r="AQ73" s="6">
        <v>0</v>
      </c>
      <c r="AR73" s="6">
        <v>0</v>
      </c>
      <c r="AS73" s="6">
        <v>0</v>
      </c>
      <c r="AT73" s="6">
        <v>1.0739859E-3</v>
      </c>
      <c r="AU73" s="280">
        <v>84.318817139000004</v>
      </c>
      <c r="AV73" s="280">
        <v>9.7390508651999994</v>
      </c>
      <c r="AW73" s="280">
        <v>4.7826156616000004</v>
      </c>
      <c r="AX73" s="6">
        <v>0</v>
      </c>
      <c r="AY73" s="6">
        <v>0</v>
      </c>
      <c r="AZ73" s="6">
        <v>0</v>
      </c>
      <c r="BA73" s="6">
        <v>0</v>
      </c>
      <c r="BB73" s="6">
        <v>0</v>
      </c>
      <c r="BC73" s="6">
        <v>0</v>
      </c>
      <c r="BD73" s="6">
        <v>0</v>
      </c>
      <c r="BE73" s="6">
        <v>0</v>
      </c>
      <c r="BF73" s="6">
        <v>0</v>
      </c>
      <c r="BG73" s="6">
        <v>0</v>
      </c>
      <c r="BH73" s="6">
        <v>7.0118440000000001E-4</v>
      </c>
      <c r="BI73" s="6">
        <v>5.8515840000000004E-4</v>
      </c>
      <c r="BJ73" s="6">
        <v>0.41795843840000002</v>
      </c>
      <c r="BK73" s="6">
        <v>1.0100541000000001E-3</v>
      </c>
      <c r="BL73" s="6">
        <v>0</v>
      </c>
      <c r="BM73" s="6">
        <v>0</v>
      </c>
      <c r="BN73" s="6">
        <v>0</v>
      </c>
      <c r="BO73" s="6">
        <v>0</v>
      </c>
      <c r="BP73" s="6">
        <v>0</v>
      </c>
      <c r="BQ73" s="6">
        <v>0</v>
      </c>
      <c r="BR73" s="6">
        <v>0</v>
      </c>
      <c r="BS73" s="6">
        <v>0</v>
      </c>
      <c r="BT73" s="6">
        <v>0</v>
      </c>
      <c r="BU73" s="6">
        <v>0</v>
      </c>
      <c r="BV73" s="6">
        <v>0</v>
      </c>
      <c r="BW73" s="6">
        <v>0</v>
      </c>
      <c r="BX73" s="6">
        <v>0</v>
      </c>
      <c r="BY73" s="6">
        <v>0</v>
      </c>
      <c r="BZ73" s="6">
        <v>0</v>
      </c>
      <c r="CA73" s="6">
        <v>0</v>
      </c>
      <c r="CB73" s="6">
        <v>0</v>
      </c>
      <c r="CC73" s="6">
        <v>0</v>
      </c>
      <c r="CD73" s="6">
        <v>0</v>
      </c>
      <c r="CE73" s="6">
        <v>0</v>
      </c>
      <c r="CF73" s="6">
        <v>0</v>
      </c>
      <c r="CG73" s="6">
        <v>0</v>
      </c>
      <c r="CH73" s="6">
        <v>0</v>
      </c>
      <c r="CI73" s="6">
        <v>0</v>
      </c>
      <c r="CJ73" s="6">
        <v>0</v>
      </c>
      <c r="CK73" s="6">
        <v>0</v>
      </c>
      <c r="CL73" s="6">
        <v>0</v>
      </c>
      <c r="CM73" s="6">
        <v>0</v>
      </c>
      <c r="CN73" s="6">
        <v>0.55734306570000003</v>
      </c>
      <c r="CO73" s="6"/>
      <c r="CP73" s="6"/>
      <c r="CQ73" s="6"/>
      <c r="CR73" s="6"/>
      <c r="CS73" s="6"/>
      <c r="CT73" s="6"/>
      <c r="CU73" s="6"/>
      <c r="CV73" s="6"/>
      <c r="CW73" s="6"/>
      <c r="CX73" s="6"/>
      <c r="CY73" s="6"/>
      <c r="CZ73" s="6"/>
      <c r="DA73" s="6"/>
      <c r="DB73" s="6"/>
      <c r="DC73" s="6"/>
      <c r="DD73" s="6"/>
      <c r="DE73" s="6"/>
      <c r="DF73" s="6"/>
      <c r="DG73" s="6"/>
      <c r="DH73" s="6"/>
      <c r="DI73" s="6"/>
      <c r="DJ73" s="6"/>
      <c r="DK73" s="6"/>
      <c r="DL73" s="6"/>
      <c r="DM73" s="7">
        <v>0.18085278569999999</v>
      </c>
      <c r="DN73" s="7">
        <f t="shared" si="1"/>
        <v>100.00000833840002</v>
      </c>
      <c r="DO73" s="7"/>
      <c r="DP73" s="6">
        <v>7.0132289999999997E-4</v>
      </c>
      <c r="DQ73" s="6">
        <v>5.8527389999999996E-4</v>
      </c>
      <c r="DR73" s="6">
        <v>1.0741981E-3</v>
      </c>
      <c r="DS73" s="6">
        <v>1.3118958E-3</v>
      </c>
      <c r="DT73" s="6">
        <v>3.9365552400000003E-2</v>
      </c>
      <c r="DU73" s="6">
        <v>0.37736350299999999</v>
      </c>
      <c r="DV73" s="6">
        <v>84.335464477499997</v>
      </c>
      <c r="DW73" s="6">
        <v>0.55745309590000003</v>
      </c>
      <c r="DX73" s="6">
        <v>1.0102536E-3</v>
      </c>
      <c r="DY73" s="6">
        <v>1.00886198E-2</v>
      </c>
      <c r="DZ73" s="6">
        <v>9.7409734726000003</v>
      </c>
      <c r="EA73" s="6">
        <v>0.132880792</v>
      </c>
      <c r="EB73" s="6">
        <v>4.7835602760000002</v>
      </c>
      <c r="EC73" s="6">
        <v>1.8156129900000002E-2</v>
      </c>
      <c r="ED73" s="6"/>
      <c r="EE73" s="6"/>
      <c r="EF73" s="6"/>
      <c r="EG73" s="6"/>
      <c r="EH73" s="6"/>
      <c r="EI73" s="152"/>
    </row>
    <row r="74" spans="1:139" s="2" customFormat="1">
      <c r="A74" s="4">
        <v>46126</v>
      </c>
      <c r="B74" s="8"/>
      <c r="C74" s="3">
        <v>6</v>
      </c>
      <c r="D74" s="90" t="s">
        <v>369</v>
      </c>
      <c r="E74" s="3">
        <v>210</v>
      </c>
      <c r="F74" s="3">
        <v>210.1</v>
      </c>
      <c r="G74" s="3">
        <v>24.024899999999999</v>
      </c>
      <c r="H74" s="3">
        <v>24.0017</v>
      </c>
      <c r="I74" s="3">
        <v>722.52599999999995</v>
      </c>
      <c r="J74" s="3">
        <v>729.54399999999998</v>
      </c>
      <c r="K74" s="3">
        <v>0</v>
      </c>
      <c r="L74" s="3">
        <v>0</v>
      </c>
      <c r="M74" s="3">
        <v>725.42899999999997</v>
      </c>
      <c r="N74" s="3">
        <v>720.15099999999995</v>
      </c>
      <c r="O74" s="3">
        <v>0</v>
      </c>
      <c r="P74" s="3">
        <v>0</v>
      </c>
      <c r="Q74" s="3">
        <v>0.31261699999999998</v>
      </c>
      <c r="R74" s="3">
        <v>1999.87</v>
      </c>
      <c r="S74" s="3">
        <v>1999.62</v>
      </c>
      <c r="T74" s="3">
        <v>0</v>
      </c>
      <c r="U74" s="3">
        <v>0</v>
      </c>
      <c r="V74" s="3">
        <v>2000.18</v>
      </c>
      <c r="W74" s="3">
        <v>2000.47</v>
      </c>
      <c r="X74" s="3">
        <v>0</v>
      </c>
      <c r="Y74" s="3">
        <v>0</v>
      </c>
      <c r="Z74" s="3">
        <v>220</v>
      </c>
      <c r="AA74" s="3">
        <v>1.9987600000000001</v>
      </c>
      <c r="AB74" s="3">
        <v>2.0021599999999999</v>
      </c>
      <c r="AC74" s="3">
        <v>-7.2783899999999999E-2</v>
      </c>
      <c r="AD74" s="3">
        <v>6.6602500000000004E-3</v>
      </c>
      <c r="AE74" s="3">
        <v>1.99895</v>
      </c>
      <c r="AF74" s="3">
        <v>1.99987</v>
      </c>
      <c r="AG74" s="3">
        <v>-0.10649</v>
      </c>
      <c r="AH74" s="3">
        <v>1.8410200000000002E-2</v>
      </c>
      <c r="AI74" s="7">
        <v>22.126512000000002</v>
      </c>
      <c r="AJ74" s="7">
        <v>58.993845999999998</v>
      </c>
      <c r="AK74" s="3"/>
      <c r="AL74" s="6">
        <v>86.683135985999996</v>
      </c>
      <c r="AM74" s="6">
        <v>83.568710327000005</v>
      </c>
      <c r="AN74" s="6">
        <v>15.799384117000001</v>
      </c>
      <c r="AO74" s="6">
        <v>39.624305724999999</v>
      </c>
      <c r="AP74" s="6">
        <v>0</v>
      </c>
      <c r="AQ74" s="6">
        <v>0</v>
      </c>
      <c r="AR74" s="6">
        <v>0.83294874429999999</v>
      </c>
      <c r="AS74" s="6">
        <v>0.41512775419999998</v>
      </c>
      <c r="AT74" s="6">
        <v>4.33145687E-2</v>
      </c>
      <c r="AU74" s="6">
        <v>63.711505889999998</v>
      </c>
      <c r="AV74" s="6">
        <v>4.0092372893999997</v>
      </c>
      <c r="AW74" s="6">
        <v>0.60856705899999997</v>
      </c>
      <c r="AX74" s="6">
        <v>0</v>
      </c>
      <c r="AY74" s="6">
        <v>0</v>
      </c>
      <c r="AZ74" s="6">
        <v>0</v>
      </c>
      <c r="BA74" s="6">
        <v>0</v>
      </c>
      <c r="BB74" s="6">
        <v>0</v>
      </c>
      <c r="BC74" s="6">
        <v>0</v>
      </c>
      <c r="BD74" s="6">
        <v>0</v>
      </c>
      <c r="BE74" s="6">
        <v>0</v>
      </c>
      <c r="BF74" s="6">
        <v>0</v>
      </c>
      <c r="BG74" s="6">
        <v>0</v>
      </c>
      <c r="BH74" s="6">
        <v>2.0961797237000002</v>
      </c>
      <c r="BI74" s="6">
        <v>0.51816606519999997</v>
      </c>
      <c r="BJ74" s="6">
        <v>20.489162445000002</v>
      </c>
      <c r="BK74" s="6">
        <v>3.3465061187999998</v>
      </c>
      <c r="BL74" s="6">
        <v>0</v>
      </c>
      <c r="BM74" s="6">
        <v>0</v>
      </c>
      <c r="BN74" s="6">
        <v>0</v>
      </c>
      <c r="BO74" s="6">
        <v>0</v>
      </c>
      <c r="BP74" s="6">
        <v>0</v>
      </c>
      <c r="BQ74" s="6">
        <v>0</v>
      </c>
      <c r="BR74" s="6">
        <v>0</v>
      </c>
      <c r="BS74" s="6">
        <v>0</v>
      </c>
      <c r="BT74" s="6">
        <v>0</v>
      </c>
      <c r="BU74" s="6">
        <v>0</v>
      </c>
      <c r="BV74" s="6">
        <v>0</v>
      </c>
      <c r="BW74" s="6">
        <v>0</v>
      </c>
      <c r="BX74" s="6">
        <v>0</v>
      </c>
      <c r="BY74" s="6">
        <v>0</v>
      </c>
      <c r="BZ74" s="6">
        <v>0</v>
      </c>
      <c r="CA74" s="6">
        <v>0</v>
      </c>
      <c r="CB74" s="6">
        <v>0</v>
      </c>
      <c r="CC74" s="6">
        <v>0</v>
      </c>
      <c r="CD74" s="6">
        <v>0</v>
      </c>
      <c r="CE74" s="6">
        <v>0</v>
      </c>
      <c r="CF74" s="6">
        <v>0</v>
      </c>
      <c r="CG74" s="6">
        <v>0</v>
      </c>
      <c r="CH74" s="6">
        <v>0</v>
      </c>
      <c r="CI74" s="6">
        <v>0</v>
      </c>
      <c r="CJ74" s="6">
        <v>0</v>
      </c>
      <c r="CK74" s="6">
        <v>0</v>
      </c>
      <c r="CL74" s="6">
        <v>0</v>
      </c>
      <c r="CM74" s="6">
        <v>0</v>
      </c>
      <c r="CN74" s="6">
        <v>0.33845996859999999</v>
      </c>
      <c r="CO74" s="6"/>
      <c r="CP74" s="6"/>
      <c r="CQ74" s="6"/>
      <c r="CR74" s="6"/>
      <c r="CS74" s="6"/>
      <c r="CT74" s="6"/>
      <c r="CU74" s="6"/>
      <c r="CV74" s="6"/>
      <c r="CW74" s="6"/>
      <c r="CX74" s="6"/>
      <c r="CY74" s="6"/>
      <c r="CZ74" s="6"/>
      <c r="DA74" s="6"/>
      <c r="DB74" s="6"/>
      <c r="DC74" s="6"/>
      <c r="DD74" s="6"/>
      <c r="DE74" s="6"/>
      <c r="DF74" s="6"/>
      <c r="DG74" s="6"/>
      <c r="DH74" s="6"/>
      <c r="DI74" s="6"/>
      <c r="DJ74" s="6"/>
      <c r="DK74" s="6"/>
      <c r="DL74" s="6"/>
      <c r="DM74" s="7">
        <v>3.5908076762999999</v>
      </c>
      <c r="DN74" s="7">
        <f t="shared" si="1"/>
        <v>99.999983303200011</v>
      </c>
      <c r="DO74" s="7"/>
      <c r="DP74" s="6">
        <v>4.1010155999999997E-3</v>
      </c>
      <c r="DQ74" s="6">
        <v>0.83155518770000003</v>
      </c>
      <c r="DR74" s="6">
        <v>2.0926728249000002</v>
      </c>
      <c r="DS74" s="6">
        <v>0.4144332409</v>
      </c>
      <c r="DT74" s="6">
        <v>0.51729917530000002</v>
      </c>
      <c r="DU74" s="6">
        <v>4.3242104400000002E-2</v>
      </c>
      <c r="DV74" s="6">
        <v>0.4996831417</v>
      </c>
      <c r="DW74" s="6">
        <v>1.9054617882</v>
      </c>
      <c r="DX74" s="6">
        <v>11.1234912872</v>
      </c>
      <c r="DY74" s="6">
        <v>6.9262466430999998</v>
      </c>
      <c r="DZ74" s="6">
        <v>63.604919433600003</v>
      </c>
      <c r="EA74" s="6">
        <v>2.0607631206999999</v>
      </c>
      <c r="EB74" s="6">
        <v>0.33789372439999998</v>
      </c>
      <c r="EC74" s="6">
        <v>1.5903843640999999</v>
      </c>
      <c r="ED74" s="6">
        <v>1.7505232096000001</v>
      </c>
      <c r="EE74" s="6">
        <v>4.0025300980000003</v>
      </c>
      <c r="EF74" s="6">
        <v>1.6794844866</v>
      </c>
      <c r="EG74" s="6">
        <v>0.60754889249999999</v>
      </c>
      <c r="EH74" s="6">
        <v>7.7705658000000004E-3</v>
      </c>
      <c r="EI74" s="152"/>
    </row>
    <row r="75" spans="1:139" s="2" customFormat="1">
      <c r="A75" s="4">
        <v>46126</v>
      </c>
      <c r="B75" s="8"/>
      <c r="C75" s="3">
        <v>1</v>
      </c>
      <c r="D75" s="90" t="s">
        <v>370</v>
      </c>
      <c r="E75" s="3">
        <v>210</v>
      </c>
      <c r="F75" s="3">
        <v>210.1</v>
      </c>
      <c r="G75" s="3">
        <v>24.0046</v>
      </c>
      <c r="H75" s="3">
        <v>24.011900000000001</v>
      </c>
      <c r="I75" s="3">
        <v>814.66800000000001</v>
      </c>
      <c r="J75" s="3">
        <v>809.697</v>
      </c>
      <c r="K75" s="3">
        <v>0</v>
      </c>
      <c r="L75" s="3">
        <v>0</v>
      </c>
      <c r="M75" s="3">
        <v>811.69799999999998</v>
      </c>
      <c r="N75" s="3">
        <v>816.971</v>
      </c>
      <c r="O75" s="3">
        <v>0</v>
      </c>
      <c r="P75" s="3">
        <v>0</v>
      </c>
      <c r="Q75" s="3">
        <v>0.17363600000000001</v>
      </c>
      <c r="R75" s="3">
        <v>2000.21</v>
      </c>
      <c r="S75" s="3">
        <v>1999.75</v>
      </c>
      <c r="T75" s="3">
        <v>0</v>
      </c>
      <c r="U75" s="3">
        <v>0</v>
      </c>
      <c r="V75" s="3">
        <v>1999.35</v>
      </c>
      <c r="W75" s="3">
        <v>1999.55</v>
      </c>
      <c r="X75" s="3">
        <v>0</v>
      </c>
      <c r="Y75" s="3">
        <v>0</v>
      </c>
      <c r="Z75" s="3">
        <v>220</v>
      </c>
      <c r="AA75" s="3">
        <v>2.0019499999999999</v>
      </c>
      <c r="AB75" s="3">
        <v>2.0002599999999999</v>
      </c>
      <c r="AC75" s="3">
        <v>-7.4569200000000002E-2</v>
      </c>
      <c r="AD75" s="3">
        <v>7.8070700000000002E-3</v>
      </c>
      <c r="AE75" s="3">
        <v>2.0011299999999999</v>
      </c>
      <c r="AF75" s="3">
        <v>1.99926</v>
      </c>
      <c r="AG75" s="3">
        <v>-8.6684899999999995E-2</v>
      </c>
      <c r="AH75" s="3">
        <v>-1.0485400000000001E-2</v>
      </c>
      <c r="AI75" s="7">
        <v>23.649645</v>
      </c>
      <c r="AJ75" s="7">
        <v>58.601180999999997</v>
      </c>
      <c r="AK75" s="3"/>
      <c r="AL75" s="6">
        <v>87.575050353999998</v>
      </c>
      <c r="AM75" s="6">
        <v>83.590927124000004</v>
      </c>
      <c r="AN75" s="6">
        <v>15.798719406</v>
      </c>
      <c r="AO75" s="6">
        <v>33.896465302000003</v>
      </c>
      <c r="AP75" s="6">
        <v>0</v>
      </c>
      <c r="AQ75" s="6">
        <v>0</v>
      </c>
      <c r="AR75" s="6">
        <v>0.49924600120000001</v>
      </c>
      <c r="AS75" s="6">
        <v>0.2711503804</v>
      </c>
      <c r="AT75" s="6">
        <v>2.8437526899999999E-2</v>
      </c>
      <c r="AU75" s="6">
        <v>71.241249084000003</v>
      </c>
      <c r="AV75" s="6">
        <v>5.5525650977999996</v>
      </c>
      <c r="AW75" s="6">
        <v>1.2269865274</v>
      </c>
      <c r="AX75" s="6">
        <v>0</v>
      </c>
      <c r="AY75" s="6">
        <v>0</v>
      </c>
      <c r="AZ75" s="6">
        <v>0</v>
      </c>
      <c r="BA75" s="6">
        <v>0</v>
      </c>
      <c r="BB75" s="6">
        <v>0</v>
      </c>
      <c r="BC75" s="6">
        <v>0</v>
      </c>
      <c r="BD75" s="6">
        <v>0</v>
      </c>
      <c r="BE75" s="6">
        <v>0</v>
      </c>
      <c r="BF75" s="6">
        <v>0</v>
      </c>
      <c r="BG75" s="6">
        <v>0</v>
      </c>
      <c r="BH75" s="6">
        <v>1.3411185741</v>
      </c>
      <c r="BI75" s="6">
        <v>0.34210613369999998</v>
      </c>
      <c r="BJ75" s="6">
        <v>13.021217346</v>
      </c>
      <c r="BK75" s="6">
        <v>2.6866383552999999</v>
      </c>
      <c r="BL75" s="6">
        <v>0</v>
      </c>
      <c r="BM75" s="6">
        <v>0</v>
      </c>
      <c r="BN75" s="6">
        <v>0</v>
      </c>
      <c r="BO75" s="6">
        <v>0</v>
      </c>
      <c r="BP75" s="6">
        <v>0</v>
      </c>
      <c r="BQ75" s="6">
        <v>0</v>
      </c>
      <c r="BR75" s="6">
        <v>0</v>
      </c>
      <c r="BS75" s="6">
        <v>0</v>
      </c>
      <c r="BT75" s="6">
        <v>0</v>
      </c>
      <c r="BU75" s="6">
        <v>0</v>
      </c>
      <c r="BV75" s="6">
        <v>0</v>
      </c>
      <c r="BW75" s="6">
        <v>0</v>
      </c>
      <c r="BX75" s="6">
        <v>0</v>
      </c>
      <c r="BY75" s="6">
        <v>0</v>
      </c>
      <c r="BZ75" s="6">
        <v>0</v>
      </c>
      <c r="CA75" s="6">
        <v>0</v>
      </c>
      <c r="CB75" s="6">
        <v>0</v>
      </c>
      <c r="CC75" s="6">
        <v>0</v>
      </c>
      <c r="CD75" s="6">
        <v>0</v>
      </c>
      <c r="CE75" s="6">
        <v>0</v>
      </c>
      <c r="CF75" s="6">
        <v>0</v>
      </c>
      <c r="CG75" s="6">
        <v>0</v>
      </c>
      <c r="CH75" s="6">
        <v>0</v>
      </c>
      <c r="CI75" s="6">
        <v>0</v>
      </c>
      <c r="CJ75" s="6">
        <v>0</v>
      </c>
      <c r="CK75" s="6">
        <v>0</v>
      </c>
      <c r="CL75" s="6">
        <v>0</v>
      </c>
      <c r="CM75" s="6">
        <v>0</v>
      </c>
      <c r="CN75" s="6">
        <v>0.32274284959999999</v>
      </c>
      <c r="CO75" s="6"/>
      <c r="CP75" s="6"/>
      <c r="CQ75" s="6"/>
      <c r="CR75" s="6"/>
      <c r="CS75" s="6"/>
      <c r="CT75" s="6"/>
      <c r="CU75" s="6"/>
      <c r="CV75" s="6"/>
      <c r="CW75" s="6"/>
      <c r="CX75" s="6"/>
      <c r="CY75" s="6"/>
      <c r="CZ75" s="6"/>
      <c r="DA75" s="6"/>
      <c r="DB75" s="6"/>
      <c r="DC75" s="6"/>
      <c r="DD75" s="6"/>
      <c r="DE75" s="6"/>
      <c r="DF75" s="6"/>
      <c r="DG75" s="6"/>
      <c r="DH75" s="6"/>
      <c r="DI75" s="6"/>
      <c r="DJ75" s="6"/>
      <c r="DK75" s="6"/>
      <c r="DL75" s="6"/>
      <c r="DM75" s="7">
        <v>3.4665243626</v>
      </c>
      <c r="DN75" s="7">
        <f t="shared" si="1"/>
        <v>99.999982239000005</v>
      </c>
      <c r="DO75" s="7"/>
      <c r="DP75" s="6">
        <v>2.0164505400000001E-2</v>
      </c>
      <c r="DQ75" s="6">
        <v>0.49913388489999999</v>
      </c>
      <c r="DR75" s="6">
        <v>1.3408173323000001</v>
      </c>
      <c r="DS75" s="6">
        <v>0.2710894942</v>
      </c>
      <c r="DT75" s="6">
        <v>0.34202930329999998</v>
      </c>
      <c r="DU75" s="6">
        <v>2.8431139899999999E-2</v>
      </c>
      <c r="DV75" s="6">
        <v>0.30435621740000002</v>
      </c>
      <c r="DW75" s="6">
        <v>1.0964928865000001</v>
      </c>
      <c r="DX75" s="6">
        <v>7.1550559998000001</v>
      </c>
      <c r="DY75" s="6">
        <v>4.4623880386000003</v>
      </c>
      <c r="DZ75" s="6">
        <v>71.225250244099996</v>
      </c>
      <c r="EA75" s="6">
        <v>1.5212262868999999</v>
      </c>
      <c r="EB75" s="6">
        <v>0.32267037030000001</v>
      </c>
      <c r="EC75" s="6">
        <v>1.3296303749</v>
      </c>
      <c r="ED75" s="6">
        <v>1.3564045429</v>
      </c>
      <c r="EE75" s="6">
        <v>5.5513181685999999</v>
      </c>
      <c r="EF75" s="6">
        <v>1.9366836547999999</v>
      </c>
      <c r="EG75" s="6">
        <v>1.2267109156</v>
      </c>
      <c r="EH75" s="6">
        <v>1.01340814E-2</v>
      </c>
      <c r="EI75" s="152"/>
    </row>
    <row r="76" spans="1:139" s="2" customFormat="1">
      <c r="A76" s="4">
        <v>46126</v>
      </c>
      <c r="B76" s="8"/>
      <c r="C76" s="3">
        <v>2</v>
      </c>
      <c r="D76" s="90" t="s">
        <v>371</v>
      </c>
      <c r="E76" s="3">
        <v>210</v>
      </c>
      <c r="F76" s="3">
        <v>210</v>
      </c>
      <c r="G76" s="3">
        <v>24.000299999999999</v>
      </c>
      <c r="H76" s="3">
        <v>24.000299999999999</v>
      </c>
      <c r="I76" s="3">
        <v>770.16700000000003</v>
      </c>
      <c r="J76" s="3">
        <v>764.72</v>
      </c>
      <c r="K76" s="3">
        <v>0</v>
      </c>
      <c r="L76" s="3">
        <v>0</v>
      </c>
      <c r="M76" s="3">
        <v>767.31899999999996</v>
      </c>
      <c r="N76" s="3">
        <v>772.63699999999994</v>
      </c>
      <c r="O76" s="3">
        <v>0</v>
      </c>
      <c r="P76" s="3">
        <v>0</v>
      </c>
      <c r="Q76" s="3">
        <v>0.23641999999999999</v>
      </c>
      <c r="R76" s="3">
        <v>1999.95</v>
      </c>
      <c r="S76" s="3">
        <v>2000.03</v>
      </c>
      <c r="T76" s="3">
        <v>0</v>
      </c>
      <c r="U76" s="3">
        <v>0</v>
      </c>
      <c r="V76" s="3">
        <v>2000.22</v>
      </c>
      <c r="W76" s="3">
        <v>2000.12</v>
      </c>
      <c r="X76" s="3">
        <v>0</v>
      </c>
      <c r="Y76" s="3">
        <v>0</v>
      </c>
      <c r="Z76" s="3">
        <v>219.9</v>
      </c>
      <c r="AA76" s="3">
        <v>1.9982899999999999</v>
      </c>
      <c r="AB76" s="3">
        <v>2.0010400000000002</v>
      </c>
      <c r="AC76" s="3">
        <v>-7.3704900000000004E-2</v>
      </c>
      <c r="AD76" s="3">
        <v>7.6814199999999996E-3</v>
      </c>
      <c r="AE76" s="3">
        <v>1.9982899999999999</v>
      </c>
      <c r="AF76" s="3">
        <v>1.9986900000000001</v>
      </c>
      <c r="AG76" s="3">
        <v>-0.105903</v>
      </c>
      <c r="AH76" s="3">
        <v>-3.9842099999999998E-2</v>
      </c>
      <c r="AI76" s="7">
        <v>21.064315000000001</v>
      </c>
      <c r="AJ76" s="7">
        <v>60.184032999999999</v>
      </c>
      <c r="AK76" s="3"/>
      <c r="AL76" s="6">
        <v>87.419380188000005</v>
      </c>
      <c r="AM76" s="6">
        <v>83.588981627999999</v>
      </c>
      <c r="AN76" s="6">
        <v>15.845531464</v>
      </c>
      <c r="AO76" s="6">
        <v>33.606132506999998</v>
      </c>
      <c r="AP76" s="6">
        <v>0</v>
      </c>
      <c r="AQ76" s="6">
        <v>0</v>
      </c>
      <c r="AR76" s="6">
        <v>0.54511129859999996</v>
      </c>
      <c r="AS76" s="6">
        <v>0.28080022339999999</v>
      </c>
      <c r="AT76" s="6">
        <v>3.2575335400000002E-2</v>
      </c>
      <c r="AU76" s="6">
        <v>71.901939392000003</v>
      </c>
      <c r="AV76" s="6">
        <v>5.8349595069999998</v>
      </c>
      <c r="AW76" s="6">
        <v>1.3993283510000001</v>
      </c>
      <c r="AX76" s="6">
        <v>0</v>
      </c>
      <c r="AY76" s="6">
        <v>0</v>
      </c>
      <c r="AZ76" s="6">
        <v>0</v>
      </c>
      <c r="BA76" s="6">
        <v>0</v>
      </c>
      <c r="BB76" s="6">
        <v>0</v>
      </c>
      <c r="BC76" s="6">
        <v>0</v>
      </c>
      <c r="BD76" s="6">
        <v>0</v>
      </c>
      <c r="BE76" s="6">
        <v>0</v>
      </c>
      <c r="BF76" s="6">
        <v>0</v>
      </c>
      <c r="BG76" s="6">
        <v>0</v>
      </c>
      <c r="BH76" s="6">
        <v>1.4447523355</v>
      </c>
      <c r="BI76" s="6">
        <v>0.35720831159999999</v>
      </c>
      <c r="BJ76" s="6">
        <v>12.301748276</v>
      </c>
      <c r="BK76" s="6">
        <v>2.4134726523999999</v>
      </c>
      <c r="BL76" s="6">
        <v>0</v>
      </c>
      <c r="BM76" s="6">
        <v>0</v>
      </c>
      <c r="BN76" s="6">
        <v>0</v>
      </c>
      <c r="BO76" s="6">
        <v>0</v>
      </c>
      <c r="BP76" s="6">
        <v>0</v>
      </c>
      <c r="BQ76" s="6">
        <v>0</v>
      </c>
      <c r="BR76" s="6">
        <v>0</v>
      </c>
      <c r="BS76" s="6">
        <v>0</v>
      </c>
      <c r="BT76" s="6">
        <v>0</v>
      </c>
      <c r="BU76" s="6">
        <v>0</v>
      </c>
      <c r="BV76" s="6">
        <v>0</v>
      </c>
      <c r="BW76" s="6">
        <v>0</v>
      </c>
      <c r="BX76" s="6">
        <v>0</v>
      </c>
      <c r="BY76" s="6">
        <v>0</v>
      </c>
      <c r="BZ76" s="6">
        <v>0</v>
      </c>
      <c r="CA76" s="6">
        <v>0</v>
      </c>
      <c r="CB76" s="6">
        <v>0</v>
      </c>
      <c r="CC76" s="6">
        <v>0</v>
      </c>
      <c r="CD76" s="6">
        <v>0</v>
      </c>
      <c r="CE76" s="6">
        <v>0</v>
      </c>
      <c r="CF76" s="6">
        <v>0</v>
      </c>
      <c r="CG76" s="6">
        <v>0</v>
      </c>
      <c r="CH76" s="6">
        <v>0</v>
      </c>
      <c r="CI76" s="6">
        <v>0</v>
      </c>
      <c r="CJ76" s="6">
        <v>0</v>
      </c>
      <c r="CK76" s="6">
        <v>0</v>
      </c>
      <c r="CL76" s="6">
        <v>0</v>
      </c>
      <c r="CM76" s="6">
        <v>0</v>
      </c>
      <c r="CN76" s="6">
        <v>0.29714596269999999</v>
      </c>
      <c r="CO76" s="6"/>
      <c r="CP76" s="6"/>
      <c r="CQ76" s="6"/>
      <c r="CR76" s="6"/>
      <c r="CS76" s="6"/>
      <c r="CT76" s="6"/>
      <c r="CU76" s="6"/>
      <c r="CV76" s="6"/>
      <c r="CW76" s="6"/>
      <c r="CX76" s="6"/>
      <c r="CY76" s="6"/>
      <c r="CZ76" s="6"/>
      <c r="DA76" s="6"/>
      <c r="DB76" s="6"/>
      <c r="DC76" s="6"/>
      <c r="DD76" s="6"/>
      <c r="DE76" s="6"/>
      <c r="DF76" s="6"/>
      <c r="DG76" s="6"/>
      <c r="DH76" s="6"/>
      <c r="DI76" s="6"/>
      <c r="DJ76" s="6"/>
      <c r="DK76" s="6"/>
      <c r="DL76" s="6"/>
      <c r="DM76" s="7">
        <v>3.1909475327000001</v>
      </c>
      <c r="DN76" s="7">
        <f t="shared" si="1"/>
        <v>99.999989178299984</v>
      </c>
      <c r="DO76" s="7"/>
      <c r="DP76" s="6">
        <v>1.8931719E-3</v>
      </c>
      <c r="DQ76" s="6">
        <v>0.54493480920000004</v>
      </c>
      <c r="DR76" s="6">
        <v>1.4442844391</v>
      </c>
      <c r="DS76" s="6">
        <v>0.28070932630000001</v>
      </c>
      <c r="DT76" s="6">
        <v>0.35709264870000001</v>
      </c>
      <c r="DU76" s="6">
        <v>3.2564785300000003E-2</v>
      </c>
      <c r="DV76" s="6">
        <v>0.30416819449999999</v>
      </c>
      <c r="DW76" s="6">
        <v>1.1143505573000001</v>
      </c>
      <c r="DX76" s="6">
        <v>6.7418532372</v>
      </c>
      <c r="DY76" s="6">
        <v>4.1373934745999996</v>
      </c>
      <c r="DZ76" s="6">
        <v>71.878662109399997</v>
      </c>
      <c r="EA76" s="6">
        <v>1.4460414648</v>
      </c>
      <c r="EB76" s="6">
        <v>0.29704976080000001</v>
      </c>
      <c r="EC76" s="6">
        <v>1.1969065666000001</v>
      </c>
      <c r="ED76" s="6">
        <v>1.2157845496999999</v>
      </c>
      <c r="EE76" s="6">
        <v>5.8330702782000001</v>
      </c>
      <c r="EF76" s="6">
        <v>1.7641792297000001</v>
      </c>
      <c r="EG76" s="6">
        <v>1.3988753557</v>
      </c>
      <c r="EH76" s="6">
        <v>1.0160338099999999E-2</v>
      </c>
      <c r="EI76" s="152"/>
    </row>
    <row r="77" spans="1:139" s="2" customFormat="1" ht="15" customHeight="1">
      <c r="A77" s="4">
        <v>46126</v>
      </c>
      <c r="B77" s="8"/>
      <c r="C77" s="3">
        <v>5</v>
      </c>
      <c r="D77" s="90" t="s">
        <v>372</v>
      </c>
      <c r="E77" s="3">
        <v>210</v>
      </c>
      <c r="F77" s="3">
        <v>210</v>
      </c>
      <c r="G77" s="3">
        <v>24.0307</v>
      </c>
      <c r="H77" s="3">
        <v>24.0046</v>
      </c>
      <c r="I77" s="3">
        <v>769.46199999999999</v>
      </c>
      <c r="J77" s="3">
        <v>779.39200000000005</v>
      </c>
      <c r="K77" s="3">
        <v>0</v>
      </c>
      <c r="L77" s="3">
        <v>0</v>
      </c>
      <c r="M77" s="3">
        <v>774.03399999999999</v>
      </c>
      <c r="N77" s="3">
        <v>764.005</v>
      </c>
      <c r="O77" s="3">
        <v>0</v>
      </c>
      <c r="P77" s="3">
        <v>0</v>
      </c>
      <c r="Q77" s="3">
        <v>0.265488</v>
      </c>
      <c r="R77" s="3">
        <v>1999.9</v>
      </c>
      <c r="S77" s="3">
        <v>2000.11</v>
      </c>
      <c r="T77" s="3">
        <v>0</v>
      </c>
      <c r="U77" s="3">
        <v>0</v>
      </c>
      <c r="V77" s="3">
        <v>1999.4</v>
      </c>
      <c r="W77" s="3">
        <v>1999.44</v>
      </c>
      <c r="X77" s="3">
        <v>0</v>
      </c>
      <c r="Y77" s="3">
        <v>0</v>
      </c>
      <c r="Z77" s="3">
        <v>220</v>
      </c>
      <c r="AA77" s="3">
        <v>2.00108</v>
      </c>
      <c r="AB77" s="3">
        <v>1.99821</v>
      </c>
      <c r="AC77" s="3">
        <v>-7.6915300000000006E-2</v>
      </c>
      <c r="AD77" s="3">
        <v>8.6615900000000003E-3</v>
      </c>
      <c r="AE77" s="3">
        <v>2.0006300000000001</v>
      </c>
      <c r="AF77" s="3">
        <v>1.9960100000000001</v>
      </c>
      <c r="AG77" s="3">
        <v>-9.1610399999999995E-2</v>
      </c>
      <c r="AH77" s="3">
        <v>-2.3993299999999999E-2</v>
      </c>
      <c r="AI77" s="7">
        <v>22.271166999999998</v>
      </c>
      <c r="AJ77" s="7">
        <v>59.102755999999999</v>
      </c>
      <c r="AK77" s="3"/>
      <c r="AL77" s="6">
        <v>88.506477356000005</v>
      </c>
      <c r="AM77" s="6">
        <v>83.613586425999998</v>
      </c>
      <c r="AN77" s="6">
        <v>16.282699585</v>
      </c>
      <c r="AO77" s="6">
        <v>23.972278594999999</v>
      </c>
      <c r="AP77" s="6">
        <v>0</v>
      </c>
      <c r="AQ77" s="6">
        <v>0</v>
      </c>
      <c r="AR77" s="6">
        <v>0</v>
      </c>
      <c r="AS77" s="6">
        <v>0</v>
      </c>
      <c r="AT77" s="6">
        <v>6.877764E-4</v>
      </c>
      <c r="AU77" s="280">
        <v>84.172119140999996</v>
      </c>
      <c r="AV77" s="280">
        <v>9.7981176376000008</v>
      </c>
      <c r="AW77" s="280">
        <v>4.8665194511000003</v>
      </c>
      <c r="AX77" s="6">
        <v>0</v>
      </c>
      <c r="AY77" s="6">
        <v>0</v>
      </c>
      <c r="AZ77" s="6">
        <v>0</v>
      </c>
      <c r="BA77" s="6">
        <v>0</v>
      </c>
      <c r="BB77" s="6">
        <v>0</v>
      </c>
      <c r="BC77" s="6">
        <v>0</v>
      </c>
      <c r="BD77" s="6">
        <v>0</v>
      </c>
      <c r="BE77" s="6">
        <v>0</v>
      </c>
      <c r="BF77" s="6">
        <v>0</v>
      </c>
      <c r="BG77" s="6">
        <v>0</v>
      </c>
      <c r="BH77" s="6">
        <v>7.9231899999999999E-4</v>
      </c>
      <c r="BI77" s="6">
        <v>0</v>
      </c>
      <c r="BJ77" s="6">
        <v>0.41700738669999998</v>
      </c>
      <c r="BK77" s="6">
        <v>0</v>
      </c>
      <c r="BL77" s="6">
        <v>0</v>
      </c>
      <c r="BM77" s="6">
        <v>0</v>
      </c>
      <c r="BN77" s="6">
        <v>0</v>
      </c>
      <c r="BO77" s="6">
        <v>0</v>
      </c>
      <c r="BP77" s="6">
        <v>0</v>
      </c>
      <c r="BQ77" s="6">
        <v>0</v>
      </c>
      <c r="BR77" s="6">
        <v>0</v>
      </c>
      <c r="BS77" s="6">
        <v>0</v>
      </c>
      <c r="BT77" s="6">
        <v>0</v>
      </c>
      <c r="BU77" s="6">
        <v>0</v>
      </c>
      <c r="BV77" s="6">
        <v>0</v>
      </c>
      <c r="BW77" s="6">
        <v>0</v>
      </c>
      <c r="BX77" s="6">
        <v>0</v>
      </c>
      <c r="BY77" s="6">
        <v>0</v>
      </c>
      <c r="BZ77" s="6">
        <v>0</v>
      </c>
      <c r="CA77" s="6">
        <v>0</v>
      </c>
      <c r="CB77" s="6">
        <v>0</v>
      </c>
      <c r="CC77" s="6">
        <v>0</v>
      </c>
      <c r="CD77" s="6">
        <v>0</v>
      </c>
      <c r="CE77" s="6">
        <v>0</v>
      </c>
      <c r="CF77" s="6">
        <v>0</v>
      </c>
      <c r="CG77" s="6">
        <v>0</v>
      </c>
      <c r="CH77" s="6">
        <v>0</v>
      </c>
      <c r="CI77" s="6">
        <v>0</v>
      </c>
      <c r="CJ77" s="6">
        <v>0</v>
      </c>
      <c r="CK77" s="6">
        <v>0</v>
      </c>
      <c r="CL77" s="6">
        <v>0</v>
      </c>
      <c r="CM77" s="6">
        <v>0</v>
      </c>
      <c r="CN77" s="6">
        <v>0.56116271019999997</v>
      </c>
      <c r="CO77" s="6"/>
      <c r="CP77" s="6"/>
      <c r="CQ77" s="6"/>
      <c r="CR77" s="6"/>
      <c r="CS77" s="6"/>
      <c r="CT77" s="6"/>
      <c r="CU77" s="6"/>
      <c r="CV77" s="6"/>
      <c r="CW77" s="6"/>
      <c r="CX77" s="6"/>
      <c r="CY77" s="6"/>
      <c r="CZ77" s="6"/>
      <c r="DA77" s="6"/>
      <c r="DB77" s="6"/>
      <c r="DC77" s="6"/>
      <c r="DD77" s="6"/>
      <c r="DE77" s="6"/>
      <c r="DF77" s="6"/>
      <c r="DG77" s="6"/>
      <c r="DH77" s="6"/>
      <c r="DI77" s="6"/>
      <c r="DJ77" s="6"/>
      <c r="DK77" s="6"/>
      <c r="DL77" s="6"/>
      <c r="DM77" s="7">
        <v>0.183578819</v>
      </c>
      <c r="DN77" s="7">
        <f t="shared" si="1"/>
        <v>99.999985241000005</v>
      </c>
      <c r="DO77" s="7"/>
      <c r="DP77" s="6">
        <v>7.9247840000000003E-4</v>
      </c>
      <c r="DQ77" s="6">
        <v>6.8791480000000003E-4</v>
      </c>
      <c r="DR77" s="6">
        <v>1.4345760999999999E-3</v>
      </c>
      <c r="DS77" s="6">
        <v>3.8807828000000003E-2</v>
      </c>
      <c r="DT77" s="6">
        <v>0.37684890630000001</v>
      </c>
      <c r="DU77" s="6">
        <v>84.189064025899995</v>
      </c>
      <c r="DV77" s="6">
        <v>0.56127566100000004</v>
      </c>
      <c r="DW77" s="6">
        <v>1.0071771199999999E-2</v>
      </c>
      <c r="DX77" s="6">
        <v>9.8000898360999997</v>
      </c>
      <c r="DY77" s="6">
        <v>0.13501442969999999</v>
      </c>
      <c r="DZ77" s="6">
        <v>4.8674988746999999</v>
      </c>
      <c r="EA77" s="6">
        <v>1.84179433E-2</v>
      </c>
      <c r="EB77" s="6"/>
      <c r="EC77" s="6"/>
      <c r="ED77" s="6"/>
      <c r="EE77" s="6"/>
      <c r="EF77" s="6"/>
      <c r="EG77" s="6"/>
      <c r="EH77" s="6"/>
      <c r="EI77" s="152"/>
    </row>
    <row r="78" spans="1:139" s="2" customFormat="1">
      <c r="A78" s="4">
        <v>46127</v>
      </c>
      <c r="B78" s="8"/>
      <c r="C78" s="3">
        <v>6</v>
      </c>
      <c r="D78" s="90" t="s">
        <v>373</v>
      </c>
      <c r="E78" s="3">
        <v>210.1</v>
      </c>
      <c r="F78" s="3">
        <v>210</v>
      </c>
      <c r="G78" s="3">
        <v>23.935199999999998</v>
      </c>
      <c r="H78" s="3">
        <v>23.998799999999999</v>
      </c>
      <c r="I78" s="3">
        <v>723.29600000000005</v>
      </c>
      <c r="J78" s="3">
        <v>712.02499999999998</v>
      </c>
      <c r="K78" s="3">
        <v>0</v>
      </c>
      <c r="L78" s="3">
        <v>0</v>
      </c>
      <c r="M78" s="3">
        <v>716.28899999999999</v>
      </c>
      <c r="N78" s="3">
        <v>726.70100000000002</v>
      </c>
      <c r="O78" s="3">
        <v>0</v>
      </c>
      <c r="P78" s="3">
        <v>0</v>
      </c>
      <c r="Q78" s="3">
        <v>0.373695</v>
      </c>
      <c r="R78" s="3">
        <v>2000.34</v>
      </c>
      <c r="S78" s="3">
        <v>2000.44</v>
      </c>
      <c r="T78" s="3">
        <v>0</v>
      </c>
      <c r="U78" s="3">
        <v>0</v>
      </c>
      <c r="V78" s="3">
        <v>1999.73</v>
      </c>
      <c r="W78" s="3">
        <v>1999.68</v>
      </c>
      <c r="X78" s="3">
        <v>0</v>
      </c>
      <c r="Y78" s="3">
        <v>0</v>
      </c>
      <c r="Z78" s="3">
        <v>220.1</v>
      </c>
      <c r="AA78" s="3">
        <v>1.9998800000000001</v>
      </c>
      <c r="AB78" s="3">
        <v>1.99759</v>
      </c>
      <c r="AC78" s="3">
        <v>-6.2174399999999998E-2</v>
      </c>
      <c r="AD78" s="3">
        <v>9.8119899999999996E-3</v>
      </c>
      <c r="AE78" s="3">
        <v>1.9981</v>
      </c>
      <c r="AF78" s="3">
        <v>1.99444</v>
      </c>
      <c r="AG78" s="3">
        <v>-6.03029E-2</v>
      </c>
      <c r="AH78" s="3">
        <v>-1.50438E-2</v>
      </c>
      <c r="AI78" s="7">
        <v>21.408819999999999</v>
      </c>
      <c r="AJ78" s="7">
        <v>59.786490999999998</v>
      </c>
      <c r="AK78" s="3"/>
      <c r="AL78" s="6">
        <v>86.527648925999998</v>
      </c>
      <c r="AM78" s="6">
        <v>83.564903259000005</v>
      </c>
      <c r="AN78" s="6">
        <v>15.813014984</v>
      </c>
      <c r="AO78" s="6">
        <v>40.13343811</v>
      </c>
      <c r="AP78" s="97">
        <v>0</v>
      </c>
      <c r="AQ78" s="97">
        <v>0</v>
      </c>
      <c r="AR78" s="6">
        <v>0.89115357399999995</v>
      </c>
      <c r="AS78" s="6">
        <v>0.43743467330000002</v>
      </c>
      <c r="AT78" s="6">
        <v>4.6864435099999997E-2</v>
      </c>
      <c r="AU78" s="6">
        <v>63.133514404000003</v>
      </c>
      <c r="AV78" s="6">
        <v>3.9370450974</v>
      </c>
      <c r="AW78" s="6">
        <v>0.59261322019999996</v>
      </c>
      <c r="AX78" s="6">
        <v>0</v>
      </c>
      <c r="AY78" s="6">
        <v>0</v>
      </c>
      <c r="AZ78" s="6">
        <v>0</v>
      </c>
      <c r="BA78" s="6">
        <v>0</v>
      </c>
      <c r="BB78" s="6">
        <v>0</v>
      </c>
      <c r="BC78" s="6">
        <v>0</v>
      </c>
      <c r="BD78" s="6">
        <v>0</v>
      </c>
      <c r="BE78" s="6">
        <v>0</v>
      </c>
      <c r="BF78" s="6">
        <v>0</v>
      </c>
      <c r="BG78" s="6">
        <v>0</v>
      </c>
      <c r="BH78" s="6">
        <v>2.2288763522999999</v>
      </c>
      <c r="BI78" s="6">
        <v>0.54488468170000004</v>
      </c>
      <c r="BJ78" s="6">
        <v>20.996484756000001</v>
      </c>
      <c r="BK78" s="6">
        <v>3.3352191447999999</v>
      </c>
      <c r="BL78" s="6">
        <v>0</v>
      </c>
      <c r="BM78" s="6">
        <v>0</v>
      </c>
      <c r="BN78" s="6">
        <v>0</v>
      </c>
      <c r="BO78" s="6">
        <v>0</v>
      </c>
      <c r="BP78" s="6">
        <v>0</v>
      </c>
      <c r="BQ78" s="6">
        <v>0</v>
      </c>
      <c r="BR78" s="6">
        <v>0</v>
      </c>
      <c r="BS78" s="6">
        <v>0</v>
      </c>
      <c r="BT78" s="6">
        <v>0</v>
      </c>
      <c r="BU78" s="6">
        <v>0</v>
      </c>
      <c r="BV78" s="6">
        <v>0</v>
      </c>
      <c r="BW78" s="6">
        <v>0</v>
      </c>
      <c r="BX78" s="6">
        <v>0</v>
      </c>
      <c r="BY78" s="6">
        <v>0</v>
      </c>
      <c r="BZ78" s="6">
        <v>0</v>
      </c>
      <c r="CA78" s="6">
        <v>0</v>
      </c>
      <c r="CB78" s="6">
        <v>0</v>
      </c>
      <c r="CC78" s="6">
        <v>0</v>
      </c>
      <c r="CD78" s="6">
        <v>0</v>
      </c>
      <c r="CE78" s="6">
        <v>0</v>
      </c>
      <c r="CF78" s="6">
        <v>0</v>
      </c>
      <c r="CG78" s="6">
        <v>0</v>
      </c>
      <c r="CH78" s="6">
        <v>0</v>
      </c>
      <c r="CI78" s="6">
        <v>0</v>
      </c>
      <c r="CJ78" s="6">
        <v>0</v>
      </c>
      <c r="CK78" s="6">
        <v>0</v>
      </c>
      <c r="CL78" s="6">
        <v>0</v>
      </c>
      <c r="CM78" s="6">
        <v>0</v>
      </c>
      <c r="CN78" s="6">
        <v>0.32852149009999998</v>
      </c>
      <c r="CO78" s="6"/>
      <c r="CP78" s="6"/>
      <c r="DM78" s="7">
        <v>3.5273740292000002</v>
      </c>
      <c r="DN78" s="7">
        <f t="shared" si="1"/>
        <v>99.999985858100004</v>
      </c>
      <c r="DO78" s="7"/>
      <c r="DP78" s="6">
        <v>4.1469521999999998E-3</v>
      </c>
      <c r="DQ78" s="6">
        <v>0.88965904709999999</v>
      </c>
      <c r="DR78" s="6">
        <v>2.2251384258</v>
      </c>
      <c r="DS78" s="6">
        <v>0.43670105930000003</v>
      </c>
      <c r="DT78" s="6">
        <v>0.54397088289999995</v>
      </c>
      <c r="DU78" s="6">
        <v>4.6785838900000001E-2</v>
      </c>
      <c r="DV78" s="6">
        <v>0.53356981280000004</v>
      </c>
      <c r="DW78" s="6">
        <v>1.9883174896</v>
      </c>
      <c r="DX78" s="6">
        <v>11.389010429400001</v>
      </c>
      <c r="DY78" s="6">
        <v>7.0503754615999998</v>
      </c>
      <c r="DZ78" s="6">
        <v>63.027637481699998</v>
      </c>
      <c r="EA78" s="6">
        <v>2.0352818965999999</v>
      </c>
      <c r="EB78" s="6">
        <v>0.32797053459999997</v>
      </c>
      <c r="EC78" s="6">
        <v>1.5842549801000001</v>
      </c>
      <c r="ED78" s="6">
        <v>1.7453707457000001</v>
      </c>
      <c r="EE78" s="6">
        <v>3.9304423331999998</v>
      </c>
      <c r="EF78" s="6">
        <v>1.6408084630999999</v>
      </c>
      <c r="EG78" s="6">
        <v>0.59161937239999995</v>
      </c>
      <c r="EH78" s="6">
        <v>8.8737281000000005E-3</v>
      </c>
      <c r="EI78" s="152"/>
    </row>
    <row r="79" spans="1:139" s="2" customFormat="1">
      <c r="A79" s="4">
        <v>46127</v>
      </c>
      <c r="B79" s="5"/>
      <c r="C79" s="3">
        <v>1</v>
      </c>
      <c r="D79" s="90" t="s">
        <v>374</v>
      </c>
      <c r="E79" s="3">
        <v>209.9</v>
      </c>
      <c r="F79" s="3">
        <v>209.9</v>
      </c>
      <c r="G79" s="3">
        <v>23.9786</v>
      </c>
      <c r="H79" s="3">
        <v>23.994499999999999</v>
      </c>
      <c r="I79" s="3">
        <v>802.81799999999998</v>
      </c>
      <c r="J79" s="3">
        <v>798.471</v>
      </c>
      <c r="K79" s="3">
        <v>0</v>
      </c>
      <c r="L79" s="3">
        <v>0</v>
      </c>
      <c r="M79" s="3">
        <v>799.67399999999998</v>
      </c>
      <c r="N79" s="3">
        <v>805.31200000000001</v>
      </c>
      <c r="O79" s="3">
        <v>0</v>
      </c>
      <c r="P79" s="3">
        <v>0</v>
      </c>
      <c r="Q79" s="3">
        <v>0.38307400000000003</v>
      </c>
      <c r="R79" s="3">
        <v>2000.62</v>
      </c>
      <c r="S79" s="3">
        <v>1999.83</v>
      </c>
      <c r="T79" s="3">
        <v>0</v>
      </c>
      <c r="U79" s="3">
        <v>0</v>
      </c>
      <c r="V79" s="3">
        <v>1999.46</v>
      </c>
      <c r="W79" s="3">
        <v>1999.39</v>
      </c>
      <c r="X79" s="3">
        <v>0</v>
      </c>
      <c r="Y79" s="3">
        <v>0</v>
      </c>
      <c r="Z79" s="3">
        <v>220</v>
      </c>
      <c r="AA79" s="3">
        <v>1.9997799999999999</v>
      </c>
      <c r="AB79" s="3">
        <v>2.0011700000000001</v>
      </c>
      <c r="AC79" s="3">
        <v>-6.3963400000000004E-2</v>
      </c>
      <c r="AD79" s="3">
        <v>3.6614199999999999E-3</v>
      </c>
      <c r="AE79" s="3">
        <v>2.0009700000000001</v>
      </c>
      <c r="AF79" s="3">
        <v>1.9993099999999999</v>
      </c>
      <c r="AG79" s="3">
        <v>-0.12409199999999999</v>
      </c>
      <c r="AH79" s="3">
        <v>-4.2932100000000001E-2</v>
      </c>
      <c r="AI79" s="7">
        <v>23.909500000000001</v>
      </c>
      <c r="AJ79" s="7">
        <v>58.497075000000002</v>
      </c>
      <c r="AK79" s="3"/>
      <c r="AL79" s="6">
        <v>87.552452087000006</v>
      </c>
      <c r="AM79" s="6">
        <v>83.592185974000003</v>
      </c>
      <c r="AN79" s="6">
        <v>15.804707527</v>
      </c>
      <c r="AO79" s="6">
        <v>33.812297821000001</v>
      </c>
      <c r="AP79" s="97">
        <v>0</v>
      </c>
      <c r="AQ79" s="97">
        <v>0</v>
      </c>
      <c r="AR79" s="6">
        <v>0.50919276479999998</v>
      </c>
      <c r="AS79" s="6">
        <v>0.27668046950000003</v>
      </c>
      <c r="AT79" s="6">
        <v>2.91025117E-2</v>
      </c>
      <c r="AU79" s="6">
        <v>71.340599060000002</v>
      </c>
      <c r="AV79" s="6">
        <v>5.6247739792000004</v>
      </c>
      <c r="AW79" s="6">
        <v>1.2604652643000001</v>
      </c>
      <c r="AX79" s="6">
        <v>0</v>
      </c>
      <c r="AY79" s="6">
        <v>0</v>
      </c>
      <c r="AZ79" s="6">
        <v>0</v>
      </c>
      <c r="BA79" s="6">
        <v>0</v>
      </c>
      <c r="BB79" s="6">
        <v>0</v>
      </c>
      <c r="BC79" s="6">
        <v>0</v>
      </c>
      <c r="BD79" s="6">
        <v>0</v>
      </c>
      <c r="BE79" s="6">
        <v>0</v>
      </c>
      <c r="BF79" s="6">
        <v>0</v>
      </c>
      <c r="BG79" s="6">
        <v>0</v>
      </c>
      <c r="BH79" s="6">
        <v>1.3648403883</v>
      </c>
      <c r="BI79" s="6">
        <v>0.34683185820000001</v>
      </c>
      <c r="BJ79" s="6">
        <v>12.839459419000001</v>
      </c>
      <c r="BK79" s="6">
        <v>2.6563491821</v>
      </c>
      <c r="BL79" s="6">
        <v>0</v>
      </c>
      <c r="BM79" s="6">
        <v>0</v>
      </c>
      <c r="BN79" s="6">
        <v>0</v>
      </c>
      <c r="BO79" s="6">
        <v>0</v>
      </c>
      <c r="BP79" s="6">
        <v>0</v>
      </c>
      <c r="BQ79" s="6">
        <v>0</v>
      </c>
      <c r="BR79" s="6">
        <v>0</v>
      </c>
      <c r="BS79" s="6">
        <v>0</v>
      </c>
      <c r="BT79" s="6">
        <v>0</v>
      </c>
      <c r="BU79" s="6">
        <v>0</v>
      </c>
      <c r="BV79" s="6">
        <v>0</v>
      </c>
      <c r="BW79" s="6">
        <v>0</v>
      </c>
      <c r="BX79" s="6">
        <v>0</v>
      </c>
      <c r="BY79" s="6">
        <v>0</v>
      </c>
      <c r="BZ79" s="6">
        <v>0</v>
      </c>
      <c r="CA79" s="6">
        <v>0</v>
      </c>
      <c r="CB79" s="6">
        <v>0</v>
      </c>
      <c r="CC79" s="6">
        <v>0</v>
      </c>
      <c r="CD79" s="6">
        <v>0</v>
      </c>
      <c r="CE79" s="6">
        <v>0</v>
      </c>
      <c r="CF79" s="6">
        <v>0</v>
      </c>
      <c r="CG79" s="6">
        <v>0</v>
      </c>
      <c r="CH79" s="6">
        <v>0</v>
      </c>
      <c r="CI79" s="6">
        <v>0</v>
      </c>
      <c r="CJ79" s="6">
        <v>0</v>
      </c>
      <c r="CK79" s="6">
        <v>0</v>
      </c>
      <c r="CL79" s="6">
        <v>0</v>
      </c>
      <c r="CM79" s="6">
        <v>0</v>
      </c>
      <c r="CN79" s="6">
        <v>0.32012149690000002</v>
      </c>
      <c r="CO79" s="6"/>
      <c r="CP79" s="6"/>
      <c r="DM79" s="7">
        <v>3.4315557480000001</v>
      </c>
      <c r="DN79" s="7">
        <f t="shared" si="1"/>
        <v>99.999972142000004</v>
      </c>
      <c r="DO79" s="7"/>
      <c r="DP79" s="6">
        <v>2.2232083000000001E-3</v>
      </c>
      <c r="DQ79" s="6">
        <v>0.50908130409999997</v>
      </c>
      <c r="DR79" s="6">
        <v>1.3645416498</v>
      </c>
      <c r="DS79" s="6">
        <v>0.27661988139999999</v>
      </c>
      <c r="DT79" s="6">
        <v>0.34675592179999998</v>
      </c>
      <c r="DU79" s="6">
        <v>2.9096141499999999E-2</v>
      </c>
      <c r="DV79" s="6">
        <v>0.2885963023</v>
      </c>
      <c r="DW79" s="6">
        <v>1.0901670456000001</v>
      </c>
      <c r="DX79" s="6">
        <v>7.0662293433999999</v>
      </c>
      <c r="DY79" s="6">
        <v>4.3916559219</v>
      </c>
      <c r="DZ79" s="6">
        <v>71.324981689500007</v>
      </c>
      <c r="EA79" s="6">
        <v>1.512275815</v>
      </c>
      <c r="EB79" s="6">
        <v>0.3200514317</v>
      </c>
      <c r="EC79" s="6">
        <v>1.3147184849</v>
      </c>
      <c r="ED79" s="6">
        <v>1.3410491943</v>
      </c>
      <c r="EE79" s="6">
        <v>5.6235423088000003</v>
      </c>
      <c r="EF79" s="6">
        <v>1.9290959834999999</v>
      </c>
      <c r="EG79" s="6">
        <v>1.2601894140000001</v>
      </c>
      <c r="EH79" s="6">
        <v>9.1257244000000001E-3</v>
      </c>
      <c r="EI79" s="152"/>
    </row>
    <row r="80" spans="1:139" s="2" customFormat="1" ht="14.1" customHeight="1">
      <c r="A80" s="4">
        <v>46127</v>
      </c>
      <c r="B80" s="5"/>
      <c r="C80" s="3">
        <v>2</v>
      </c>
      <c r="D80" s="90" t="s">
        <v>375</v>
      </c>
      <c r="E80" s="3">
        <v>210</v>
      </c>
      <c r="F80" s="3">
        <v>210</v>
      </c>
      <c r="G80" s="3">
        <v>23.98</v>
      </c>
      <c r="H80" s="3">
        <v>23.995999999999999</v>
      </c>
      <c r="I80" s="3">
        <v>792.00300000000004</v>
      </c>
      <c r="J80" s="3">
        <v>795.49099999999999</v>
      </c>
      <c r="K80" s="3">
        <v>0</v>
      </c>
      <c r="L80" s="3">
        <v>0</v>
      </c>
      <c r="M80" s="3">
        <v>793.995</v>
      </c>
      <c r="N80" s="3">
        <v>789.27599999999995</v>
      </c>
      <c r="O80" s="3">
        <v>0</v>
      </c>
      <c r="P80" s="3">
        <v>0</v>
      </c>
      <c r="Q80" s="3">
        <v>0.49880200000000002</v>
      </c>
      <c r="R80" s="3">
        <v>1999.89</v>
      </c>
      <c r="S80" s="3">
        <v>1999.55</v>
      </c>
      <c r="T80" s="3">
        <v>0</v>
      </c>
      <c r="U80" s="3">
        <v>0</v>
      </c>
      <c r="V80" s="3">
        <v>2000.22</v>
      </c>
      <c r="W80" s="3">
        <v>2000.27</v>
      </c>
      <c r="X80" s="3">
        <v>0</v>
      </c>
      <c r="Y80" s="3">
        <v>0</v>
      </c>
      <c r="Z80" s="3">
        <v>219.8</v>
      </c>
      <c r="AA80" s="3">
        <v>2.0011700000000001</v>
      </c>
      <c r="AB80" s="3">
        <v>2.00244</v>
      </c>
      <c r="AC80" s="3">
        <v>-6.2350700000000002E-2</v>
      </c>
      <c r="AD80" s="3">
        <v>-3.2907699999999999E-4</v>
      </c>
      <c r="AE80" s="3">
        <v>2.0006300000000001</v>
      </c>
      <c r="AF80" s="3">
        <v>1.9952000000000001</v>
      </c>
      <c r="AG80" s="3">
        <v>-0.117717</v>
      </c>
      <c r="AH80" s="3">
        <v>-2.7302E-2</v>
      </c>
      <c r="AI80" s="7">
        <v>22.010753000000001</v>
      </c>
      <c r="AJ80" s="7">
        <v>59.325757000000003</v>
      </c>
      <c r="AK80" s="3"/>
      <c r="AL80" s="6">
        <v>87.369110106999997</v>
      </c>
      <c r="AM80" s="6">
        <v>83.587768554999997</v>
      </c>
      <c r="AN80" s="6">
        <v>15.852026939</v>
      </c>
      <c r="AO80" s="6">
        <v>33.656051636000001</v>
      </c>
      <c r="AP80" s="97">
        <v>0</v>
      </c>
      <c r="AQ80" s="97">
        <v>0</v>
      </c>
      <c r="AR80" s="6">
        <v>0.56185895200000002</v>
      </c>
      <c r="AS80" s="6">
        <v>0.28827646369999999</v>
      </c>
      <c r="AT80" s="6">
        <v>3.4085970399999999E-2</v>
      </c>
      <c r="AU80" s="6">
        <v>71.909744262999993</v>
      </c>
      <c r="AV80" s="6">
        <v>5.8416080475000003</v>
      </c>
      <c r="AW80" s="6">
        <v>1.394235611</v>
      </c>
      <c r="AX80" s="6">
        <v>0</v>
      </c>
      <c r="AY80" s="6">
        <v>0</v>
      </c>
      <c r="AZ80" s="6">
        <v>0</v>
      </c>
      <c r="BA80" s="6">
        <v>0</v>
      </c>
      <c r="BB80" s="6">
        <v>0</v>
      </c>
      <c r="BC80" s="6">
        <v>0</v>
      </c>
      <c r="BD80" s="6">
        <v>0</v>
      </c>
      <c r="BE80" s="6">
        <v>0</v>
      </c>
      <c r="BF80" s="6">
        <v>0</v>
      </c>
      <c r="BG80" s="6">
        <v>0</v>
      </c>
      <c r="BH80" s="6">
        <v>1.4830418825</v>
      </c>
      <c r="BI80" s="6">
        <v>0.36571094389999997</v>
      </c>
      <c r="BJ80" s="6">
        <v>12.271649361</v>
      </c>
      <c r="BK80" s="6">
        <v>2.3992037772999999</v>
      </c>
      <c r="BL80" s="6">
        <v>0</v>
      </c>
      <c r="BM80" s="6">
        <v>0</v>
      </c>
      <c r="BN80" s="6">
        <v>0</v>
      </c>
      <c r="BO80" s="6">
        <v>0</v>
      </c>
      <c r="BP80" s="6">
        <v>0</v>
      </c>
      <c r="BQ80" s="6">
        <v>0</v>
      </c>
      <c r="BR80" s="6">
        <v>0</v>
      </c>
      <c r="BS80" s="6">
        <v>0</v>
      </c>
      <c r="BT80" s="6">
        <v>0</v>
      </c>
      <c r="BU80" s="6">
        <v>0</v>
      </c>
      <c r="BV80" s="6">
        <v>0</v>
      </c>
      <c r="BW80" s="6">
        <v>0</v>
      </c>
      <c r="BX80" s="6">
        <v>0</v>
      </c>
      <c r="BY80" s="6">
        <v>0</v>
      </c>
      <c r="BZ80" s="6">
        <v>0</v>
      </c>
      <c r="CA80" s="6">
        <v>0</v>
      </c>
      <c r="CB80" s="6">
        <v>0</v>
      </c>
      <c r="CC80" s="6">
        <v>0</v>
      </c>
      <c r="CD80" s="6">
        <v>0</v>
      </c>
      <c r="CE80" s="6">
        <v>0</v>
      </c>
      <c r="CF80" s="6">
        <v>0</v>
      </c>
      <c r="CG80" s="6">
        <v>0</v>
      </c>
      <c r="CH80" s="6">
        <v>0</v>
      </c>
      <c r="CI80" s="6">
        <v>0</v>
      </c>
      <c r="CJ80" s="6">
        <v>0</v>
      </c>
      <c r="CK80" s="6">
        <v>0</v>
      </c>
      <c r="CL80" s="6">
        <v>0</v>
      </c>
      <c r="CM80" s="6">
        <v>0</v>
      </c>
      <c r="CN80" s="6">
        <v>0.2936804891</v>
      </c>
      <c r="CO80" s="6"/>
      <c r="CP80" s="6"/>
      <c r="DM80" s="7">
        <v>3.1568875313000002</v>
      </c>
      <c r="DN80" s="7">
        <f t="shared" si="1"/>
        <v>99.999983292699994</v>
      </c>
      <c r="DO80" s="7"/>
      <c r="DP80" s="6">
        <v>1.8607673E-3</v>
      </c>
      <c r="DQ80" s="6">
        <v>0.56166791920000003</v>
      </c>
      <c r="DR80" s="6">
        <v>1.4825376271999999</v>
      </c>
      <c r="DS80" s="6">
        <v>0.28817844390000003</v>
      </c>
      <c r="DT80" s="6">
        <v>0.36558660859999997</v>
      </c>
      <c r="DU80" s="6">
        <v>3.4074384700000002E-2</v>
      </c>
      <c r="DV80" s="6">
        <v>0.30533748869999999</v>
      </c>
      <c r="DW80" s="6">
        <v>1.118519783</v>
      </c>
      <c r="DX80" s="6">
        <v>6.7238779068000003</v>
      </c>
      <c r="DY80" s="6">
        <v>4.1197423935000002</v>
      </c>
      <c r="DZ80" s="6">
        <v>71.885292053200004</v>
      </c>
      <c r="EA80" s="6">
        <v>1.4372421502999999</v>
      </c>
      <c r="EB80" s="6">
        <v>0.2935806513</v>
      </c>
      <c r="EC80" s="6">
        <v>1.1894342899000001</v>
      </c>
      <c r="ED80" s="6">
        <v>1.2089538574000001</v>
      </c>
      <c r="EE80" s="6">
        <v>5.8396220207000002</v>
      </c>
      <c r="EF80" s="6">
        <v>1.7361636162</v>
      </c>
      <c r="EG80" s="6">
        <v>1.3937616347999999</v>
      </c>
      <c r="EH80" s="6">
        <v>1.4560122E-2</v>
      </c>
      <c r="EI80" s="152"/>
    </row>
    <row r="81" spans="1:139" s="2" customFormat="1">
      <c r="A81" s="4">
        <v>46127</v>
      </c>
      <c r="B81" s="5"/>
      <c r="C81" s="3">
        <v>5</v>
      </c>
      <c r="D81" s="90" t="s">
        <v>376</v>
      </c>
      <c r="E81" s="3">
        <v>210</v>
      </c>
      <c r="F81" s="3">
        <v>210</v>
      </c>
      <c r="G81" s="3">
        <v>23.990200000000002</v>
      </c>
      <c r="H81" s="3">
        <v>24.0046</v>
      </c>
      <c r="I81" s="3">
        <v>804.505</v>
      </c>
      <c r="J81" s="3">
        <v>810.89800000000002</v>
      </c>
      <c r="K81" s="3">
        <v>0</v>
      </c>
      <c r="L81" s="3">
        <v>0</v>
      </c>
      <c r="M81" s="3">
        <v>807.98400000000004</v>
      </c>
      <c r="N81" s="3">
        <v>799.88499999999999</v>
      </c>
      <c r="O81" s="3">
        <v>0</v>
      </c>
      <c r="P81" s="3">
        <v>0</v>
      </c>
      <c r="Q81" s="3">
        <v>6.1271399999999997E-2</v>
      </c>
      <c r="R81" s="3">
        <v>2001</v>
      </c>
      <c r="S81" s="3">
        <v>1999.97</v>
      </c>
      <c r="T81" s="3">
        <v>0</v>
      </c>
      <c r="U81" s="3">
        <v>0</v>
      </c>
      <c r="V81" s="3">
        <v>2000.05</v>
      </c>
      <c r="W81" s="3">
        <v>1999.95</v>
      </c>
      <c r="X81" s="3">
        <v>0</v>
      </c>
      <c r="Y81" s="3">
        <v>0</v>
      </c>
      <c r="Z81" s="3">
        <v>220</v>
      </c>
      <c r="AA81" s="3">
        <v>1.99854</v>
      </c>
      <c r="AB81" s="3">
        <v>1.99884</v>
      </c>
      <c r="AC81" s="3">
        <v>-5.3043199999999999E-2</v>
      </c>
      <c r="AD81" s="3">
        <v>1.76753E-3</v>
      </c>
      <c r="AE81" s="3">
        <v>2.0012400000000001</v>
      </c>
      <c r="AF81" s="3">
        <v>2.0050400000000002</v>
      </c>
      <c r="AG81" s="3">
        <v>-6.8194199999999996E-2</v>
      </c>
      <c r="AH81" s="3">
        <v>-2.3868199999999999E-2</v>
      </c>
      <c r="AI81" s="7">
        <v>23.577528999999998</v>
      </c>
      <c r="AJ81" s="7">
        <v>58.098917</v>
      </c>
      <c r="AK81" s="3"/>
      <c r="AL81" s="6">
        <v>88.504211425999998</v>
      </c>
      <c r="AM81" s="6">
        <v>83.613525390999996</v>
      </c>
      <c r="AN81" s="6">
        <v>16.282749175999999</v>
      </c>
      <c r="AO81" s="6">
        <v>23.976301193000001</v>
      </c>
      <c r="AP81" s="97">
        <v>0</v>
      </c>
      <c r="AQ81" s="97">
        <v>0</v>
      </c>
      <c r="AR81" s="6">
        <v>0</v>
      </c>
      <c r="AS81" s="6">
        <v>0</v>
      </c>
      <c r="AT81" s="6">
        <v>5.2732110000000001E-4</v>
      </c>
      <c r="AU81" s="280">
        <v>84.186248778999996</v>
      </c>
      <c r="AV81" s="280">
        <v>9.7910928726000002</v>
      </c>
      <c r="AW81" s="280">
        <v>4.8598752021999996</v>
      </c>
      <c r="AX81" s="6">
        <v>0</v>
      </c>
      <c r="AY81" s="6">
        <v>0</v>
      </c>
      <c r="AZ81" s="6">
        <v>0</v>
      </c>
      <c r="BA81" s="6">
        <v>0</v>
      </c>
      <c r="BB81" s="6">
        <v>0</v>
      </c>
      <c r="BC81" s="6">
        <v>0</v>
      </c>
      <c r="BD81" s="6">
        <v>0</v>
      </c>
      <c r="BE81" s="6">
        <v>0</v>
      </c>
      <c r="BF81" s="6">
        <v>0</v>
      </c>
      <c r="BG81" s="6">
        <v>0</v>
      </c>
      <c r="BH81" s="6">
        <v>9.7720810000000006E-4</v>
      </c>
      <c r="BI81" s="6">
        <v>0</v>
      </c>
      <c r="BJ81" s="6">
        <v>0.41801190379999997</v>
      </c>
      <c r="BK81" s="6">
        <v>0</v>
      </c>
      <c r="BL81" s="6">
        <v>0</v>
      </c>
      <c r="BM81" s="6">
        <v>0</v>
      </c>
      <c r="BN81" s="6">
        <v>0</v>
      </c>
      <c r="BO81" s="6">
        <v>0</v>
      </c>
      <c r="BP81" s="6">
        <v>0</v>
      </c>
      <c r="BQ81" s="6">
        <v>0</v>
      </c>
      <c r="BR81" s="6">
        <v>0</v>
      </c>
      <c r="BS81" s="6">
        <v>0</v>
      </c>
      <c r="BT81" s="6">
        <v>0</v>
      </c>
      <c r="BU81" s="6">
        <v>0</v>
      </c>
      <c r="BV81" s="6">
        <v>0</v>
      </c>
      <c r="BW81" s="6">
        <v>0</v>
      </c>
      <c r="BX81" s="6">
        <v>0</v>
      </c>
      <c r="BY81" s="6">
        <v>0</v>
      </c>
      <c r="BZ81" s="6">
        <v>0</v>
      </c>
      <c r="CA81" s="6">
        <v>0</v>
      </c>
      <c r="CB81" s="6">
        <v>0</v>
      </c>
      <c r="CC81" s="6">
        <v>0</v>
      </c>
      <c r="CD81" s="6">
        <v>0</v>
      </c>
      <c r="CE81" s="6">
        <v>0</v>
      </c>
      <c r="CF81" s="6">
        <v>0</v>
      </c>
      <c r="CG81" s="6">
        <v>0</v>
      </c>
      <c r="CH81" s="6">
        <v>0</v>
      </c>
      <c r="CI81" s="6">
        <v>0</v>
      </c>
      <c r="CJ81" s="6">
        <v>0</v>
      </c>
      <c r="CK81" s="6">
        <v>0</v>
      </c>
      <c r="CL81" s="6">
        <v>0</v>
      </c>
      <c r="CM81" s="6">
        <v>0</v>
      </c>
      <c r="CN81" s="6">
        <v>0.55943721530000001</v>
      </c>
      <c r="CO81" s="6"/>
      <c r="CP81" s="6"/>
      <c r="DM81" s="7">
        <v>0.18383896350000001</v>
      </c>
      <c r="DN81" s="7">
        <f t="shared" si="1"/>
        <v>100.00000946559997</v>
      </c>
      <c r="DO81" s="7"/>
      <c r="DP81" s="6">
        <v>9.7740600000000011E-4</v>
      </c>
      <c r="DQ81" s="6">
        <v>5.2742779999999996E-4</v>
      </c>
      <c r="DR81" s="6">
        <v>1.5794575E-3</v>
      </c>
      <c r="DS81" s="6">
        <v>3.9264958400000001E-2</v>
      </c>
      <c r="DT81" s="6">
        <v>0.37725210190000003</v>
      </c>
      <c r="DU81" s="6">
        <v>84.203292846699995</v>
      </c>
      <c r="DV81" s="6">
        <v>0.55955052380000003</v>
      </c>
      <c r="DW81" s="6">
        <v>9.6772807000000006E-3</v>
      </c>
      <c r="DX81" s="6">
        <v>9.7930755615000002</v>
      </c>
      <c r="DY81" s="6">
        <v>0.1357632577</v>
      </c>
      <c r="DZ81" s="6">
        <v>4.8608593941000002</v>
      </c>
      <c r="EA81" s="6">
        <v>1.8172785600000001E-2</v>
      </c>
      <c r="EB81" s="6"/>
      <c r="EC81" s="6"/>
      <c r="ED81" s="6"/>
      <c r="EE81" s="6"/>
      <c r="EF81" s="6"/>
      <c r="EG81" s="6"/>
      <c r="EH81" s="6"/>
      <c r="EI81" s="152"/>
    </row>
    <row r="82" spans="1:139" s="2" customFormat="1">
      <c r="A82" s="4">
        <v>46127</v>
      </c>
      <c r="B82" s="5"/>
      <c r="C82" s="3">
        <v>6</v>
      </c>
      <c r="D82" s="90" t="s">
        <v>377</v>
      </c>
      <c r="E82" s="3">
        <v>209.9</v>
      </c>
      <c r="F82" s="3">
        <v>210.1</v>
      </c>
      <c r="G82" s="3">
        <v>23.9742</v>
      </c>
      <c r="H82" s="3">
        <v>24.0017</v>
      </c>
      <c r="I82" s="3">
        <v>771.66499999999996</v>
      </c>
      <c r="J82" s="3">
        <v>760.17100000000005</v>
      </c>
      <c r="K82" s="3">
        <v>0</v>
      </c>
      <c r="L82" s="3">
        <v>0</v>
      </c>
      <c r="M82" s="3">
        <v>766.40499999999997</v>
      </c>
      <c r="N82" s="3">
        <v>776.15300000000002</v>
      </c>
      <c r="O82" s="3">
        <v>0</v>
      </c>
      <c r="P82" s="3">
        <v>0</v>
      </c>
      <c r="Q82" s="3">
        <v>0.27088899999999999</v>
      </c>
      <c r="R82" s="3">
        <v>2000.8</v>
      </c>
      <c r="S82" s="3">
        <v>1999.39</v>
      </c>
      <c r="T82" s="3">
        <v>0</v>
      </c>
      <c r="U82" s="3">
        <v>0</v>
      </c>
      <c r="V82" s="3">
        <v>1999.8</v>
      </c>
      <c r="W82" s="3">
        <v>2000.85</v>
      </c>
      <c r="X82" s="3">
        <v>0</v>
      </c>
      <c r="Y82" s="3">
        <v>0</v>
      </c>
      <c r="Z82" s="3">
        <v>219.9</v>
      </c>
      <c r="AA82" s="3">
        <v>2.00095</v>
      </c>
      <c r="AB82" s="3">
        <v>1.9959499999999999</v>
      </c>
      <c r="AC82" s="3">
        <v>-6.0377300000000002E-2</v>
      </c>
      <c r="AD82" s="3">
        <v>1.02852E-3</v>
      </c>
      <c r="AE82" s="3">
        <v>2.0020199999999999</v>
      </c>
      <c r="AF82" s="3">
        <v>1.9937400000000001</v>
      </c>
      <c r="AG82" s="3">
        <v>-0.11866400000000001</v>
      </c>
      <c r="AH82" s="3">
        <v>-1.1547699999999999E-2</v>
      </c>
      <c r="AI82" s="7">
        <v>22.284853999999999</v>
      </c>
      <c r="AJ82" s="7">
        <v>59.110517000000002</v>
      </c>
      <c r="AK82" s="3"/>
      <c r="AL82" s="6">
        <v>86.571182250999996</v>
      </c>
      <c r="AM82" s="6">
        <v>83.566238403</v>
      </c>
      <c r="AN82" s="6">
        <v>15.816083908</v>
      </c>
      <c r="AO82" s="6">
        <v>39.621273041000002</v>
      </c>
      <c r="AP82" s="97">
        <v>0</v>
      </c>
      <c r="AQ82" s="97">
        <v>0</v>
      </c>
      <c r="AR82" s="6">
        <v>0.87244343759999998</v>
      </c>
      <c r="AS82" s="6">
        <v>0.43238666650000002</v>
      </c>
      <c r="AT82" s="6">
        <v>4.6696167400000002E-2</v>
      </c>
      <c r="AU82" s="6">
        <v>63.884223937999998</v>
      </c>
      <c r="AV82" s="6">
        <v>4.0698337555000004</v>
      </c>
      <c r="AW82" s="6">
        <v>0.63300669190000003</v>
      </c>
      <c r="AX82" s="6">
        <v>0</v>
      </c>
      <c r="AY82" s="6">
        <v>0</v>
      </c>
      <c r="AZ82" s="6">
        <v>0</v>
      </c>
      <c r="BA82" s="6">
        <v>0</v>
      </c>
      <c r="BB82" s="6">
        <v>0</v>
      </c>
      <c r="BC82" s="6">
        <v>0</v>
      </c>
      <c r="BD82" s="6">
        <v>0</v>
      </c>
      <c r="BE82" s="6">
        <v>0</v>
      </c>
      <c r="BF82" s="6">
        <v>0</v>
      </c>
      <c r="BG82" s="6">
        <v>0</v>
      </c>
      <c r="BH82" s="6">
        <v>2.1900656223000001</v>
      </c>
      <c r="BI82" s="6">
        <v>0.53572505709999996</v>
      </c>
      <c r="BJ82" s="6">
        <v>20.232183456000001</v>
      </c>
      <c r="BK82" s="6">
        <v>3.2757287024999999</v>
      </c>
      <c r="BL82" s="6">
        <v>0</v>
      </c>
      <c r="BM82" s="6">
        <v>0</v>
      </c>
      <c r="BN82" s="6">
        <v>0</v>
      </c>
      <c r="BO82" s="6">
        <v>0</v>
      </c>
      <c r="BP82" s="6">
        <v>0</v>
      </c>
      <c r="BQ82" s="6">
        <v>0</v>
      </c>
      <c r="BR82" s="6">
        <v>0</v>
      </c>
      <c r="BS82" s="6">
        <v>0</v>
      </c>
      <c r="BT82" s="6">
        <v>0</v>
      </c>
      <c r="BU82" s="6">
        <v>0</v>
      </c>
      <c r="BV82" s="6">
        <v>0</v>
      </c>
      <c r="BW82" s="6">
        <v>0</v>
      </c>
      <c r="BX82" s="6">
        <v>0</v>
      </c>
      <c r="BY82" s="6">
        <v>0</v>
      </c>
      <c r="BZ82" s="6">
        <v>0</v>
      </c>
      <c r="CA82" s="6">
        <v>0</v>
      </c>
      <c r="CB82" s="6">
        <v>0</v>
      </c>
      <c r="CC82" s="6">
        <v>0</v>
      </c>
      <c r="CD82" s="6">
        <v>0</v>
      </c>
      <c r="CE82" s="6">
        <v>0</v>
      </c>
      <c r="CF82" s="6">
        <v>0</v>
      </c>
      <c r="CG82" s="6">
        <v>0</v>
      </c>
      <c r="CH82" s="6">
        <v>0</v>
      </c>
      <c r="CI82" s="6">
        <v>0</v>
      </c>
      <c r="CJ82" s="6">
        <v>0</v>
      </c>
      <c r="CK82" s="6">
        <v>0</v>
      </c>
      <c r="CL82" s="6">
        <v>0</v>
      </c>
      <c r="CM82" s="6">
        <v>0</v>
      </c>
      <c r="CN82" s="6">
        <v>0.32624018189999998</v>
      </c>
      <c r="CO82" s="6"/>
      <c r="CP82" s="6"/>
      <c r="DM82" s="7">
        <v>3.5014541149</v>
      </c>
      <c r="DN82" s="7">
        <f t="shared" si="1"/>
        <v>99.999987791599992</v>
      </c>
      <c r="DO82" s="7"/>
      <c r="DP82" s="6">
        <v>3.8670199000000001E-3</v>
      </c>
      <c r="DQ82" s="6">
        <v>0.87107813359999997</v>
      </c>
      <c r="DR82" s="6">
        <v>2.1866383552999999</v>
      </c>
      <c r="DS82" s="6">
        <v>0.43171003460000001</v>
      </c>
      <c r="DT82" s="6">
        <v>0.53488665820000003</v>
      </c>
      <c r="DU82" s="6">
        <v>4.6623092099999999E-2</v>
      </c>
      <c r="DV82" s="6">
        <v>0.5058480501</v>
      </c>
      <c r="DW82" s="6">
        <v>1.9123744965</v>
      </c>
      <c r="DX82" s="6">
        <v>10.9750490189</v>
      </c>
      <c r="DY82" s="6">
        <v>6.8072509765999998</v>
      </c>
      <c r="DZ82" s="6">
        <v>63.7842521667</v>
      </c>
      <c r="EA82" s="6">
        <v>1.9875794649</v>
      </c>
      <c r="EB82" s="6">
        <v>0.32572963830000001</v>
      </c>
      <c r="EC82" s="6">
        <v>1.5564827918999999</v>
      </c>
      <c r="ED82" s="6">
        <v>1.714119792</v>
      </c>
      <c r="EE82" s="6">
        <v>4.0634646416000004</v>
      </c>
      <c r="EF82" s="6">
        <v>1.6530735492999999</v>
      </c>
      <c r="EG82" s="6">
        <v>0.63201606269999999</v>
      </c>
      <c r="EH82" s="6">
        <v>7.9770172000000004E-3</v>
      </c>
      <c r="EI82" s="152"/>
    </row>
    <row r="83" spans="1:139" s="2" customFormat="1">
      <c r="A83" s="4">
        <v>46127</v>
      </c>
      <c r="B83" s="5"/>
      <c r="C83" s="3">
        <v>1</v>
      </c>
      <c r="D83" s="90" t="s">
        <v>378</v>
      </c>
      <c r="E83" s="3">
        <v>209.9</v>
      </c>
      <c r="F83" s="3">
        <v>210.1</v>
      </c>
      <c r="G83" s="3">
        <v>23.972799999999999</v>
      </c>
      <c r="H83" s="3">
        <v>24.013300000000001</v>
      </c>
      <c r="I83" s="3">
        <v>782.65800000000002</v>
      </c>
      <c r="J83" s="3">
        <v>789.76900000000001</v>
      </c>
      <c r="K83" s="3">
        <v>0</v>
      </c>
      <c r="L83" s="3">
        <v>0</v>
      </c>
      <c r="M83" s="3">
        <v>786.16200000000003</v>
      </c>
      <c r="N83" s="3">
        <v>776.26400000000001</v>
      </c>
      <c r="O83" s="3">
        <v>0</v>
      </c>
      <c r="P83" s="3">
        <v>0</v>
      </c>
      <c r="Q83" s="3">
        <v>0.36612299999999998</v>
      </c>
      <c r="R83" s="3">
        <v>1999.58</v>
      </c>
      <c r="S83" s="3">
        <v>2000.33</v>
      </c>
      <c r="T83" s="3">
        <v>0</v>
      </c>
      <c r="U83" s="3">
        <v>0</v>
      </c>
      <c r="V83" s="3">
        <v>2000.03</v>
      </c>
      <c r="W83" s="3">
        <v>1999.86</v>
      </c>
      <c r="X83" s="3">
        <v>0</v>
      </c>
      <c r="Y83" s="3">
        <v>0</v>
      </c>
      <c r="Z83" s="3">
        <v>220.1</v>
      </c>
      <c r="AA83" s="3">
        <v>1.9977799999999999</v>
      </c>
      <c r="AB83" s="3">
        <v>1.99857</v>
      </c>
      <c r="AC83" s="3">
        <v>-7.2172799999999995E-2</v>
      </c>
      <c r="AD83" s="3">
        <v>-4.0227199999999996E-3</v>
      </c>
      <c r="AE83" s="3">
        <v>1.9987999999999999</v>
      </c>
      <c r="AF83" s="3">
        <v>1.9952099999999999</v>
      </c>
      <c r="AG83" s="3">
        <v>-0.27182099999999998</v>
      </c>
      <c r="AH83" s="3">
        <v>-2.3037599999999998E-2</v>
      </c>
      <c r="AI83" s="7">
        <v>24.123018999999999</v>
      </c>
      <c r="AJ83" s="7">
        <v>58.451644000000002</v>
      </c>
      <c r="AK83" s="3"/>
      <c r="AL83" s="6">
        <v>87.500251770000006</v>
      </c>
      <c r="AM83" s="6">
        <v>83.590965271000002</v>
      </c>
      <c r="AN83" s="6">
        <v>15.809732436999999</v>
      </c>
      <c r="AO83" s="6">
        <v>33.942863463999998</v>
      </c>
      <c r="AP83" s="97">
        <v>0</v>
      </c>
      <c r="AQ83" s="97">
        <v>0</v>
      </c>
      <c r="AR83" s="6">
        <v>0.52639210219999999</v>
      </c>
      <c r="AS83" s="6">
        <v>0.28274920580000001</v>
      </c>
      <c r="AT83" s="6">
        <v>3.01966202E-2</v>
      </c>
      <c r="AU83" s="6">
        <v>71.251747131000002</v>
      </c>
      <c r="AV83" s="6">
        <v>5.5820999145999997</v>
      </c>
      <c r="AW83" s="6">
        <v>1.2541046143000001</v>
      </c>
      <c r="AX83" s="6">
        <v>0</v>
      </c>
      <c r="AY83" s="6">
        <v>0</v>
      </c>
      <c r="AZ83" s="6">
        <v>0</v>
      </c>
      <c r="BA83" s="6">
        <v>0</v>
      </c>
      <c r="BB83" s="6">
        <v>0</v>
      </c>
      <c r="BC83" s="6">
        <v>0</v>
      </c>
      <c r="BD83" s="6">
        <v>0</v>
      </c>
      <c r="BE83" s="6">
        <v>0</v>
      </c>
      <c r="BF83" s="6">
        <v>0</v>
      </c>
      <c r="BG83" s="6">
        <v>0</v>
      </c>
      <c r="BH83" s="6">
        <v>1.4032988548000001</v>
      </c>
      <c r="BI83" s="6">
        <v>0.35517904160000002</v>
      </c>
      <c r="BJ83" s="6">
        <v>12.940994263</v>
      </c>
      <c r="BK83" s="6">
        <v>2.6484336853000001</v>
      </c>
      <c r="BL83" s="6">
        <v>0</v>
      </c>
      <c r="BM83" s="6">
        <v>0</v>
      </c>
      <c r="BN83" s="6">
        <v>0</v>
      </c>
      <c r="BO83" s="6">
        <v>0</v>
      </c>
      <c r="BP83" s="6">
        <v>0</v>
      </c>
      <c r="BQ83" s="6">
        <v>0</v>
      </c>
      <c r="BR83" s="6">
        <v>0</v>
      </c>
      <c r="BS83" s="6">
        <v>0</v>
      </c>
      <c r="BT83" s="6">
        <v>0</v>
      </c>
      <c r="BU83" s="6">
        <v>0</v>
      </c>
      <c r="BV83" s="6">
        <v>0</v>
      </c>
      <c r="BW83" s="6">
        <v>0</v>
      </c>
      <c r="BX83" s="6">
        <v>0</v>
      </c>
      <c r="BY83" s="6">
        <v>0</v>
      </c>
      <c r="BZ83" s="6">
        <v>0</v>
      </c>
      <c r="CA83" s="6">
        <v>0</v>
      </c>
      <c r="CB83" s="6">
        <v>0</v>
      </c>
      <c r="CC83" s="6">
        <v>0</v>
      </c>
      <c r="CD83" s="6">
        <v>0</v>
      </c>
      <c r="CE83" s="6">
        <v>0</v>
      </c>
      <c r="CF83" s="6">
        <v>0</v>
      </c>
      <c r="CG83" s="6">
        <v>0</v>
      </c>
      <c r="CH83" s="6">
        <v>0</v>
      </c>
      <c r="CI83" s="6">
        <v>0</v>
      </c>
      <c r="CJ83" s="6">
        <v>0</v>
      </c>
      <c r="CK83" s="6">
        <v>0</v>
      </c>
      <c r="CL83" s="6">
        <v>0</v>
      </c>
      <c r="CM83" s="6">
        <v>0</v>
      </c>
      <c r="CN83" s="6">
        <v>0.31769382950000002</v>
      </c>
      <c r="CO83" s="6"/>
      <c r="CP83" s="6"/>
      <c r="DM83" s="7">
        <v>3.4071333408000002</v>
      </c>
      <c r="DN83" s="7">
        <f t="shared" si="1"/>
        <v>100.00002260309999</v>
      </c>
      <c r="DO83" s="7"/>
      <c r="DP83" s="6">
        <v>2.0400944999999998E-3</v>
      </c>
      <c r="DQ83" s="6">
        <v>0.52627789970000005</v>
      </c>
      <c r="DR83" s="6">
        <v>1.4029945134999999</v>
      </c>
      <c r="DS83" s="6">
        <v>0.28268784279999998</v>
      </c>
      <c r="DT83" s="6">
        <v>0.35510200260000002</v>
      </c>
      <c r="DU83" s="6">
        <v>3.01900711E-2</v>
      </c>
      <c r="DV83" s="6">
        <v>0.29582017659999998</v>
      </c>
      <c r="DW83" s="6">
        <v>1.1078507900000001</v>
      </c>
      <c r="DX83" s="6">
        <v>7.1196408271999996</v>
      </c>
      <c r="DY83" s="6">
        <v>4.4148750305000002</v>
      </c>
      <c r="DZ83" s="6">
        <v>71.236289978000002</v>
      </c>
      <c r="EA83" s="6">
        <v>1.5012786387999999</v>
      </c>
      <c r="EB83" s="6">
        <v>0.3176248968</v>
      </c>
      <c r="EC83" s="6">
        <v>1.3102099894999999</v>
      </c>
      <c r="ED83" s="6">
        <v>1.3376491070000001</v>
      </c>
      <c r="EE83" s="6">
        <v>5.580889225</v>
      </c>
      <c r="EF83" s="6">
        <v>1.9144457579</v>
      </c>
      <c r="EG83" s="6">
        <v>1.2538325787</v>
      </c>
      <c r="EH83" s="6">
        <v>1.03073334E-2</v>
      </c>
      <c r="EI83" s="152"/>
    </row>
    <row r="84" spans="1:139" s="2" customFormat="1" ht="14.1" customHeight="1">
      <c r="A84" s="4">
        <v>46127</v>
      </c>
      <c r="B84" s="5"/>
      <c r="C84" s="3">
        <v>2</v>
      </c>
      <c r="D84" s="90" t="s">
        <v>379</v>
      </c>
      <c r="E84" s="3">
        <v>221.5</v>
      </c>
      <c r="F84" s="3">
        <v>221.5</v>
      </c>
      <c r="G84" s="3">
        <v>23.990200000000002</v>
      </c>
      <c r="H84" s="3">
        <v>24.0017</v>
      </c>
      <c r="I84" s="3">
        <v>753.03599999999994</v>
      </c>
      <c r="J84" s="3">
        <v>742.82600000000002</v>
      </c>
      <c r="K84" s="3">
        <v>0</v>
      </c>
      <c r="L84" s="3">
        <v>0</v>
      </c>
      <c r="M84" s="3">
        <v>746.69200000000001</v>
      </c>
      <c r="N84" s="3">
        <v>755.94200000000001</v>
      </c>
      <c r="O84" s="3">
        <v>0</v>
      </c>
      <c r="P84" s="3">
        <v>0</v>
      </c>
      <c r="Q84" s="3">
        <v>0.276368</v>
      </c>
      <c r="R84" s="3">
        <v>1999.65</v>
      </c>
      <c r="S84" s="3">
        <v>2000.49</v>
      </c>
      <c r="T84" s="3">
        <v>0</v>
      </c>
      <c r="U84" s="3">
        <v>0</v>
      </c>
      <c r="V84" s="3">
        <v>2000.2</v>
      </c>
      <c r="W84" s="3">
        <v>1999.88</v>
      </c>
      <c r="X84" s="3">
        <v>0</v>
      </c>
      <c r="Y84" s="3">
        <v>0</v>
      </c>
      <c r="Z84" s="3">
        <v>220</v>
      </c>
      <c r="AA84" s="3">
        <v>1.99909</v>
      </c>
      <c r="AB84" s="3">
        <v>1.9995799999999999</v>
      </c>
      <c r="AC84" s="3">
        <v>-6.3917799999999997E-2</v>
      </c>
      <c r="AD84" s="3">
        <v>-5.2915899999999997E-3</v>
      </c>
      <c r="AE84" s="3">
        <v>2.0011399999999999</v>
      </c>
      <c r="AF84" s="3">
        <v>1.9979</v>
      </c>
      <c r="AG84" s="3">
        <v>-0.101896</v>
      </c>
      <c r="AH84" s="3">
        <v>-2.8390100000000001E-2</v>
      </c>
      <c r="AI84" s="7">
        <v>21.083998999999999</v>
      </c>
      <c r="AJ84" s="7">
        <v>59.723866000000001</v>
      </c>
      <c r="AK84" s="3"/>
      <c r="AL84" s="6">
        <v>85.224861145000006</v>
      </c>
      <c r="AM84" s="6">
        <v>83.532287597999996</v>
      </c>
      <c r="AN84" s="6">
        <v>15.925895690999999</v>
      </c>
      <c r="AO84" s="6">
        <v>44.554882050000003</v>
      </c>
      <c r="AP84" s="97">
        <v>0</v>
      </c>
      <c r="AQ84" s="97">
        <v>0</v>
      </c>
      <c r="AR84" s="6">
        <v>1.4480057955000001</v>
      </c>
      <c r="AS84" s="6">
        <v>0.58767968420000005</v>
      </c>
      <c r="AT84" s="6">
        <v>0.1016852036</v>
      </c>
      <c r="AU84" s="6">
        <v>58.106643677000001</v>
      </c>
      <c r="AV84" s="6">
        <v>3.3313584328000001</v>
      </c>
      <c r="AW84" s="6">
        <v>0.50303411480000004</v>
      </c>
      <c r="AX84" s="6">
        <v>0</v>
      </c>
      <c r="AY84" s="6">
        <v>0</v>
      </c>
      <c r="AZ84" s="6">
        <v>0</v>
      </c>
      <c r="BA84" s="6">
        <v>0</v>
      </c>
      <c r="BB84" s="6">
        <v>0</v>
      </c>
      <c r="BC84" s="6">
        <v>0</v>
      </c>
      <c r="BD84" s="6">
        <v>0</v>
      </c>
      <c r="BE84" s="6">
        <v>0</v>
      </c>
      <c r="BF84" s="6">
        <v>0</v>
      </c>
      <c r="BG84" s="6">
        <v>0</v>
      </c>
      <c r="BH84" s="6">
        <v>3.2616360188</v>
      </c>
      <c r="BI84" s="6">
        <v>0.73033797739999995</v>
      </c>
      <c r="BJ84" s="6">
        <v>25.594398498</v>
      </c>
      <c r="BK84" s="6">
        <v>3.0303697586</v>
      </c>
      <c r="BL84" s="6">
        <v>0</v>
      </c>
      <c r="BM84" s="6">
        <v>0</v>
      </c>
      <c r="BN84" s="6">
        <v>0</v>
      </c>
      <c r="BO84" s="6">
        <v>0</v>
      </c>
      <c r="BP84" s="6">
        <v>0</v>
      </c>
      <c r="BQ84" s="6">
        <v>0</v>
      </c>
      <c r="BR84" s="6">
        <v>0</v>
      </c>
      <c r="BS84" s="6">
        <v>0</v>
      </c>
      <c r="BT84" s="6">
        <v>0</v>
      </c>
      <c r="BU84" s="6">
        <v>0</v>
      </c>
      <c r="BV84" s="6">
        <v>0</v>
      </c>
      <c r="BW84" s="6">
        <v>0</v>
      </c>
      <c r="BX84" s="6">
        <v>0</v>
      </c>
      <c r="BY84" s="6">
        <v>0</v>
      </c>
      <c r="BZ84" s="6">
        <v>0</v>
      </c>
      <c r="CA84" s="6">
        <v>0</v>
      </c>
      <c r="CB84" s="6">
        <v>0</v>
      </c>
      <c r="CC84" s="6">
        <v>0</v>
      </c>
      <c r="CD84" s="6">
        <v>0</v>
      </c>
      <c r="CE84" s="6">
        <v>0</v>
      </c>
      <c r="CF84" s="6">
        <v>0</v>
      </c>
      <c r="CG84" s="6">
        <v>0</v>
      </c>
      <c r="CH84" s="6">
        <v>0</v>
      </c>
      <c r="CI84" s="6">
        <v>0</v>
      </c>
      <c r="CJ84" s="6">
        <v>0</v>
      </c>
      <c r="CK84" s="6">
        <v>0</v>
      </c>
      <c r="CL84" s="6">
        <v>0</v>
      </c>
      <c r="CM84" s="6">
        <v>0</v>
      </c>
      <c r="CN84" s="6">
        <v>0.3050870597</v>
      </c>
      <c r="CO84" s="6"/>
      <c r="CP84" s="6"/>
      <c r="DM84" s="7">
        <v>2.9997541904</v>
      </c>
      <c r="DN84" s="7">
        <f t="shared" si="1"/>
        <v>99.999990410800009</v>
      </c>
      <c r="DO84" s="7"/>
      <c r="DP84" s="6">
        <v>5.2005877000000002E-3</v>
      </c>
      <c r="DQ84" s="6">
        <v>1.4449121951999999</v>
      </c>
      <c r="DR84" s="6">
        <v>3.2546679973999999</v>
      </c>
      <c r="DS84" s="6">
        <v>0.58642417189999996</v>
      </c>
      <c r="DT84" s="6">
        <v>0.72877770659999996</v>
      </c>
      <c r="DU84" s="6">
        <v>0.10146796700000001</v>
      </c>
      <c r="DV84" s="6">
        <v>0.92172896859999998</v>
      </c>
      <c r="DW84" s="6">
        <v>2.5995659828000002</v>
      </c>
      <c r="DX84" s="6">
        <v>13.571484565700001</v>
      </c>
      <c r="DY84" s="6">
        <v>8.4469375610000004</v>
      </c>
      <c r="DZ84" s="6">
        <v>57.982501983600002</v>
      </c>
      <c r="EA84" s="6">
        <v>1.9666960239</v>
      </c>
      <c r="EB84" s="6">
        <v>0.30443525310000003</v>
      </c>
      <c r="EC84" s="6">
        <v>1.4347420930999999</v>
      </c>
      <c r="ED84" s="6">
        <v>1.5891536474000001</v>
      </c>
      <c r="EE84" s="6">
        <v>3.3242411612999998</v>
      </c>
      <c r="EF84" s="6">
        <v>1.2149839401</v>
      </c>
      <c r="EG84" s="6">
        <v>0.50195944309999996</v>
      </c>
      <c r="EH84" s="6">
        <v>2.0139483699999999E-2</v>
      </c>
      <c r="EI84" s="152"/>
    </row>
    <row r="85" spans="1:139" s="2" customFormat="1">
      <c r="A85" s="4">
        <v>46127</v>
      </c>
      <c r="B85" s="5"/>
      <c r="C85" s="3">
        <v>5</v>
      </c>
      <c r="D85" s="90" t="s">
        <v>380</v>
      </c>
      <c r="E85" s="3">
        <v>220</v>
      </c>
      <c r="F85" s="3">
        <v>220</v>
      </c>
      <c r="G85" s="3">
        <v>24.010400000000001</v>
      </c>
      <c r="H85" s="3">
        <v>24.000299999999999</v>
      </c>
      <c r="I85" s="3">
        <v>794.95100000000002</v>
      </c>
      <c r="J85" s="3">
        <v>789.28700000000003</v>
      </c>
      <c r="K85" s="3">
        <v>0</v>
      </c>
      <c r="L85" s="3">
        <v>0</v>
      </c>
      <c r="M85" s="3">
        <v>791.83299999999997</v>
      </c>
      <c r="N85" s="3">
        <v>797.09199999999998</v>
      </c>
      <c r="O85" s="3">
        <v>0</v>
      </c>
      <c r="P85" s="3">
        <v>0</v>
      </c>
      <c r="Q85" s="3">
        <v>0.30183599999999999</v>
      </c>
      <c r="R85" s="3">
        <v>2000.28</v>
      </c>
      <c r="S85" s="3">
        <v>1999.97</v>
      </c>
      <c r="T85" s="3">
        <v>0</v>
      </c>
      <c r="U85" s="3">
        <v>0</v>
      </c>
      <c r="V85" s="3">
        <v>1999.97</v>
      </c>
      <c r="W85" s="3">
        <v>2000.04</v>
      </c>
      <c r="X85" s="3">
        <v>0</v>
      </c>
      <c r="Y85" s="3">
        <v>0</v>
      </c>
      <c r="Z85" s="3">
        <v>220</v>
      </c>
      <c r="AA85" s="3">
        <v>1.99746</v>
      </c>
      <c r="AB85" s="3">
        <v>1.99692</v>
      </c>
      <c r="AC85" s="3">
        <v>-6.6781800000000002E-2</v>
      </c>
      <c r="AD85" s="3">
        <v>-4.0511799999999997E-3</v>
      </c>
      <c r="AE85" s="3">
        <v>2.0007100000000002</v>
      </c>
      <c r="AF85" s="3">
        <v>2.0034399999999999</v>
      </c>
      <c r="AG85" s="3">
        <v>-0.102283</v>
      </c>
      <c r="AH85" s="3">
        <v>-2.93005E-2</v>
      </c>
      <c r="AI85" s="7">
        <v>23.665030999999999</v>
      </c>
      <c r="AJ85" s="7">
        <v>57.751728</v>
      </c>
      <c r="AK85" s="3"/>
      <c r="AL85" s="6">
        <v>88.510086060000006</v>
      </c>
      <c r="AM85" s="6">
        <v>83.613746642999999</v>
      </c>
      <c r="AN85" s="6">
        <v>16.282888412999998</v>
      </c>
      <c r="AO85" s="6">
        <v>23.967454910000001</v>
      </c>
      <c r="AP85" s="97">
        <v>0</v>
      </c>
      <c r="AQ85" s="97">
        <v>0</v>
      </c>
      <c r="AR85" s="6">
        <v>0</v>
      </c>
      <c r="AS85" s="6">
        <v>0</v>
      </c>
      <c r="AT85" s="6">
        <v>4.6188110000000001E-4</v>
      </c>
      <c r="AU85" s="280">
        <v>84.146247864000003</v>
      </c>
      <c r="AV85" s="280">
        <v>9.8028907776</v>
      </c>
      <c r="AW85" s="280">
        <v>4.8838248252999996</v>
      </c>
      <c r="AX85" s="6">
        <v>0</v>
      </c>
      <c r="AY85" s="6">
        <v>0</v>
      </c>
      <c r="AZ85" s="6">
        <v>0</v>
      </c>
      <c r="BA85" s="6">
        <v>0</v>
      </c>
      <c r="BB85" s="6">
        <v>0</v>
      </c>
      <c r="BC85" s="6">
        <v>0</v>
      </c>
      <c r="BD85" s="6">
        <v>0</v>
      </c>
      <c r="BE85" s="6">
        <v>0</v>
      </c>
      <c r="BF85" s="6">
        <v>0</v>
      </c>
      <c r="BG85" s="6">
        <v>0</v>
      </c>
      <c r="BH85" s="6">
        <v>9.6794069999999995E-4</v>
      </c>
      <c r="BI85" s="6">
        <v>0</v>
      </c>
      <c r="BJ85" s="6">
        <v>0.41776508089999997</v>
      </c>
      <c r="BK85" s="6">
        <v>1.0001431E-3</v>
      </c>
      <c r="BL85" s="6">
        <v>0</v>
      </c>
      <c r="BM85" s="6">
        <v>0</v>
      </c>
      <c r="BN85" s="6">
        <v>0</v>
      </c>
      <c r="BO85" s="6">
        <v>0</v>
      </c>
      <c r="BP85" s="6">
        <v>0</v>
      </c>
      <c r="BQ85" s="6">
        <v>0</v>
      </c>
      <c r="BR85" s="6">
        <v>0</v>
      </c>
      <c r="BS85" s="6">
        <v>0</v>
      </c>
      <c r="BT85" s="6">
        <v>0</v>
      </c>
      <c r="BU85" s="6">
        <v>0</v>
      </c>
      <c r="BV85" s="6">
        <v>0</v>
      </c>
      <c r="BW85" s="6">
        <v>0</v>
      </c>
      <c r="BX85" s="6">
        <v>0</v>
      </c>
      <c r="BY85" s="6">
        <v>0</v>
      </c>
      <c r="BZ85" s="6">
        <v>0</v>
      </c>
      <c r="CA85" s="6">
        <v>0</v>
      </c>
      <c r="CB85" s="6">
        <v>0</v>
      </c>
      <c r="CC85" s="6">
        <v>0</v>
      </c>
      <c r="CD85" s="6">
        <v>0</v>
      </c>
      <c r="CE85" s="6">
        <v>0</v>
      </c>
      <c r="CF85" s="6">
        <v>0</v>
      </c>
      <c r="CG85" s="6">
        <v>0</v>
      </c>
      <c r="CH85" s="6">
        <v>0</v>
      </c>
      <c r="CI85" s="6">
        <v>0</v>
      </c>
      <c r="CJ85" s="6">
        <v>0</v>
      </c>
      <c r="CK85" s="6">
        <v>0</v>
      </c>
      <c r="CL85" s="6">
        <v>0</v>
      </c>
      <c r="CM85" s="6">
        <v>0</v>
      </c>
      <c r="CN85" s="6">
        <v>0.56555342669999997</v>
      </c>
      <c r="CO85" s="6"/>
      <c r="CP85" s="6"/>
      <c r="DM85" s="7">
        <v>0.18128500880000001</v>
      </c>
      <c r="DN85" s="7">
        <f t="shared" si="1"/>
        <v>99.999996948199993</v>
      </c>
      <c r="DO85" s="7"/>
      <c r="DP85" s="6">
        <v>9.6813509999999999E-4</v>
      </c>
      <c r="DQ85" s="6">
        <v>4.619739E-4</v>
      </c>
      <c r="DR85" s="6">
        <v>1.4551455000000001E-3</v>
      </c>
      <c r="DS85" s="6">
        <v>3.9229445199999997E-2</v>
      </c>
      <c r="DT85" s="6">
        <v>0.37716439369999999</v>
      </c>
      <c r="DU85" s="6">
        <v>84.163146972700005</v>
      </c>
      <c r="DV85" s="6">
        <v>0.56566697359999996</v>
      </c>
      <c r="DW85" s="6">
        <v>1.0003441000000001E-3</v>
      </c>
      <c r="DX85" s="6">
        <v>9.2647345999999995E-3</v>
      </c>
      <c r="DY85" s="6">
        <v>9.8048591613999996</v>
      </c>
      <c r="DZ85" s="6">
        <v>0.13489468399999999</v>
      </c>
      <c r="EA85" s="6">
        <v>4.8848061561999998</v>
      </c>
      <c r="EB85" s="6">
        <v>1.7097145300000002E-2</v>
      </c>
      <c r="EC85" s="6"/>
      <c r="ED85" s="6"/>
      <c r="EE85" s="6"/>
      <c r="EF85" s="6"/>
      <c r="EG85" s="6"/>
      <c r="EH85" s="6"/>
      <c r="EI85" s="152"/>
    </row>
    <row r="86" spans="1:139" s="2" customFormat="1">
      <c r="A86" s="4">
        <v>46127</v>
      </c>
      <c r="B86" s="5"/>
      <c r="C86" s="3">
        <v>6</v>
      </c>
      <c r="D86" s="90" t="s">
        <v>381</v>
      </c>
      <c r="E86" s="3">
        <v>220</v>
      </c>
      <c r="F86" s="3">
        <v>220</v>
      </c>
      <c r="G86" s="3">
        <v>24.0017</v>
      </c>
      <c r="H86" s="3">
        <v>24.0046</v>
      </c>
      <c r="I86" s="3">
        <v>748.50400000000002</v>
      </c>
      <c r="J86" s="3">
        <v>737.68600000000004</v>
      </c>
      <c r="K86" s="3">
        <v>0</v>
      </c>
      <c r="L86" s="3">
        <v>0</v>
      </c>
      <c r="M86" s="3">
        <v>742.76499999999999</v>
      </c>
      <c r="N86" s="3">
        <v>753.13800000000003</v>
      </c>
      <c r="O86" s="3">
        <v>0</v>
      </c>
      <c r="P86" s="3">
        <v>0</v>
      </c>
      <c r="Q86" s="3">
        <v>0.36054700000000001</v>
      </c>
      <c r="R86" s="3">
        <v>1999.97</v>
      </c>
      <c r="S86" s="3">
        <v>1999.77</v>
      </c>
      <c r="T86" s="3">
        <v>0</v>
      </c>
      <c r="U86" s="3">
        <v>0</v>
      </c>
      <c r="V86" s="3">
        <v>2000.12</v>
      </c>
      <c r="W86" s="3">
        <v>1999.79</v>
      </c>
      <c r="X86" s="3">
        <v>0</v>
      </c>
      <c r="Y86" s="3">
        <v>0</v>
      </c>
      <c r="Z86" s="3">
        <v>219.9</v>
      </c>
      <c r="AA86" s="3">
        <v>1.99763</v>
      </c>
      <c r="AB86" s="3">
        <v>2.0009299999999999</v>
      </c>
      <c r="AC86" s="3">
        <v>-6.6076399999999993E-2</v>
      </c>
      <c r="AD86" s="3">
        <v>-6.1358799999999998E-4</v>
      </c>
      <c r="AE86" s="3">
        <v>2.0010500000000002</v>
      </c>
      <c r="AF86" s="3">
        <v>1.99017</v>
      </c>
      <c r="AG86" s="3">
        <v>-7.4227600000000005E-2</v>
      </c>
      <c r="AH86" s="3">
        <v>-3.6290299999999998E-2</v>
      </c>
      <c r="AI86" s="7">
        <v>21.625654999999998</v>
      </c>
      <c r="AJ86" s="7">
        <v>58.698647999999999</v>
      </c>
      <c r="AK86" s="3"/>
      <c r="AL86" s="6">
        <v>84.152770996000001</v>
      </c>
      <c r="AM86" s="6">
        <v>83.502212524000001</v>
      </c>
      <c r="AN86" s="6">
        <v>15.988667488000001</v>
      </c>
      <c r="AO86" s="6">
        <v>52.735004425</v>
      </c>
      <c r="AP86" s="97">
        <v>0</v>
      </c>
      <c r="AQ86" s="97">
        <v>0</v>
      </c>
      <c r="AR86" s="6">
        <v>1.9107325076999999</v>
      </c>
      <c r="AS86" s="6">
        <v>0.71257764099999998</v>
      </c>
      <c r="AT86" s="6">
        <v>0.1146366075</v>
      </c>
      <c r="AU86" s="6">
        <v>46.785427093000003</v>
      </c>
      <c r="AV86" s="6">
        <v>1.8391392231000001</v>
      </c>
      <c r="AW86" s="6">
        <v>0.1219500974</v>
      </c>
      <c r="AX86" s="6">
        <v>0</v>
      </c>
      <c r="AY86" s="6">
        <v>0</v>
      </c>
      <c r="AZ86" s="6">
        <v>0</v>
      </c>
      <c r="BA86" s="6">
        <v>0</v>
      </c>
      <c r="BB86" s="6">
        <v>0</v>
      </c>
      <c r="BC86" s="6">
        <v>0</v>
      </c>
      <c r="BD86" s="6">
        <v>0</v>
      </c>
      <c r="BE86" s="6">
        <v>0</v>
      </c>
      <c r="BF86" s="6">
        <v>0</v>
      </c>
      <c r="BG86" s="6">
        <v>0</v>
      </c>
      <c r="BH86" s="6">
        <v>4.0708670615999996</v>
      </c>
      <c r="BI86" s="6">
        <v>0.85374349360000001</v>
      </c>
      <c r="BJ86" s="6">
        <v>37.203990935999997</v>
      </c>
      <c r="BK86" s="6">
        <v>3.2941088675999999</v>
      </c>
      <c r="BL86" s="6">
        <v>0</v>
      </c>
      <c r="BM86" s="6">
        <v>0</v>
      </c>
      <c r="BN86" s="6">
        <v>0</v>
      </c>
      <c r="BO86" s="6">
        <v>0</v>
      </c>
      <c r="BP86" s="6">
        <v>0</v>
      </c>
      <c r="BQ86" s="6">
        <v>0</v>
      </c>
      <c r="BR86" s="6">
        <v>0</v>
      </c>
      <c r="BS86" s="6">
        <v>0</v>
      </c>
      <c r="BT86" s="6">
        <v>0</v>
      </c>
      <c r="BU86" s="6">
        <v>0</v>
      </c>
      <c r="BV86" s="6">
        <v>0</v>
      </c>
      <c r="BW86" s="6">
        <v>0</v>
      </c>
      <c r="BX86" s="6">
        <v>0</v>
      </c>
      <c r="BY86" s="6">
        <v>0</v>
      </c>
      <c r="BZ86" s="6">
        <v>0</v>
      </c>
      <c r="CA86" s="6">
        <v>0</v>
      </c>
      <c r="CB86" s="6">
        <v>0</v>
      </c>
      <c r="CC86" s="6">
        <v>0</v>
      </c>
      <c r="CD86" s="6">
        <v>0</v>
      </c>
      <c r="CE86" s="6">
        <v>0</v>
      </c>
      <c r="CF86" s="6">
        <v>0</v>
      </c>
      <c r="CG86" s="6">
        <v>0</v>
      </c>
      <c r="CH86" s="6">
        <v>0</v>
      </c>
      <c r="CI86" s="6">
        <v>0</v>
      </c>
      <c r="CJ86" s="6">
        <v>0</v>
      </c>
      <c r="CK86" s="6">
        <v>0</v>
      </c>
      <c r="CL86" s="6">
        <v>0</v>
      </c>
      <c r="CM86" s="6">
        <v>0</v>
      </c>
      <c r="CN86" s="6">
        <v>0.33516353370000002</v>
      </c>
      <c r="CO86" s="6"/>
      <c r="CP86" s="6"/>
      <c r="DM86" s="7">
        <v>2.7576389312999998</v>
      </c>
      <c r="DN86" s="7">
        <f t="shared" si="1"/>
        <v>99.999975993499987</v>
      </c>
      <c r="DO86" s="7"/>
      <c r="DP86" s="6">
        <v>8.9969774999999995E-3</v>
      </c>
      <c r="DQ86" s="6">
        <v>1.9037638903</v>
      </c>
      <c r="DR86" s="6">
        <v>4.0560202599000004</v>
      </c>
      <c r="DS86" s="6">
        <v>0.70997881890000003</v>
      </c>
      <c r="DT86" s="6">
        <v>0.85062980649999997</v>
      </c>
      <c r="DU86" s="6">
        <v>0.1142185107</v>
      </c>
      <c r="DV86" s="6">
        <v>1.4054944515000001</v>
      </c>
      <c r="DW86" s="6">
        <v>4.0172181129000002</v>
      </c>
      <c r="DX86" s="6">
        <v>19.419519424400001</v>
      </c>
      <c r="DY86" s="6">
        <v>12.226074218799999</v>
      </c>
      <c r="DZ86" s="6">
        <v>46.614799499500002</v>
      </c>
      <c r="EA86" s="6">
        <v>2.3657572269</v>
      </c>
      <c r="EB86" s="6">
        <v>0.33394116159999998</v>
      </c>
      <c r="EC86" s="6">
        <v>1.5294680595000001</v>
      </c>
      <c r="ED86" s="6">
        <v>1.7526268959</v>
      </c>
      <c r="EE86" s="6">
        <v>1.832431674</v>
      </c>
      <c r="EF86" s="6">
        <v>0.72553145890000004</v>
      </c>
      <c r="EG86" s="6">
        <v>0.12150533500000001</v>
      </c>
      <c r="EH86" s="6">
        <v>1.20099382E-2</v>
      </c>
      <c r="EI86" s="152"/>
    </row>
    <row r="87" spans="1:139" s="2" customFormat="1">
      <c r="A87" s="4">
        <v>46127</v>
      </c>
      <c r="B87" s="5"/>
      <c r="C87" s="3">
        <v>1</v>
      </c>
      <c r="D87" s="90" t="s">
        <v>382</v>
      </c>
      <c r="E87" s="3">
        <v>220</v>
      </c>
      <c r="F87" s="3">
        <v>220</v>
      </c>
      <c r="G87" s="3">
        <v>23.98</v>
      </c>
      <c r="H87" s="3">
        <v>24.0017</v>
      </c>
      <c r="I87" s="3">
        <v>793.74199999999996</v>
      </c>
      <c r="J87" s="3">
        <v>785.75</v>
      </c>
      <c r="K87" s="3">
        <v>0</v>
      </c>
      <c r="L87" s="3">
        <v>0</v>
      </c>
      <c r="M87" s="3">
        <v>789.08</v>
      </c>
      <c r="N87" s="3">
        <v>798.52099999999996</v>
      </c>
      <c r="O87" s="3">
        <v>0</v>
      </c>
      <c r="P87" s="3">
        <v>0</v>
      </c>
      <c r="Q87" s="3">
        <v>0.212064</v>
      </c>
      <c r="R87" s="3">
        <v>1999.8</v>
      </c>
      <c r="S87" s="3">
        <v>1999.86</v>
      </c>
      <c r="T87" s="3">
        <v>0</v>
      </c>
      <c r="U87" s="3">
        <v>0</v>
      </c>
      <c r="V87" s="3">
        <v>1999.81</v>
      </c>
      <c r="W87" s="3">
        <v>2000.04</v>
      </c>
      <c r="X87" s="3">
        <v>0</v>
      </c>
      <c r="Y87" s="3">
        <v>0</v>
      </c>
      <c r="Z87" s="3">
        <v>220</v>
      </c>
      <c r="AA87" s="3">
        <v>2.0025400000000002</v>
      </c>
      <c r="AB87" s="3">
        <v>1.9993300000000001</v>
      </c>
      <c r="AC87" s="3">
        <v>-6.8150299999999997E-2</v>
      </c>
      <c r="AD87" s="3">
        <v>5.2551200000000001E-4</v>
      </c>
      <c r="AE87" s="3">
        <v>2.0000200000000001</v>
      </c>
      <c r="AF87" s="3">
        <v>2.0026600000000001</v>
      </c>
      <c r="AG87" s="3">
        <v>-0.114622</v>
      </c>
      <c r="AH87" s="3">
        <v>-2.7625299999999998E-2</v>
      </c>
      <c r="AI87" s="7">
        <v>23.416927999999999</v>
      </c>
      <c r="AJ87" s="7">
        <v>58.490375999999998</v>
      </c>
      <c r="AK87" s="3"/>
      <c r="AL87" s="6">
        <v>85.577209472999996</v>
      </c>
      <c r="AM87" s="6">
        <v>83.539993285999998</v>
      </c>
      <c r="AN87" s="6">
        <v>15.882171631</v>
      </c>
      <c r="AO87" s="6">
        <v>44.422931671000001</v>
      </c>
      <c r="AP87" s="97">
        <v>0</v>
      </c>
      <c r="AQ87" s="97">
        <v>0</v>
      </c>
      <c r="AR87" s="6">
        <v>1.2759047747000001</v>
      </c>
      <c r="AS87" s="6">
        <v>0.56048721079999997</v>
      </c>
      <c r="AT87" s="6">
        <v>8.1092543899999994E-2</v>
      </c>
      <c r="AU87" s="6">
        <v>57.909832000999998</v>
      </c>
      <c r="AV87" s="6">
        <v>3.0740745068000002</v>
      </c>
      <c r="AW87" s="6">
        <v>0.34835535290000003</v>
      </c>
      <c r="AX87" s="6">
        <v>0</v>
      </c>
      <c r="AY87" s="6">
        <v>0</v>
      </c>
      <c r="AZ87" s="6">
        <v>0</v>
      </c>
      <c r="BA87" s="6">
        <v>0</v>
      </c>
      <c r="BB87" s="6">
        <v>0</v>
      </c>
      <c r="BC87" s="6">
        <v>0</v>
      </c>
      <c r="BD87" s="6">
        <v>0</v>
      </c>
      <c r="BE87" s="6">
        <v>0</v>
      </c>
      <c r="BF87" s="6">
        <v>0</v>
      </c>
      <c r="BG87" s="6">
        <v>0</v>
      </c>
      <c r="BH87" s="6">
        <v>2.9513652325000002</v>
      </c>
      <c r="BI87" s="6">
        <v>0.68074435</v>
      </c>
      <c r="BJ87" s="6">
        <v>26.147331238</v>
      </c>
      <c r="BK87" s="6">
        <v>3.4186620712</v>
      </c>
      <c r="BL87" s="6">
        <v>0</v>
      </c>
      <c r="BM87" s="6">
        <v>0</v>
      </c>
      <c r="BN87" s="6">
        <v>0</v>
      </c>
      <c r="BO87" s="6">
        <v>0</v>
      </c>
      <c r="BP87" s="6">
        <v>0</v>
      </c>
      <c r="BQ87" s="6">
        <v>0</v>
      </c>
      <c r="BR87" s="6">
        <v>0</v>
      </c>
      <c r="BS87" s="6">
        <v>0</v>
      </c>
      <c r="BT87" s="6">
        <v>0</v>
      </c>
      <c r="BU87" s="6">
        <v>0</v>
      </c>
      <c r="BV87" s="6">
        <v>0</v>
      </c>
      <c r="BW87" s="6">
        <v>0</v>
      </c>
      <c r="BX87" s="6">
        <v>0</v>
      </c>
      <c r="BY87" s="6">
        <v>0</v>
      </c>
      <c r="BZ87" s="6">
        <v>0</v>
      </c>
      <c r="CA87" s="6">
        <v>0</v>
      </c>
      <c r="CB87" s="6">
        <v>0</v>
      </c>
      <c r="CC87" s="6">
        <v>0</v>
      </c>
      <c r="CD87" s="6">
        <v>0</v>
      </c>
      <c r="CE87" s="6">
        <v>0</v>
      </c>
      <c r="CF87" s="6">
        <v>0</v>
      </c>
      <c r="CG87" s="6">
        <v>0</v>
      </c>
      <c r="CH87" s="6">
        <v>0</v>
      </c>
      <c r="CI87" s="6">
        <v>0</v>
      </c>
      <c r="CJ87" s="6">
        <v>0</v>
      </c>
      <c r="CK87" s="6">
        <v>0</v>
      </c>
      <c r="CL87" s="6">
        <v>0</v>
      </c>
      <c r="CM87" s="6">
        <v>0</v>
      </c>
      <c r="CN87" s="6">
        <v>0.32736635209999998</v>
      </c>
      <c r="CO87" s="6"/>
      <c r="CP87" s="6"/>
      <c r="DM87" s="7">
        <v>3.2247743607000001</v>
      </c>
      <c r="DN87" s="7">
        <f t="shared" si="1"/>
        <v>99.999989994599986</v>
      </c>
      <c r="DO87" s="7"/>
      <c r="DP87" s="6">
        <v>5.6342259000000004E-3</v>
      </c>
      <c r="DQ87" s="6">
        <v>1.2728415728</v>
      </c>
      <c r="DR87" s="6">
        <v>2.9442796706999999</v>
      </c>
      <c r="DS87" s="6">
        <v>0.55914163589999999</v>
      </c>
      <c r="DT87" s="6">
        <v>0.67911005020000004</v>
      </c>
      <c r="DU87" s="6">
        <v>8.0897860200000005E-2</v>
      </c>
      <c r="DV87" s="6">
        <v>0.84428304430000001</v>
      </c>
      <c r="DW87" s="6">
        <v>2.5196931361999999</v>
      </c>
      <c r="DX87" s="6">
        <v>13.9774370193</v>
      </c>
      <c r="DY87" s="6">
        <v>8.7431430816999995</v>
      </c>
      <c r="DZ87" s="6">
        <v>57.770801544199998</v>
      </c>
      <c r="EA87" s="6">
        <v>2.148434639</v>
      </c>
      <c r="EB87" s="6">
        <v>0.326580435</v>
      </c>
      <c r="EC87" s="6">
        <v>1.6300723553000001</v>
      </c>
      <c r="ED87" s="6">
        <v>1.780382514</v>
      </c>
      <c r="EE87" s="6">
        <v>3.0666944980999999</v>
      </c>
      <c r="EF87" s="6">
        <v>1.2902721167</v>
      </c>
      <c r="EG87" s="6">
        <v>0.34751901029999999</v>
      </c>
      <c r="EH87" s="6">
        <v>1.27763236E-2</v>
      </c>
      <c r="EI87" s="152"/>
    </row>
    <row r="88" spans="1:139" s="2" customFormat="1">
      <c r="A88" s="4">
        <v>46127</v>
      </c>
      <c r="B88" s="5"/>
      <c r="C88" s="3">
        <v>2</v>
      </c>
      <c r="D88" s="90" t="s">
        <v>383</v>
      </c>
      <c r="E88" s="3">
        <v>220</v>
      </c>
      <c r="F88" s="3">
        <v>220</v>
      </c>
      <c r="G88" s="3">
        <v>23.990200000000002</v>
      </c>
      <c r="H88" s="3">
        <v>24.0017</v>
      </c>
      <c r="I88" s="3">
        <v>784.62099999999998</v>
      </c>
      <c r="J88" s="3">
        <v>780.322</v>
      </c>
      <c r="K88" s="3">
        <v>0</v>
      </c>
      <c r="L88" s="3">
        <v>0</v>
      </c>
      <c r="M88" s="3">
        <v>782.46799999999996</v>
      </c>
      <c r="N88" s="3">
        <v>787.01099999999997</v>
      </c>
      <c r="O88" s="3">
        <v>0</v>
      </c>
      <c r="P88" s="3">
        <v>0</v>
      </c>
      <c r="Q88" s="3">
        <v>0.227744</v>
      </c>
      <c r="R88" s="3">
        <v>2000.13</v>
      </c>
      <c r="S88" s="3">
        <v>1999.84</v>
      </c>
      <c r="T88" s="3">
        <v>0</v>
      </c>
      <c r="U88" s="3">
        <v>0</v>
      </c>
      <c r="V88" s="3">
        <v>2000.09</v>
      </c>
      <c r="W88" s="3">
        <v>1999.61</v>
      </c>
      <c r="X88" s="3">
        <v>0</v>
      </c>
      <c r="Y88" s="3">
        <v>0</v>
      </c>
      <c r="Z88" s="3">
        <v>220</v>
      </c>
      <c r="AA88" s="3">
        <v>1.9977499999999999</v>
      </c>
      <c r="AB88" s="3">
        <v>1.9990699999999999</v>
      </c>
      <c r="AC88" s="3">
        <v>-7.8708299999999995E-2</v>
      </c>
      <c r="AD88" s="3">
        <v>-6.3440299999999996E-4</v>
      </c>
      <c r="AE88" s="3">
        <v>1.9998499999999999</v>
      </c>
      <c r="AF88" s="3">
        <v>1.9932700000000001</v>
      </c>
      <c r="AG88" s="3">
        <v>-0.25982699999999997</v>
      </c>
      <c r="AH88" s="3">
        <v>-3.9492899999999997E-2</v>
      </c>
      <c r="AI88" s="7">
        <v>21.411273000000001</v>
      </c>
      <c r="AJ88" s="7">
        <v>59.597681000000001</v>
      </c>
      <c r="AK88" s="3"/>
      <c r="AL88" s="6">
        <v>85.412666321000003</v>
      </c>
      <c r="AM88" s="6">
        <v>83.536941528</v>
      </c>
      <c r="AN88" s="6">
        <v>15.916696548000001</v>
      </c>
      <c r="AO88" s="6">
        <v>43.777439117</v>
      </c>
      <c r="AP88" s="97">
        <v>0</v>
      </c>
      <c r="AQ88" s="97">
        <v>0</v>
      </c>
      <c r="AR88" s="6">
        <v>1.3381263018</v>
      </c>
      <c r="AS88" s="6">
        <v>0.5629404187</v>
      </c>
      <c r="AT88" s="6">
        <v>8.9152850199999994E-2</v>
      </c>
      <c r="AU88" s="6">
        <v>59.355087279999999</v>
      </c>
      <c r="AV88" s="6">
        <v>3.3267323970999998</v>
      </c>
      <c r="AW88" s="6">
        <v>0.40393182640000003</v>
      </c>
      <c r="AX88" s="6">
        <v>0</v>
      </c>
      <c r="AY88" s="6">
        <v>0</v>
      </c>
      <c r="AZ88" s="6">
        <v>0</v>
      </c>
      <c r="BA88" s="6">
        <v>0</v>
      </c>
      <c r="BB88" s="6">
        <v>0</v>
      </c>
      <c r="BC88" s="6">
        <v>0</v>
      </c>
      <c r="BD88" s="6">
        <v>0</v>
      </c>
      <c r="BE88" s="6">
        <v>0</v>
      </c>
      <c r="BF88" s="6">
        <v>0</v>
      </c>
      <c r="BG88" s="6">
        <v>0</v>
      </c>
      <c r="BH88" s="6">
        <v>3.0719668864999998</v>
      </c>
      <c r="BI88" s="6">
        <v>0.69375908369999995</v>
      </c>
      <c r="BJ88" s="6">
        <v>24.671285629</v>
      </c>
      <c r="BK88" s="6">
        <v>3.1489815712000002</v>
      </c>
      <c r="BL88" s="6">
        <v>0</v>
      </c>
      <c r="BM88" s="6">
        <v>0</v>
      </c>
      <c r="BN88" s="6">
        <v>0</v>
      </c>
      <c r="BO88" s="6">
        <v>0</v>
      </c>
      <c r="BP88" s="6">
        <v>0</v>
      </c>
      <c r="BQ88" s="6">
        <v>0</v>
      </c>
      <c r="BR88" s="6">
        <v>0</v>
      </c>
      <c r="BS88" s="6">
        <v>0</v>
      </c>
      <c r="BT88" s="6">
        <v>0</v>
      </c>
      <c r="BU88" s="6">
        <v>0</v>
      </c>
      <c r="BV88" s="6">
        <v>0</v>
      </c>
      <c r="BW88" s="6">
        <v>0</v>
      </c>
      <c r="BX88" s="6">
        <v>0</v>
      </c>
      <c r="BY88" s="6">
        <v>0</v>
      </c>
      <c r="BZ88" s="6">
        <v>0</v>
      </c>
      <c r="CA88" s="6">
        <v>0</v>
      </c>
      <c r="CB88" s="6">
        <v>0</v>
      </c>
      <c r="CC88" s="6">
        <v>0</v>
      </c>
      <c r="CD88" s="6">
        <v>0</v>
      </c>
      <c r="CE88" s="6">
        <v>0</v>
      </c>
      <c r="CF88" s="6">
        <v>0</v>
      </c>
      <c r="CG88" s="6">
        <v>0</v>
      </c>
      <c r="CH88" s="6">
        <v>0</v>
      </c>
      <c r="CI88" s="6">
        <v>0</v>
      </c>
      <c r="CJ88" s="6">
        <v>0</v>
      </c>
      <c r="CK88" s="6">
        <v>0</v>
      </c>
      <c r="CL88" s="6">
        <v>0</v>
      </c>
      <c r="CM88" s="6">
        <v>0</v>
      </c>
      <c r="CN88" s="6">
        <v>0.30808824299999998</v>
      </c>
      <c r="CO88" s="6"/>
      <c r="CP88" s="6"/>
      <c r="DM88" s="7">
        <v>3.0299758910999999</v>
      </c>
      <c r="DN88" s="7">
        <f t="shared" si="1"/>
        <v>100.00002837869998</v>
      </c>
      <c r="DO88" s="7"/>
      <c r="DP88" s="6">
        <v>4.6005556000000003E-3</v>
      </c>
      <c r="DQ88" s="6">
        <v>1.3352319001999999</v>
      </c>
      <c r="DR88" s="6">
        <v>3.0653221607000001</v>
      </c>
      <c r="DS88" s="6">
        <v>0.56172275540000005</v>
      </c>
      <c r="DT88" s="6">
        <v>0.6922584772</v>
      </c>
      <c r="DU88" s="6">
        <v>8.8960006800000005E-2</v>
      </c>
      <c r="DV88" s="6">
        <v>0.82651489970000003</v>
      </c>
      <c r="DW88" s="6">
        <v>2.4733469486000002</v>
      </c>
      <c r="DX88" s="6">
        <v>13.1611595154</v>
      </c>
      <c r="DY88" s="6">
        <v>8.1568994521999993</v>
      </c>
      <c r="DZ88" s="6">
        <v>59.226699829099999</v>
      </c>
      <c r="EA88" s="6">
        <v>1.9881880283</v>
      </c>
      <c r="EB88" s="6">
        <v>0.3074218333</v>
      </c>
      <c r="EC88" s="6">
        <v>1.490745306</v>
      </c>
      <c r="ED88" s="6">
        <v>1.6514251231999999</v>
      </c>
      <c r="EE88" s="6">
        <v>3.3195366859000002</v>
      </c>
      <c r="EF88" s="6">
        <v>1.2291269302000001</v>
      </c>
      <c r="EG88" s="6">
        <v>0.4030581117</v>
      </c>
      <c r="EH88" s="6">
        <v>1.7803289E-2</v>
      </c>
      <c r="EI88" s="152"/>
    </row>
    <row r="89" spans="1:139" s="2" customFormat="1">
      <c r="A89" s="4">
        <v>46127</v>
      </c>
      <c r="B89" s="5"/>
      <c r="C89" s="3">
        <v>5</v>
      </c>
      <c r="D89" s="90" t="s">
        <v>384</v>
      </c>
      <c r="E89" s="3">
        <v>220</v>
      </c>
      <c r="F89" s="3">
        <v>220</v>
      </c>
      <c r="G89" s="3">
        <v>24.019100000000002</v>
      </c>
      <c r="H89" s="3">
        <v>24.000299999999999</v>
      </c>
      <c r="I89" s="3">
        <v>699.74099999999999</v>
      </c>
      <c r="J89" s="3">
        <v>686.35199999999998</v>
      </c>
      <c r="K89" s="3">
        <v>0</v>
      </c>
      <c r="L89" s="3">
        <v>0</v>
      </c>
      <c r="M89" s="3">
        <v>692.89599999999996</v>
      </c>
      <c r="N89" s="3">
        <v>704.59900000000005</v>
      </c>
      <c r="O89" s="3">
        <v>0</v>
      </c>
      <c r="P89" s="3">
        <v>0</v>
      </c>
      <c r="Q89" s="3">
        <v>0.26924799999999999</v>
      </c>
      <c r="R89" s="3">
        <v>2000.69</v>
      </c>
      <c r="S89" s="3">
        <v>1999.56</v>
      </c>
      <c r="T89" s="3">
        <v>0</v>
      </c>
      <c r="U89" s="3">
        <v>0</v>
      </c>
      <c r="V89" s="3">
        <v>2000.23</v>
      </c>
      <c r="W89" s="3">
        <v>2000.17</v>
      </c>
      <c r="X89" s="3">
        <v>0</v>
      </c>
      <c r="Y89" s="3">
        <v>0</v>
      </c>
      <c r="Z89" s="3">
        <v>219.9</v>
      </c>
      <c r="AA89" s="3">
        <v>2.0031500000000002</v>
      </c>
      <c r="AB89" s="3">
        <v>2.0026600000000001</v>
      </c>
      <c r="AC89" s="3">
        <v>-6.9747699999999996E-2</v>
      </c>
      <c r="AD89" s="3">
        <v>-6.0640099999999999E-3</v>
      </c>
      <c r="AE89" s="3">
        <v>2.0014699999999999</v>
      </c>
      <c r="AF89" s="3">
        <v>1.9975400000000001</v>
      </c>
      <c r="AG89" s="3">
        <v>-0.22043399999999999</v>
      </c>
      <c r="AH89" s="3">
        <v>-3.0187700000000001E-2</v>
      </c>
      <c r="AI89" s="7">
        <v>23.362234000000001</v>
      </c>
      <c r="AJ89" s="7">
        <v>58.253239999999998</v>
      </c>
      <c r="AK89" s="3"/>
      <c r="AL89" s="6">
        <v>88.503944396999998</v>
      </c>
      <c r="AM89" s="6">
        <v>83.613586425999998</v>
      </c>
      <c r="AN89" s="6">
        <v>16.282754898</v>
      </c>
      <c r="AO89" s="6">
        <v>23.980377196999999</v>
      </c>
      <c r="AP89" s="97">
        <v>0</v>
      </c>
      <c r="AQ89" s="97">
        <v>0</v>
      </c>
      <c r="AR89" s="6">
        <v>6.0375819999999999E-4</v>
      </c>
      <c r="AS89" s="6">
        <v>4.7627260000000001E-4</v>
      </c>
      <c r="AT89" s="6">
        <v>6.1670539999999997E-4</v>
      </c>
      <c r="AU89" s="280">
        <v>84.169937133999994</v>
      </c>
      <c r="AV89" s="280">
        <v>9.7975177764999994</v>
      </c>
      <c r="AW89" s="280">
        <v>4.8603005409</v>
      </c>
      <c r="AX89" s="6">
        <v>0</v>
      </c>
      <c r="AY89" s="6">
        <v>0</v>
      </c>
      <c r="AZ89" s="6">
        <v>0</v>
      </c>
      <c r="BA89" s="6">
        <v>0</v>
      </c>
      <c r="BB89" s="6">
        <v>0</v>
      </c>
      <c r="BC89" s="6">
        <v>0</v>
      </c>
      <c r="BD89" s="6">
        <v>0</v>
      </c>
      <c r="BE89" s="6">
        <v>0</v>
      </c>
      <c r="BF89" s="6">
        <v>0</v>
      </c>
      <c r="BG89" s="6">
        <v>0</v>
      </c>
      <c r="BH89" s="6">
        <v>1.4372429999999999E-3</v>
      </c>
      <c r="BI89" s="6">
        <v>0</v>
      </c>
      <c r="BJ89" s="6">
        <v>0.42025503520000002</v>
      </c>
      <c r="BK89" s="6">
        <v>1.1718645000000001E-3</v>
      </c>
      <c r="BL89" s="6">
        <v>0</v>
      </c>
      <c r="BM89" s="6">
        <v>0</v>
      </c>
      <c r="BN89" s="6">
        <v>0</v>
      </c>
      <c r="BO89" s="6">
        <v>0</v>
      </c>
      <c r="BP89" s="6">
        <v>0</v>
      </c>
      <c r="BQ89" s="6">
        <v>0</v>
      </c>
      <c r="BR89" s="6">
        <v>0</v>
      </c>
      <c r="BS89" s="6">
        <v>0</v>
      </c>
      <c r="BT89" s="6">
        <v>0</v>
      </c>
      <c r="BU89" s="6">
        <v>0</v>
      </c>
      <c r="BV89" s="6">
        <v>0</v>
      </c>
      <c r="BW89" s="6">
        <v>0</v>
      </c>
      <c r="BX89" s="6">
        <v>0</v>
      </c>
      <c r="BY89" s="6">
        <v>0</v>
      </c>
      <c r="BZ89" s="6">
        <v>0</v>
      </c>
      <c r="CA89" s="6">
        <v>0</v>
      </c>
      <c r="CB89" s="6">
        <v>0</v>
      </c>
      <c r="CC89" s="6">
        <v>0</v>
      </c>
      <c r="CD89" s="6">
        <v>0</v>
      </c>
      <c r="CE89" s="6">
        <v>0</v>
      </c>
      <c r="CF89" s="6">
        <v>0</v>
      </c>
      <c r="CG89" s="6">
        <v>0</v>
      </c>
      <c r="CH89" s="6">
        <v>0</v>
      </c>
      <c r="CI89" s="6">
        <v>0</v>
      </c>
      <c r="CJ89" s="6">
        <v>0</v>
      </c>
      <c r="CK89" s="6">
        <v>0</v>
      </c>
      <c r="CL89" s="6">
        <v>0</v>
      </c>
      <c r="CM89" s="6">
        <v>0</v>
      </c>
      <c r="CN89" s="6">
        <v>0.56453037260000005</v>
      </c>
      <c r="CO89" s="6"/>
      <c r="CP89" s="6"/>
      <c r="CQ89" s="98"/>
      <c r="DM89" s="7">
        <v>0.18314389880000001</v>
      </c>
      <c r="DN89" s="7">
        <f t="shared" si="1"/>
        <v>99.999990601699992</v>
      </c>
      <c r="DO89" s="7"/>
      <c r="DP89" s="6">
        <v>6.0387899999999998E-4</v>
      </c>
      <c r="DQ89" s="6">
        <v>1.4375306E-3</v>
      </c>
      <c r="DR89" s="6">
        <v>4.7636789999999998E-4</v>
      </c>
      <c r="DS89" s="6">
        <v>6.1682879999999999E-4</v>
      </c>
      <c r="DT89" s="6">
        <v>1.8313754E-3</v>
      </c>
      <c r="DU89" s="6">
        <v>4.0653590099999998E-2</v>
      </c>
      <c r="DV89" s="6">
        <v>0.37785416840000002</v>
      </c>
      <c r="DW89" s="6">
        <v>84.186790466299996</v>
      </c>
      <c r="DX89" s="6">
        <v>0.56464338300000005</v>
      </c>
      <c r="DY89" s="6">
        <v>1.172099E-3</v>
      </c>
      <c r="DZ89" s="6">
        <v>1.0231511699999999E-2</v>
      </c>
      <c r="EA89" s="6">
        <v>9.7994785309000001</v>
      </c>
      <c r="EB89" s="6">
        <v>0.13482901450000001</v>
      </c>
      <c r="EC89" s="6">
        <v>4.8612732886999996</v>
      </c>
      <c r="ED89" s="6">
        <v>1.81112103E-2</v>
      </c>
      <c r="EE89" s="6"/>
      <c r="EF89" s="6"/>
      <c r="EG89" s="6"/>
      <c r="EH89" s="6"/>
      <c r="EI89" s="152"/>
    </row>
    <row r="90" spans="1:139" s="2" customFormat="1">
      <c r="A90" s="4">
        <v>46128</v>
      </c>
      <c r="B90" s="5"/>
      <c r="C90" s="3">
        <v>6</v>
      </c>
      <c r="D90" s="90" t="s">
        <v>385</v>
      </c>
      <c r="E90" s="3">
        <v>220</v>
      </c>
      <c r="F90" s="3">
        <v>220</v>
      </c>
      <c r="G90" s="3">
        <v>24.0017</v>
      </c>
      <c r="H90" s="3">
        <v>23.998799999999999</v>
      </c>
      <c r="I90" s="3">
        <v>793.70699999999999</v>
      </c>
      <c r="J90" s="3">
        <v>799.94799999999998</v>
      </c>
      <c r="K90" s="3">
        <v>0</v>
      </c>
      <c r="L90" s="3">
        <v>0</v>
      </c>
      <c r="M90" s="3">
        <v>795.10500000000002</v>
      </c>
      <c r="N90" s="3">
        <v>788.76599999999996</v>
      </c>
      <c r="O90" s="3">
        <v>0</v>
      </c>
      <c r="P90" s="3">
        <v>0</v>
      </c>
      <c r="Q90" s="3">
        <v>0.36565799999999998</v>
      </c>
      <c r="R90" s="3">
        <v>2000.01</v>
      </c>
      <c r="S90" s="3">
        <v>2000.06</v>
      </c>
      <c r="T90" s="3">
        <v>0</v>
      </c>
      <c r="U90" s="3">
        <v>0</v>
      </c>
      <c r="V90" s="3">
        <v>2000.25</v>
      </c>
      <c r="W90" s="3">
        <v>1999.71</v>
      </c>
      <c r="X90" s="3">
        <v>0</v>
      </c>
      <c r="Y90" s="3">
        <v>0</v>
      </c>
      <c r="Z90" s="3">
        <v>220</v>
      </c>
      <c r="AA90" s="3">
        <v>2.0005700000000002</v>
      </c>
      <c r="AB90" s="3">
        <v>2.0021800000000001</v>
      </c>
      <c r="AC90" s="3">
        <v>-6.0326999999999999E-2</v>
      </c>
      <c r="AD90" s="3">
        <v>-4.2485300000000004E-3</v>
      </c>
      <c r="AE90" s="3">
        <v>2.0033400000000001</v>
      </c>
      <c r="AF90" s="3">
        <v>1.99834</v>
      </c>
      <c r="AG90" s="3">
        <v>-0.108075</v>
      </c>
      <c r="AH90" s="3">
        <v>-1.9207499999999999E-2</v>
      </c>
      <c r="AI90" s="7">
        <v>21.456223000000001</v>
      </c>
      <c r="AJ90" s="7">
        <v>59.223208</v>
      </c>
      <c r="AK90" s="3"/>
      <c r="AL90" s="6">
        <v>84.045715332</v>
      </c>
      <c r="AM90" s="6">
        <v>83.499618530000006</v>
      </c>
      <c r="AN90" s="6">
        <v>16.000408173</v>
      </c>
      <c r="AO90" s="6">
        <v>53.058952331999997</v>
      </c>
      <c r="AP90" s="97">
        <v>0</v>
      </c>
      <c r="AQ90" s="97">
        <v>0</v>
      </c>
      <c r="AR90" s="6">
        <v>1.9625189303999999</v>
      </c>
      <c r="AS90" s="6">
        <v>0.72246968749999996</v>
      </c>
      <c r="AT90" s="6">
        <v>0.1186684892</v>
      </c>
      <c r="AU90" s="6">
        <v>46.459354400999999</v>
      </c>
      <c r="AV90" s="6">
        <v>1.8107974528999999</v>
      </c>
      <c r="AW90" s="6">
        <v>0.1180850118</v>
      </c>
      <c r="AX90" s="6">
        <v>0</v>
      </c>
      <c r="AY90" s="6">
        <v>0</v>
      </c>
      <c r="AZ90" s="6">
        <v>0</v>
      </c>
      <c r="BA90" s="6">
        <v>0</v>
      </c>
      <c r="BB90" s="6">
        <v>0</v>
      </c>
      <c r="BC90" s="6">
        <v>0</v>
      </c>
      <c r="BD90" s="6">
        <v>0</v>
      </c>
      <c r="BE90" s="6">
        <v>0</v>
      </c>
      <c r="BF90" s="6">
        <v>0</v>
      </c>
      <c r="BG90" s="6">
        <v>0</v>
      </c>
      <c r="BH90" s="6">
        <v>4.1485810279999997</v>
      </c>
      <c r="BI90" s="6">
        <v>0.85988467930000001</v>
      </c>
      <c r="BJ90" s="6">
        <v>37.525695800999998</v>
      </c>
      <c r="BK90" s="6">
        <v>3.2431879044</v>
      </c>
      <c r="BL90" s="6">
        <v>0</v>
      </c>
      <c r="BM90" s="6">
        <v>0</v>
      </c>
      <c r="BN90" s="6">
        <v>0</v>
      </c>
      <c r="BO90" s="6">
        <v>0</v>
      </c>
      <c r="BP90" s="6">
        <v>0</v>
      </c>
      <c r="BQ90" s="6">
        <v>0</v>
      </c>
      <c r="BR90" s="6">
        <v>0</v>
      </c>
      <c r="BS90" s="6">
        <v>0</v>
      </c>
      <c r="BT90" s="6">
        <v>0</v>
      </c>
      <c r="BU90" s="6">
        <v>0</v>
      </c>
      <c r="BV90" s="6">
        <v>0</v>
      </c>
      <c r="BW90" s="6">
        <v>0</v>
      </c>
      <c r="BX90" s="6">
        <v>0</v>
      </c>
      <c r="BY90" s="6">
        <v>0</v>
      </c>
      <c r="BZ90" s="6">
        <v>0</v>
      </c>
      <c r="CA90" s="6">
        <v>0</v>
      </c>
      <c r="CB90" s="6">
        <v>0</v>
      </c>
      <c r="CC90" s="6">
        <v>0</v>
      </c>
      <c r="CD90" s="6">
        <v>0</v>
      </c>
      <c r="CE90" s="6">
        <v>0</v>
      </c>
      <c r="CF90" s="6">
        <v>0</v>
      </c>
      <c r="CG90" s="6">
        <v>0</v>
      </c>
      <c r="CH90" s="6">
        <v>0</v>
      </c>
      <c r="CI90" s="6">
        <v>0</v>
      </c>
      <c r="CJ90" s="6">
        <v>0</v>
      </c>
      <c r="CK90" s="6">
        <v>0</v>
      </c>
      <c r="CL90" s="6">
        <v>0</v>
      </c>
      <c r="CM90" s="6">
        <v>0</v>
      </c>
      <c r="CN90" s="6">
        <v>0.33140003680000002</v>
      </c>
      <c r="CO90" s="6"/>
      <c r="CP90" s="6"/>
      <c r="DM90" s="7">
        <v>2.6993730068000001</v>
      </c>
      <c r="DN90" s="7">
        <f t="shared" si="1"/>
        <v>100.0000164291</v>
      </c>
      <c r="DO90" s="7"/>
      <c r="DP90" s="7">
        <v>8.9595522999999996E-3</v>
      </c>
      <c r="DQ90" s="7">
        <v>1.9553986788</v>
      </c>
      <c r="DR90" s="7">
        <v>4.1335296631</v>
      </c>
      <c r="DS90" s="7">
        <v>0.71984851360000002</v>
      </c>
      <c r="DT90" s="7">
        <v>0.85676497220000003</v>
      </c>
      <c r="DU90" s="7">
        <v>0.1182379499</v>
      </c>
      <c r="DV90" s="7">
        <v>1.4355716704999999</v>
      </c>
      <c r="DW90" s="7">
        <v>4.0819106101999996</v>
      </c>
      <c r="DX90" s="7">
        <v>19.560415267900002</v>
      </c>
      <c r="DY90" s="7">
        <v>12.3116521835</v>
      </c>
      <c r="DZ90" s="7">
        <v>46.290798187299998</v>
      </c>
      <c r="EA90" s="7">
        <v>2.3350918293</v>
      </c>
      <c r="EB90" s="7">
        <v>0.33019769189999998</v>
      </c>
      <c r="EC90" s="7">
        <v>1.5037049055</v>
      </c>
      <c r="ED90" s="7">
        <v>1.7277165650999999</v>
      </c>
      <c r="EE90" s="7">
        <v>1.8042277097999999</v>
      </c>
      <c r="EF90" s="7">
        <v>0.69600099329999998</v>
      </c>
      <c r="EG90" s="7">
        <v>0.117656596</v>
      </c>
      <c r="EH90" s="7">
        <v>1.2340319299999999E-2</v>
      </c>
      <c r="EI90" s="152"/>
    </row>
    <row r="91" spans="1:139" s="2" customFormat="1">
      <c r="A91" s="4">
        <v>46128</v>
      </c>
      <c r="B91" s="5"/>
      <c r="C91" s="3">
        <v>1</v>
      </c>
      <c r="D91" s="90" t="s">
        <v>386</v>
      </c>
      <c r="E91" s="3">
        <v>220</v>
      </c>
      <c r="F91" s="3">
        <v>220</v>
      </c>
      <c r="G91" s="3">
        <v>24.0032</v>
      </c>
      <c r="H91" s="3">
        <v>24.000299999999999</v>
      </c>
      <c r="I91" s="3">
        <v>844.96</v>
      </c>
      <c r="J91" s="3">
        <v>842.43899999999996</v>
      </c>
      <c r="K91" s="3">
        <v>0</v>
      </c>
      <c r="L91" s="3">
        <v>0</v>
      </c>
      <c r="M91" s="3">
        <v>842.72900000000004</v>
      </c>
      <c r="N91" s="3">
        <v>846.13499999999999</v>
      </c>
      <c r="O91" s="3">
        <v>0</v>
      </c>
      <c r="P91" s="3">
        <v>0</v>
      </c>
      <c r="Q91" s="3">
        <v>0.36914000000000002</v>
      </c>
      <c r="R91" s="3">
        <v>2000.2</v>
      </c>
      <c r="S91" s="3">
        <v>1999.69</v>
      </c>
      <c r="T91" s="3">
        <v>0</v>
      </c>
      <c r="U91" s="3">
        <v>0</v>
      </c>
      <c r="V91" s="3">
        <v>1999.55</v>
      </c>
      <c r="W91" s="3">
        <v>1999.75</v>
      </c>
      <c r="X91" s="3">
        <v>0</v>
      </c>
      <c r="Y91" s="3">
        <v>0</v>
      </c>
      <c r="Z91" s="3">
        <v>219.9</v>
      </c>
      <c r="AA91" s="3">
        <v>1.9990300000000001</v>
      </c>
      <c r="AB91" s="3">
        <v>2.00082</v>
      </c>
      <c r="AC91" s="3">
        <v>-5.7551999999999999E-2</v>
      </c>
      <c r="AD91" s="3">
        <v>-3.8373999999999998E-4</v>
      </c>
      <c r="AE91" s="3">
        <v>1.99983</v>
      </c>
      <c r="AF91" s="3">
        <v>1.9990000000000001</v>
      </c>
      <c r="AG91" s="3">
        <v>-7.1133600000000005E-2</v>
      </c>
      <c r="AH91" s="3">
        <v>-1.14715E-3</v>
      </c>
      <c r="AI91" s="7">
        <v>23.804203000000001</v>
      </c>
      <c r="AJ91" s="7">
        <v>58.292292000000003</v>
      </c>
      <c r="AK91" s="3"/>
      <c r="AL91" s="6">
        <v>85.568107604999994</v>
      </c>
      <c r="AM91" s="6">
        <v>83.539886475000003</v>
      </c>
      <c r="AN91" s="6">
        <v>15.886733055000001</v>
      </c>
      <c r="AO91" s="6">
        <v>44.236343384000001</v>
      </c>
      <c r="AP91" s="97">
        <v>0</v>
      </c>
      <c r="AQ91" s="97">
        <v>0</v>
      </c>
      <c r="AR91" s="6">
        <v>1.2782779931999999</v>
      </c>
      <c r="AS91" s="6">
        <v>0.56126034260000002</v>
      </c>
      <c r="AT91" s="6">
        <v>8.1148602099999995E-2</v>
      </c>
      <c r="AU91" s="6">
        <v>58.243892670000001</v>
      </c>
      <c r="AV91" s="6">
        <v>3.1258659362999999</v>
      </c>
      <c r="AW91" s="6">
        <v>0.35828754309999999</v>
      </c>
      <c r="AX91" s="6">
        <v>0</v>
      </c>
      <c r="AY91" s="6">
        <v>0</v>
      </c>
      <c r="AZ91" s="6">
        <v>0</v>
      </c>
      <c r="BA91" s="6">
        <v>0</v>
      </c>
      <c r="BB91" s="6">
        <v>0</v>
      </c>
      <c r="BC91" s="6">
        <v>0</v>
      </c>
      <c r="BD91" s="6">
        <v>0</v>
      </c>
      <c r="BE91" s="6">
        <v>0</v>
      </c>
      <c r="BF91" s="6">
        <v>0</v>
      </c>
      <c r="BG91" s="6">
        <v>0</v>
      </c>
      <c r="BH91" s="6">
        <v>2.9546902180000001</v>
      </c>
      <c r="BI91" s="6">
        <v>0.67881435160000003</v>
      </c>
      <c r="BJ91" s="6">
        <v>25.808900832999999</v>
      </c>
      <c r="BK91" s="6">
        <v>3.3851075171999998</v>
      </c>
      <c r="BL91" s="6">
        <v>0</v>
      </c>
      <c r="BM91" s="6">
        <v>0</v>
      </c>
      <c r="BN91" s="6">
        <v>0</v>
      </c>
      <c r="BO91" s="6">
        <v>0</v>
      </c>
      <c r="BP91" s="6">
        <v>0</v>
      </c>
      <c r="BQ91" s="6">
        <v>0</v>
      </c>
      <c r="BR91" s="6">
        <v>0</v>
      </c>
      <c r="BS91" s="6">
        <v>0</v>
      </c>
      <c r="BT91" s="6">
        <v>0</v>
      </c>
      <c r="BU91" s="6">
        <v>0</v>
      </c>
      <c r="BV91" s="6">
        <v>0</v>
      </c>
      <c r="BW91" s="6">
        <v>0</v>
      </c>
      <c r="BX91" s="6">
        <v>0</v>
      </c>
      <c r="BY91" s="6">
        <v>0</v>
      </c>
      <c r="BZ91" s="6">
        <v>0</v>
      </c>
      <c r="CA91" s="6">
        <v>0</v>
      </c>
      <c r="CB91" s="6">
        <v>0</v>
      </c>
      <c r="CC91" s="6">
        <v>0</v>
      </c>
      <c r="CD91" s="6">
        <v>0</v>
      </c>
      <c r="CE91" s="6">
        <v>0</v>
      </c>
      <c r="CF91" s="6">
        <v>0</v>
      </c>
      <c r="CG91" s="6">
        <v>0</v>
      </c>
      <c r="CH91" s="6">
        <v>0</v>
      </c>
      <c r="CI91" s="6">
        <v>0</v>
      </c>
      <c r="CJ91" s="6">
        <v>0</v>
      </c>
      <c r="CK91" s="6">
        <v>0</v>
      </c>
      <c r="CL91" s="6">
        <v>0</v>
      </c>
      <c r="CM91" s="6">
        <v>0</v>
      </c>
      <c r="CN91" s="6">
        <v>0.32692068819999998</v>
      </c>
      <c r="CO91" s="6"/>
      <c r="CP91" s="6"/>
      <c r="DM91" s="7">
        <v>3.1968438625000002</v>
      </c>
      <c r="DN91" s="7">
        <f t="shared" si="1"/>
        <v>100.0000105578</v>
      </c>
      <c r="DO91" s="7"/>
      <c r="DP91" s="7">
        <v>5.1848479000000001E-3</v>
      </c>
      <c r="DQ91" s="7">
        <v>1.2752513885000001</v>
      </c>
      <c r="DR91" s="7">
        <v>2.9476945400000001</v>
      </c>
      <c r="DS91" s="7">
        <v>0.55993145700000002</v>
      </c>
      <c r="DT91" s="7">
        <v>0.67720717190000002</v>
      </c>
      <c r="DU91" s="7">
        <v>8.0956466500000004E-2</v>
      </c>
      <c r="DV91" s="7">
        <v>0.83052837850000005</v>
      </c>
      <c r="DW91" s="7">
        <v>2.4948322773</v>
      </c>
      <c r="DX91" s="7">
        <v>13.8005046844</v>
      </c>
      <c r="DY91" s="7">
        <v>8.6219291686999995</v>
      </c>
      <c r="DZ91" s="7">
        <v>58.105987548800002</v>
      </c>
      <c r="EA91" s="7">
        <v>2.1258764267000001</v>
      </c>
      <c r="EB91" s="7">
        <v>0.32614663240000002</v>
      </c>
      <c r="EC91" s="7">
        <v>1.6127756834</v>
      </c>
      <c r="ED91" s="7">
        <v>1.7643167973</v>
      </c>
      <c r="EE91" s="7">
        <v>3.1184649467000001</v>
      </c>
      <c r="EF91" s="7">
        <v>1.2835624217999999</v>
      </c>
      <c r="EG91" s="7">
        <v>0.35743924980000003</v>
      </c>
      <c r="EH91" s="7">
        <v>1.14300288E-2</v>
      </c>
      <c r="EI91" s="152"/>
    </row>
    <row r="92" spans="1:139" s="2" customFormat="1">
      <c r="A92" s="4">
        <v>46128</v>
      </c>
      <c r="B92" s="5"/>
      <c r="C92" s="3">
        <v>2</v>
      </c>
      <c r="D92" s="90" t="s">
        <v>387</v>
      </c>
      <c r="E92" s="3">
        <v>220</v>
      </c>
      <c r="F92" s="3">
        <v>220</v>
      </c>
      <c r="G92" s="3">
        <v>24.020499999999998</v>
      </c>
      <c r="H92" s="3">
        <v>23.994499999999999</v>
      </c>
      <c r="I92" s="3">
        <v>739.68499999999995</v>
      </c>
      <c r="J92" s="3">
        <v>735.82399999999996</v>
      </c>
      <c r="K92" s="3">
        <v>0</v>
      </c>
      <c r="L92" s="3">
        <v>0</v>
      </c>
      <c r="M92" s="3">
        <v>736.99099999999999</v>
      </c>
      <c r="N92" s="3">
        <v>743.00099999999998</v>
      </c>
      <c r="O92" s="3">
        <v>0</v>
      </c>
      <c r="P92" s="3">
        <v>0</v>
      </c>
      <c r="Q92" s="3">
        <v>0.172231</v>
      </c>
      <c r="R92" s="3">
        <v>1999.45</v>
      </c>
      <c r="S92" s="3">
        <v>1999.74</v>
      </c>
      <c r="T92" s="3">
        <v>0</v>
      </c>
      <c r="U92" s="3">
        <v>0</v>
      </c>
      <c r="V92" s="3">
        <v>2000.53</v>
      </c>
      <c r="W92" s="3">
        <v>2000.33</v>
      </c>
      <c r="X92" s="3">
        <v>0</v>
      </c>
      <c r="Y92" s="3">
        <v>0</v>
      </c>
      <c r="Z92" s="3">
        <v>219.9</v>
      </c>
      <c r="AA92" s="3">
        <v>1.9984599999999999</v>
      </c>
      <c r="AB92" s="3">
        <v>1.9982200000000001</v>
      </c>
      <c r="AC92" s="3">
        <v>-6.2973699999999994E-2</v>
      </c>
      <c r="AD92" s="3">
        <v>-4.8447400000000002E-3</v>
      </c>
      <c r="AE92" s="3">
        <v>1.99817</v>
      </c>
      <c r="AF92" s="3">
        <v>1.99376</v>
      </c>
      <c r="AG92" s="3">
        <v>-0.206645</v>
      </c>
      <c r="AH92" s="3">
        <v>-2.1568299999999999E-2</v>
      </c>
      <c r="AI92" s="7">
        <v>21.453102000000001</v>
      </c>
      <c r="AJ92" s="7">
        <v>59.506287</v>
      </c>
      <c r="AK92" s="3"/>
      <c r="AL92" s="6">
        <v>85.351753235000004</v>
      </c>
      <c r="AM92" s="6">
        <v>83.535453795999999</v>
      </c>
      <c r="AN92" s="6">
        <v>15.926460265999999</v>
      </c>
      <c r="AO92" s="6">
        <v>43.841197968000003</v>
      </c>
      <c r="AP92" s="6">
        <v>0</v>
      </c>
      <c r="AQ92" s="6">
        <v>0</v>
      </c>
      <c r="AR92" s="6">
        <v>1.3595746756</v>
      </c>
      <c r="AS92" s="6">
        <v>0.56886780260000003</v>
      </c>
      <c r="AT92" s="6">
        <v>9.13258344E-2</v>
      </c>
      <c r="AU92" s="6">
        <v>59.391983031999999</v>
      </c>
      <c r="AV92" s="6">
        <v>3.3327379226999998</v>
      </c>
      <c r="AW92" s="6">
        <v>0.4024085402</v>
      </c>
      <c r="AX92" s="6">
        <v>0</v>
      </c>
      <c r="AY92" s="6">
        <v>0</v>
      </c>
      <c r="AZ92" s="6">
        <v>0</v>
      </c>
      <c r="BA92" s="6">
        <v>0</v>
      </c>
      <c r="BB92" s="6">
        <v>0</v>
      </c>
      <c r="BC92" s="6">
        <v>0</v>
      </c>
      <c r="BD92" s="6">
        <v>0</v>
      </c>
      <c r="BE92" s="6">
        <v>0</v>
      </c>
      <c r="BF92" s="6">
        <v>0</v>
      </c>
      <c r="BG92" s="6">
        <v>0</v>
      </c>
      <c r="BH92" s="6">
        <v>3.1130213737000001</v>
      </c>
      <c r="BI92" s="6">
        <v>0.69864433999999997</v>
      </c>
      <c r="BJ92" s="6">
        <v>24.648338318</v>
      </c>
      <c r="BK92" s="6">
        <v>3.1108598709000002</v>
      </c>
      <c r="BL92" s="6">
        <v>0</v>
      </c>
      <c r="BM92" s="6">
        <v>0</v>
      </c>
      <c r="BN92" s="6">
        <v>0</v>
      </c>
      <c r="BO92" s="6">
        <v>0</v>
      </c>
      <c r="BP92" s="6">
        <v>0</v>
      </c>
      <c r="BQ92" s="6">
        <v>0</v>
      </c>
      <c r="BR92" s="6">
        <v>0</v>
      </c>
      <c r="BS92" s="6">
        <v>0</v>
      </c>
      <c r="BT92" s="6">
        <v>0</v>
      </c>
      <c r="BU92" s="6">
        <v>0</v>
      </c>
      <c r="BV92" s="6">
        <v>0</v>
      </c>
      <c r="BW92" s="6">
        <v>0</v>
      </c>
      <c r="BX92" s="6">
        <v>0</v>
      </c>
      <c r="BY92" s="6">
        <v>0</v>
      </c>
      <c r="BZ92" s="6">
        <v>0</v>
      </c>
      <c r="CA92" s="6">
        <v>0</v>
      </c>
      <c r="CB92" s="6">
        <v>0</v>
      </c>
      <c r="CC92" s="6">
        <v>0</v>
      </c>
      <c r="CD92" s="6">
        <v>0</v>
      </c>
      <c r="CE92" s="6">
        <v>0</v>
      </c>
      <c r="CF92" s="6">
        <v>0</v>
      </c>
      <c r="CG92" s="6">
        <v>0</v>
      </c>
      <c r="CH92" s="6">
        <v>0</v>
      </c>
      <c r="CI92" s="6">
        <v>0</v>
      </c>
      <c r="CJ92" s="6">
        <v>0</v>
      </c>
      <c r="CK92" s="6">
        <v>0</v>
      </c>
      <c r="CL92" s="6">
        <v>0</v>
      </c>
      <c r="CM92" s="6">
        <v>0</v>
      </c>
      <c r="CN92" s="6">
        <v>0.30555576089999997</v>
      </c>
      <c r="CO92" s="6"/>
      <c r="CP92" s="6"/>
      <c r="CQ92" s="6"/>
      <c r="CR92" s="6"/>
      <c r="CS92" s="6"/>
      <c r="CT92" s="6"/>
      <c r="CU92" s="6"/>
      <c r="CV92" s="6"/>
      <c r="CW92" s="6"/>
      <c r="CX92" s="6"/>
      <c r="CY92" s="6"/>
      <c r="CZ92" s="6"/>
      <c r="DA92" s="6"/>
      <c r="DB92" s="6"/>
      <c r="DC92" s="6"/>
      <c r="DD92" s="6"/>
      <c r="DE92" s="6"/>
      <c r="DF92" s="6"/>
      <c r="DG92" s="6"/>
      <c r="DH92" s="6"/>
      <c r="DI92" s="6"/>
      <c r="DJ92" s="6"/>
      <c r="DK92" s="6"/>
      <c r="DL92" s="6"/>
      <c r="DM92" s="7">
        <v>2.9766840934999999</v>
      </c>
      <c r="DN92" s="7">
        <f t="shared" si="1"/>
        <v>100.0000015645</v>
      </c>
      <c r="DO92" s="7"/>
      <c r="DP92" s="7">
        <v>4.8795011999999997E-3</v>
      </c>
      <c r="DQ92" s="7">
        <v>1.3566707373</v>
      </c>
      <c r="DR92" s="7">
        <v>3.1063721179999999</v>
      </c>
      <c r="DS92" s="7">
        <v>0.56765276190000002</v>
      </c>
      <c r="DT92" s="7">
        <v>0.69715207820000002</v>
      </c>
      <c r="DU92" s="7">
        <v>9.1130763300000001E-2</v>
      </c>
      <c r="DV92" s="7">
        <v>0.83497023579999996</v>
      </c>
      <c r="DW92" s="7">
        <v>2.4860992432</v>
      </c>
      <c r="DX92" s="7">
        <v>13.1418275833</v>
      </c>
      <c r="DY92" s="7">
        <v>8.1327934264999993</v>
      </c>
      <c r="DZ92" s="7">
        <v>59.265125274699997</v>
      </c>
      <c r="EA92" s="7">
        <v>1.9569445848</v>
      </c>
      <c r="EB92" s="7">
        <v>0.30490311980000001</v>
      </c>
      <c r="EC92" s="7">
        <v>1.4720015526000001</v>
      </c>
      <c r="ED92" s="7">
        <v>1.6322135925000001</v>
      </c>
      <c r="EE92" s="7">
        <v>3.3256194591999999</v>
      </c>
      <c r="EF92" s="7">
        <v>1.2043595314</v>
      </c>
      <c r="EG92" s="7">
        <v>0.4015490115</v>
      </c>
      <c r="EH92" s="7">
        <v>1.77674536E-2</v>
      </c>
      <c r="EI92" s="152"/>
    </row>
    <row r="93" spans="1:139" s="2" customFormat="1">
      <c r="A93" s="4">
        <v>46128</v>
      </c>
      <c r="B93" s="5"/>
      <c r="C93" s="3">
        <v>5</v>
      </c>
      <c r="D93" s="90" t="s">
        <v>388</v>
      </c>
      <c r="E93" s="3">
        <v>220</v>
      </c>
      <c r="F93" s="3">
        <v>220</v>
      </c>
      <c r="G93" s="3">
        <v>23.991599999999998</v>
      </c>
      <c r="H93" s="3">
        <v>23.987300000000001</v>
      </c>
      <c r="I93" s="3">
        <v>793.44600000000003</v>
      </c>
      <c r="J93" s="3">
        <v>787.28499999999997</v>
      </c>
      <c r="K93" s="3">
        <v>0</v>
      </c>
      <c r="L93" s="3">
        <v>0</v>
      </c>
      <c r="M93" s="3">
        <v>789.88199999999995</v>
      </c>
      <c r="N93" s="3">
        <v>797.75900000000001</v>
      </c>
      <c r="O93" s="3">
        <v>0</v>
      </c>
      <c r="P93" s="3">
        <v>0</v>
      </c>
      <c r="Q93" s="3">
        <v>0.34467100000000001</v>
      </c>
      <c r="R93" s="3">
        <v>1999.88</v>
      </c>
      <c r="S93" s="3">
        <v>2000.05</v>
      </c>
      <c r="T93" s="3">
        <v>0</v>
      </c>
      <c r="U93" s="3">
        <v>0</v>
      </c>
      <c r="V93" s="3">
        <v>1999.96</v>
      </c>
      <c r="W93" s="3">
        <v>1999.1</v>
      </c>
      <c r="X93" s="3">
        <v>0</v>
      </c>
      <c r="Y93" s="3">
        <v>0</v>
      </c>
      <c r="Z93" s="3">
        <v>220</v>
      </c>
      <c r="AA93" s="3">
        <v>1.99698</v>
      </c>
      <c r="AB93" s="3">
        <v>2.0010500000000002</v>
      </c>
      <c r="AC93" s="3">
        <v>-5.8229700000000002E-2</v>
      </c>
      <c r="AD93" s="3">
        <v>-1.4032199999999999E-3</v>
      </c>
      <c r="AE93" s="3">
        <v>1.9992300000000001</v>
      </c>
      <c r="AF93" s="3">
        <v>1.99316</v>
      </c>
      <c r="AG93" s="3">
        <v>-6.5192200000000006E-2</v>
      </c>
      <c r="AH93" s="3">
        <v>1.0917899999999999E-2</v>
      </c>
      <c r="AI93" s="7">
        <v>23.191285000000001</v>
      </c>
      <c r="AJ93" s="7">
        <v>58.443252000000001</v>
      </c>
      <c r="AK93" s="3"/>
      <c r="AL93" s="6">
        <v>88.500541686999995</v>
      </c>
      <c r="AM93" s="6">
        <v>83.613426208999996</v>
      </c>
      <c r="AN93" s="6">
        <v>16.283500670999999</v>
      </c>
      <c r="AO93" s="6">
        <v>23.983139038000001</v>
      </c>
      <c r="AP93" s="6">
        <v>0</v>
      </c>
      <c r="AQ93" s="6">
        <v>0</v>
      </c>
      <c r="AR93" s="6">
        <v>9.2859479999999998E-4</v>
      </c>
      <c r="AS93" s="6">
        <v>0</v>
      </c>
      <c r="AT93" s="6">
        <v>5.7931870000000002E-4</v>
      </c>
      <c r="AU93" s="280">
        <v>84.188270568999997</v>
      </c>
      <c r="AV93" s="280">
        <v>9.7897510528999998</v>
      </c>
      <c r="AW93" s="280">
        <v>4.8572039603999997</v>
      </c>
      <c r="AX93" s="6">
        <v>0</v>
      </c>
      <c r="AY93" s="6">
        <v>0</v>
      </c>
      <c r="AZ93" s="6">
        <v>0</v>
      </c>
      <c r="BA93" s="6">
        <v>0</v>
      </c>
      <c r="BB93" s="6">
        <v>0</v>
      </c>
      <c r="BC93" s="6">
        <v>0</v>
      </c>
      <c r="BD93" s="6">
        <v>0</v>
      </c>
      <c r="BE93" s="6">
        <v>0</v>
      </c>
      <c r="BF93" s="6">
        <v>0</v>
      </c>
      <c r="BG93" s="6">
        <v>0</v>
      </c>
      <c r="BH93" s="6">
        <v>1.3704059E-3</v>
      </c>
      <c r="BI93" s="6">
        <v>4.0710209999999999E-4</v>
      </c>
      <c r="BJ93" s="6">
        <v>0.4208027124</v>
      </c>
      <c r="BK93" s="6">
        <v>0</v>
      </c>
      <c r="BL93" s="6">
        <v>0</v>
      </c>
      <c r="BM93" s="6">
        <v>0</v>
      </c>
      <c r="BN93" s="6">
        <v>0</v>
      </c>
      <c r="BO93" s="6">
        <v>0</v>
      </c>
      <c r="BP93" s="6">
        <v>0</v>
      </c>
      <c r="BQ93" s="6">
        <v>0</v>
      </c>
      <c r="BR93" s="6">
        <v>0</v>
      </c>
      <c r="BS93" s="6">
        <v>0</v>
      </c>
      <c r="BT93" s="6">
        <v>0</v>
      </c>
      <c r="BU93" s="6">
        <v>0</v>
      </c>
      <c r="BV93" s="6">
        <v>0</v>
      </c>
      <c r="BW93" s="6">
        <v>0</v>
      </c>
      <c r="BX93" s="6">
        <v>0</v>
      </c>
      <c r="BY93" s="6">
        <v>0</v>
      </c>
      <c r="BZ93" s="6">
        <v>0</v>
      </c>
      <c r="CA93" s="6">
        <v>0</v>
      </c>
      <c r="CB93" s="6">
        <v>0</v>
      </c>
      <c r="CC93" s="6">
        <v>0</v>
      </c>
      <c r="CD93" s="6">
        <v>0</v>
      </c>
      <c r="CE93" s="6">
        <v>0</v>
      </c>
      <c r="CF93" s="6">
        <v>0</v>
      </c>
      <c r="CG93" s="6">
        <v>0</v>
      </c>
      <c r="CH93" s="6">
        <v>0</v>
      </c>
      <c r="CI93" s="6">
        <v>0</v>
      </c>
      <c r="CJ93" s="6">
        <v>0</v>
      </c>
      <c r="CK93" s="6">
        <v>0</v>
      </c>
      <c r="CL93" s="6">
        <v>0</v>
      </c>
      <c r="CM93" s="6">
        <v>0</v>
      </c>
      <c r="CN93" s="6">
        <v>0.56145191189999999</v>
      </c>
      <c r="CO93" s="6"/>
      <c r="CP93" s="6"/>
      <c r="CQ93" s="6"/>
      <c r="CR93" s="6"/>
      <c r="CS93" s="6"/>
      <c r="CT93" s="6"/>
      <c r="CU93" s="6"/>
      <c r="CV93" s="6"/>
      <c r="CW93" s="6"/>
      <c r="CX93" s="6"/>
      <c r="CY93" s="6"/>
      <c r="CZ93" s="6"/>
      <c r="DA93" s="6"/>
      <c r="DB93" s="6"/>
      <c r="DC93" s="6"/>
      <c r="DD93" s="6"/>
      <c r="DE93" s="6"/>
      <c r="DF93" s="6"/>
      <c r="DG93" s="6"/>
      <c r="DH93" s="6"/>
      <c r="DI93" s="6"/>
      <c r="DJ93" s="6"/>
      <c r="DK93" s="6"/>
      <c r="DL93" s="6"/>
      <c r="DM93" s="7">
        <v>0.17923767860000001</v>
      </c>
      <c r="DN93" s="7">
        <f t="shared" si="1"/>
        <v>100.00000330670001</v>
      </c>
      <c r="DO93" s="7"/>
      <c r="DP93" s="7">
        <v>9.2877689999999995E-4</v>
      </c>
      <c r="DQ93" s="7">
        <v>1.3706745000000001E-3</v>
      </c>
      <c r="DR93" s="7">
        <v>4.0718189999999999E-4</v>
      </c>
      <c r="DS93" s="7">
        <v>5.7943220000000002E-4</v>
      </c>
      <c r="DT93" s="7">
        <v>1.9064067000000001E-3</v>
      </c>
      <c r="DU93" s="7">
        <v>4.0763571899999997E-2</v>
      </c>
      <c r="DV93" s="7">
        <v>0.37821525340000001</v>
      </c>
      <c r="DW93" s="7">
        <v>84.204772949200006</v>
      </c>
      <c r="DX93" s="7">
        <v>0.56156200170000004</v>
      </c>
      <c r="DY93" s="7">
        <v>9.9398568000000007E-3</v>
      </c>
      <c r="DZ93" s="7">
        <v>9.7916707993000003</v>
      </c>
      <c r="EA93" s="7">
        <v>0.13326673210000001</v>
      </c>
      <c r="EB93" s="7">
        <v>4.8581562042000002</v>
      </c>
      <c r="EC93" s="7">
        <v>1.6462195700000001E-2</v>
      </c>
      <c r="ED93" s="7"/>
      <c r="EE93" s="7"/>
      <c r="EF93" s="7"/>
      <c r="EG93" s="7"/>
      <c r="EH93" s="7"/>
      <c r="EI93" s="152"/>
    </row>
    <row r="94" spans="1:139" s="2" customFormat="1">
      <c r="A94" s="4">
        <v>46128</v>
      </c>
      <c r="B94" s="5"/>
      <c r="C94" s="3">
        <v>6</v>
      </c>
      <c r="D94" s="90" t="s">
        <v>389</v>
      </c>
      <c r="E94" s="3">
        <v>220</v>
      </c>
      <c r="F94" s="3">
        <v>220</v>
      </c>
      <c r="G94" s="3">
        <v>24.0017</v>
      </c>
      <c r="H94" s="3">
        <v>24.0017</v>
      </c>
      <c r="I94" s="3">
        <v>778.851</v>
      </c>
      <c r="J94" s="3">
        <v>775.39099999999996</v>
      </c>
      <c r="K94" s="3">
        <v>0</v>
      </c>
      <c r="L94" s="3">
        <v>0</v>
      </c>
      <c r="M94" s="3">
        <v>776.65099999999995</v>
      </c>
      <c r="N94" s="3">
        <v>780.88599999999997</v>
      </c>
      <c r="O94" s="3">
        <v>0</v>
      </c>
      <c r="P94" s="3">
        <v>0</v>
      </c>
      <c r="Q94" s="3">
        <v>0.137354</v>
      </c>
      <c r="R94" s="3">
        <v>2000.68</v>
      </c>
      <c r="S94" s="3">
        <v>2000.51</v>
      </c>
      <c r="T94" s="3">
        <v>0</v>
      </c>
      <c r="U94" s="3">
        <v>0</v>
      </c>
      <c r="V94" s="3">
        <v>2000.11</v>
      </c>
      <c r="W94" s="3">
        <v>1999.7</v>
      </c>
      <c r="X94" s="3">
        <v>0</v>
      </c>
      <c r="Y94" s="3">
        <v>0</v>
      </c>
      <c r="Z94" s="3">
        <v>220</v>
      </c>
      <c r="AA94" s="3">
        <v>1.99909</v>
      </c>
      <c r="AB94" s="3">
        <v>1.99912</v>
      </c>
      <c r="AC94" s="3">
        <v>-6.0845099999999999E-2</v>
      </c>
      <c r="AD94" s="3">
        <v>-2.8762100000000001E-3</v>
      </c>
      <c r="AE94" s="3">
        <v>1.99814</v>
      </c>
      <c r="AF94" s="3">
        <v>1.99804</v>
      </c>
      <c r="AG94" s="3">
        <v>-0.157251</v>
      </c>
      <c r="AH94" s="3">
        <v>1.76277E-2</v>
      </c>
      <c r="AI94" s="7">
        <v>21.402573</v>
      </c>
      <c r="AJ94" s="7">
        <v>59.308188999999999</v>
      </c>
      <c r="AK94" s="3"/>
      <c r="AL94" s="6">
        <v>84.070137024000005</v>
      </c>
      <c r="AM94" s="6">
        <v>83.500488281000003</v>
      </c>
      <c r="AN94" s="6">
        <v>16.000541686999998</v>
      </c>
      <c r="AO94" s="6">
        <v>52.676528931</v>
      </c>
      <c r="AP94" s="6">
        <v>0</v>
      </c>
      <c r="AQ94" s="6">
        <v>0</v>
      </c>
      <c r="AR94" s="6">
        <v>1.9499489069</v>
      </c>
      <c r="AS94" s="6">
        <v>0.71535336969999996</v>
      </c>
      <c r="AT94" s="6">
        <v>0.1192101389</v>
      </c>
      <c r="AU94" s="6">
        <v>47.074111938999998</v>
      </c>
      <c r="AV94" s="6">
        <v>1.8671828507999999</v>
      </c>
      <c r="AW94" s="6">
        <v>0.12434796989999999</v>
      </c>
      <c r="AX94" s="6">
        <v>0</v>
      </c>
      <c r="AY94" s="6">
        <v>0</v>
      </c>
      <c r="AZ94" s="6">
        <v>0</v>
      </c>
      <c r="BA94" s="6">
        <v>0</v>
      </c>
      <c r="BB94" s="6">
        <v>0</v>
      </c>
      <c r="BC94" s="6">
        <v>0</v>
      </c>
      <c r="BD94" s="6">
        <v>0</v>
      </c>
      <c r="BE94" s="6">
        <v>0</v>
      </c>
      <c r="BF94" s="6">
        <v>0</v>
      </c>
      <c r="BG94" s="6">
        <v>0</v>
      </c>
      <c r="BH94" s="6">
        <v>4.1305551529000004</v>
      </c>
      <c r="BI94" s="6">
        <v>0.85627865790000002</v>
      </c>
      <c r="BJ94" s="6">
        <v>36.911960602000001</v>
      </c>
      <c r="BK94" s="6">
        <v>3.2254214286999998</v>
      </c>
      <c r="BL94" s="6">
        <v>0</v>
      </c>
      <c r="BM94" s="6">
        <v>0</v>
      </c>
      <c r="BN94" s="6">
        <v>0</v>
      </c>
      <c r="BO94" s="6">
        <v>0</v>
      </c>
      <c r="BP94" s="6">
        <v>0</v>
      </c>
      <c r="BQ94" s="6">
        <v>0</v>
      </c>
      <c r="BR94" s="6">
        <v>0</v>
      </c>
      <c r="BS94" s="6">
        <v>0</v>
      </c>
      <c r="BT94" s="6">
        <v>0</v>
      </c>
      <c r="BU94" s="6">
        <v>0</v>
      </c>
      <c r="BV94" s="6">
        <v>0</v>
      </c>
      <c r="BW94" s="6">
        <v>0</v>
      </c>
      <c r="BX94" s="6">
        <v>0</v>
      </c>
      <c r="BY94" s="6">
        <v>0</v>
      </c>
      <c r="BZ94" s="6">
        <v>0</v>
      </c>
      <c r="CA94" s="6">
        <v>0</v>
      </c>
      <c r="CB94" s="6">
        <v>0</v>
      </c>
      <c r="CC94" s="6">
        <v>0</v>
      </c>
      <c r="CD94" s="6">
        <v>0</v>
      </c>
      <c r="CE94" s="6">
        <v>0</v>
      </c>
      <c r="CF94" s="6">
        <v>0</v>
      </c>
      <c r="CG94" s="6">
        <v>0</v>
      </c>
      <c r="CH94" s="6">
        <v>0</v>
      </c>
      <c r="CI94" s="6">
        <v>0</v>
      </c>
      <c r="CJ94" s="6">
        <v>0</v>
      </c>
      <c r="CK94" s="6">
        <v>0</v>
      </c>
      <c r="CL94" s="6">
        <v>0</v>
      </c>
      <c r="CM94" s="6">
        <v>0</v>
      </c>
      <c r="CN94" s="6">
        <v>0.33089873190000002</v>
      </c>
      <c r="CO94" s="6"/>
      <c r="CP94" s="6"/>
      <c r="CQ94" s="6"/>
      <c r="CR94" s="6"/>
      <c r="CS94" s="6"/>
      <c r="CT94" s="6"/>
      <c r="CU94" s="6"/>
      <c r="CV94" s="6"/>
      <c r="CW94" s="6"/>
      <c r="CX94" s="6"/>
      <c r="CY94" s="6"/>
      <c r="CZ94" s="6"/>
      <c r="DA94" s="6"/>
      <c r="DB94" s="6"/>
      <c r="DC94" s="6"/>
      <c r="DD94" s="6"/>
      <c r="DE94" s="6"/>
      <c r="DF94" s="6"/>
      <c r="DG94" s="6"/>
      <c r="DH94" s="6"/>
      <c r="DI94" s="6"/>
      <c r="DJ94" s="6"/>
      <c r="DK94" s="6"/>
      <c r="DL94" s="6"/>
      <c r="DM94" s="7">
        <v>2.6947374343999999</v>
      </c>
      <c r="DN94" s="7">
        <f t="shared" si="1"/>
        <v>100.00000718299999</v>
      </c>
      <c r="DO94" s="7"/>
      <c r="DP94" s="7">
        <v>8.1149329999999995E-3</v>
      </c>
      <c r="DQ94" s="7">
        <v>1.9430106878</v>
      </c>
      <c r="DR94" s="7">
        <v>4.1158580779999996</v>
      </c>
      <c r="DS94" s="7">
        <v>0.71280807260000001</v>
      </c>
      <c r="DT94" s="7">
        <v>0.85323196649999999</v>
      </c>
      <c r="DU94" s="7">
        <v>0.11878597740000001</v>
      </c>
      <c r="DV94" s="7">
        <v>1.4010360240999999</v>
      </c>
      <c r="DW94" s="7">
        <v>4.0201253891000004</v>
      </c>
      <c r="DX94" s="7">
        <v>19.254299163799999</v>
      </c>
      <c r="DY94" s="7">
        <v>12.1051626205</v>
      </c>
      <c r="DZ94" s="7">
        <v>46.906620025599999</v>
      </c>
      <c r="EA94" s="7">
        <v>2.3100936412999999</v>
      </c>
      <c r="EB94" s="7">
        <v>0.32972136140000002</v>
      </c>
      <c r="EC94" s="7">
        <v>1.4956321716000001</v>
      </c>
      <c r="ED94" s="7">
        <v>1.7183129787</v>
      </c>
      <c r="EE94" s="7">
        <v>1.8605391979000001</v>
      </c>
      <c r="EF94" s="7">
        <v>0.7087699771</v>
      </c>
      <c r="EG94" s="7">
        <v>0.1239055246</v>
      </c>
      <c r="EH94" s="7">
        <v>1.3978137599999999E-2</v>
      </c>
      <c r="EI94" s="152"/>
    </row>
    <row r="95" spans="1:139" s="2" customFormat="1">
      <c r="A95" s="4">
        <v>46128</v>
      </c>
      <c r="B95" s="5"/>
      <c r="C95" s="3">
        <v>1</v>
      </c>
      <c r="D95" s="90" t="s">
        <v>390</v>
      </c>
      <c r="E95" s="3">
        <v>220</v>
      </c>
      <c r="F95" s="3">
        <v>220</v>
      </c>
      <c r="G95" s="3">
        <v>23.982900000000001</v>
      </c>
      <c r="H95" s="3">
        <v>23.993099999999998</v>
      </c>
      <c r="I95" s="3">
        <v>753.19899999999996</v>
      </c>
      <c r="J95" s="3">
        <v>747.81799999999998</v>
      </c>
      <c r="K95" s="3">
        <v>0</v>
      </c>
      <c r="L95" s="3">
        <v>0</v>
      </c>
      <c r="M95" s="3">
        <v>750.04399999999998</v>
      </c>
      <c r="N95" s="3">
        <v>756.29</v>
      </c>
      <c r="O95" s="3">
        <v>0</v>
      </c>
      <c r="P95" s="3">
        <v>0</v>
      </c>
      <c r="Q95" s="3">
        <v>0.24781900000000001</v>
      </c>
      <c r="R95" s="3">
        <v>1999.9</v>
      </c>
      <c r="S95" s="3">
        <v>1999.88</v>
      </c>
      <c r="T95" s="3">
        <v>0</v>
      </c>
      <c r="U95" s="3">
        <v>0</v>
      </c>
      <c r="V95" s="3">
        <v>2000.12</v>
      </c>
      <c r="W95" s="3">
        <v>1999.72</v>
      </c>
      <c r="X95" s="3">
        <v>0</v>
      </c>
      <c r="Y95" s="3">
        <v>0</v>
      </c>
      <c r="Z95" s="3">
        <v>219.9</v>
      </c>
      <c r="AA95" s="3">
        <v>2.00014</v>
      </c>
      <c r="AB95" s="3">
        <v>1.99794</v>
      </c>
      <c r="AC95" s="3">
        <v>-5.5525100000000001E-2</v>
      </c>
      <c r="AD95" s="3">
        <v>6.0467699999999997E-4</v>
      </c>
      <c r="AE95" s="3">
        <v>1.9988300000000001</v>
      </c>
      <c r="AF95" s="3">
        <v>1.9960599999999999</v>
      </c>
      <c r="AG95" s="3">
        <v>-0.17472699999999999</v>
      </c>
      <c r="AH95" s="3">
        <v>-3.1698200000000003E-2</v>
      </c>
      <c r="AI95" s="7">
        <v>23.589148999999999</v>
      </c>
      <c r="AJ95" s="7">
        <v>58.599618999999997</v>
      </c>
      <c r="AK95" s="3"/>
      <c r="AL95" s="6">
        <v>85.546730041000004</v>
      </c>
      <c r="AM95" s="6">
        <v>83.539443969999994</v>
      </c>
      <c r="AN95" s="6">
        <v>15.892703056</v>
      </c>
      <c r="AO95" s="6">
        <v>44.116306305000002</v>
      </c>
      <c r="AP95" s="6">
        <v>0</v>
      </c>
      <c r="AQ95" s="6">
        <v>0</v>
      </c>
      <c r="AR95" s="6">
        <v>1.2851400374999999</v>
      </c>
      <c r="AS95" s="6">
        <v>0.56032973529999996</v>
      </c>
      <c r="AT95" s="6">
        <v>8.2216814200000002E-2</v>
      </c>
      <c r="AU95" s="6">
        <v>58.515590668000002</v>
      </c>
      <c r="AV95" s="6">
        <v>3.1554498672000002</v>
      </c>
      <c r="AW95" s="6">
        <v>0.36504390840000001</v>
      </c>
      <c r="AX95" s="6">
        <v>0</v>
      </c>
      <c r="AY95" s="6">
        <v>0</v>
      </c>
      <c r="AZ95" s="6">
        <v>0</v>
      </c>
      <c r="BA95" s="6">
        <v>0</v>
      </c>
      <c r="BB95" s="6">
        <v>0</v>
      </c>
      <c r="BC95" s="6">
        <v>0</v>
      </c>
      <c r="BD95" s="6">
        <v>0</v>
      </c>
      <c r="BE95" s="6">
        <v>0</v>
      </c>
      <c r="BF95" s="6">
        <v>0</v>
      </c>
      <c r="BG95" s="6">
        <v>0</v>
      </c>
      <c r="BH95" s="6">
        <v>2.9634783267999998</v>
      </c>
      <c r="BI95" s="6">
        <v>0.67974150180000004</v>
      </c>
      <c r="BJ95" s="6">
        <v>25.562082290999999</v>
      </c>
      <c r="BK95" s="6">
        <v>3.3457934855999998</v>
      </c>
      <c r="BL95" s="6">
        <v>0</v>
      </c>
      <c r="BM95" s="6">
        <v>0</v>
      </c>
      <c r="BN95" s="6">
        <v>0</v>
      </c>
      <c r="BO95" s="6">
        <v>0</v>
      </c>
      <c r="BP95" s="6">
        <v>0</v>
      </c>
      <c r="BQ95" s="6">
        <v>0</v>
      </c>
      <c r="BR95" s="6">
        <v>0</v>
      </c>
      <c r="BS95" s="6">
        <v>0</v>
      </c>
      <c r="BT95" s="6">
        <v>0</v>
      </c>
      <c r="BU95" s="6">
        <v>0</v>
      </c>
      <c r="BV95" s="6">
        <v>0</v>
      </c>
      <c r="BW95" s="6">
        <v>0</v>
      </c>
      <c r="BX95" s="6">
        <v>0</v>
      </c>
      <c r="BY95" s="6">
        <v>0</v>
      </c>
      <c r="BZ95" s="6">
        <v>0</v>
      </c>
      <c r="CA95" s="6">
        <v>0</v>
      </c>
      <c r="CB95" s="6">
        <v>0</v>
      </c>
      <c r="CC95" s="6">
        <v>0</v>
      </c>
      <c r="CD95" s="6">
        <v>0</v>
      </c>
      <c r="CE95" s="6">
        <v>0</v>
      </c>
      <c r="CF95" s="6">
        <v>0</v>
      </c>
      <c r="CG95" s="6">
        <v>0</v>
      </c>
      <c r="CH95" s="6">
        <v>0</v>
      </c>
      <c r="CI95" s="6">
        <v>0</v>
      </c>
      <c r="CJ95" s="6">
        <v>0</v>
      </c>
      <c r="CK95" s="6">
        <v>0</v>
      </c>
      <c r="CL95" s="6">
        <v>0</v>
      </c>
      <c r="CM95" s="6">
        <v>0</v>
      </c>
      <c r="CN95" s="6">
        <v>0.32299882169999999</v>
      </c>
      <c r="CO95" s="6"/>
      <c r="CP95" s="6"/>
      <c r="CQ95" s="6"/>
      <c r="CR95" s="6"/>
      <c r="CS95" s="6"/>
      <c r="CT95" s="6"/>
      <c r="CU95" s="6"/>
      <c r="CV95" s="6"/>
      <c r="CW95" s="6"/>
      <c r="CX95" s="6"/>
      <c r="CY95" s="6"/>
      <c r="CZ95" s="6"/>
      <c r="DA95" s="6"/>
      <c r="DB95" s="6"/>
      <c r="DC95" s="6"/>
      <c r="DD95" s="6"/>
      <c r="DE95" s="6"/>
      <c r="DF95" s="6"/>
      <c r="DG95" s="6"/>
      <c r="DH95" s="6"/>
      <c r="DI95" s="6"/>
      <c r="DJ95" s="6"/>
      <c r="DK95" s="6"/>
      <c r="DL95" s="6"/>
      <c r="DM95" s="7">
        <v>3.1621515750999998</v>
      </c>
      <c r="DN95" s="7">
        <f t="shared" si="1"/>
        <v>100.00001703259997</v>
      </c>
      <c r="DO95" s="7"/>
      <c r="DP95" s="7">
        <v>5.6852782000000003E-3</v>
      </c>
      <c r="DQ95" s="7">
        <v>1.2821352481999999</v>
      </c>
      <c r="DR95" s="7">
        <v>2.9565494061000002</v>
      </c>
      <c r="DS95" s="7">
        <v>0.55901962520000004</v>
      </c>
      <c r="DT95" s="7">
        <v>0.67815220359999995</v>
      </c>
      <c r="DU95" s="7">
        <v>8.2024581700000002E-2</v>
      </c>
      <c r="DV95" s="7">
        <v>0.82816642519999994</v>
      </c>
      <c r="DW95" s="7">
        <v>2.4807965754999999</v>
      </c>
      <c r="DX95" s="7">
        <v>13.664483070399999</v>
      </c>
      <c r="DY95" s="7">
        <v>8.5288705825999998</v>
      </c>
      <c r="DZ95" s="7">
        <v>58.378776550300003</v>
      </c>
      <c r="EA95" s="7">
        <v>2.1013433933000001</v>
      </c>
      <c r="EB95" s="7">
        <v>0.32224363090000002</v>
      </c>
      <c r="EC95" s="7">
        <v>1.5943608283999999</v>
      </c>
      <c r="ED95" s="7">
        <v>1.7436100244999999</v>
      </c>
      <c r="EE95" s="7">
        <v>3.1480722427000001</v>
      </c>
      <c r="EF95" s="7">
        <v>1.2685644626999999</v>
      </c>
      <c r="EG95" s="7">
        <v>0.36419039959999999</v>
      </c>
      <c r="EH95" s="7">
        <v>1.2961137100000001E-2</v>
      </c>
      <c r="EI95" s="152"/>
    </row>
    <row r="96" spans="1:139" s="2" customFormat="1">
      <c r="A96" s="4">
        <v>46128</v>
      </c>
      <c r="B96" s="5"/>
      <c r="C96" s="3">
        <v>2</v>
      </c>
      <c r="D96" s="90" t="s">
        <v>391</v>
      </c>
      <c r="E96" s="3">
        <v>220</v>
      </c>
      <c r="F96" s="3">
        <v>220</v>
      </c>
      <c r="G96" s="3">
        <v>23.994499999999999</v>
      </c>
      <c r="H96" s="3">
        <v>24.0075</v>
      </c>
      <c r="I96" s="3">
        <v>827.57</v>
      </c>
      <c r="J96" s="3">
        <v>823.67200000000003</v>
      </c>
      <c r="K96" s="3">
        <v>0</v>
      </c>
      <c r="L96" s="3">
        <v>0</v>
      </c>
      <c r="M96" s="3">
        <v>825.19299999999998</v>
      </c>
      <c r="N96" s="3">
        <v>830.15200000000004</v>
      </c>
      <c r="O96" s="3">
        <v>0</v>
      </c>
      <c r="P96" s="3">
        <v>0</v>
      </c>
      <c r="Q96" s="3">
        <v>0.32880100000000001</v>
      </c>
      <c r="R96" s="3">
        <v>1999.25</v>
      </c>
      <c r="S96" s="3">
        <v>2000.17</v>
      </c>
      <c r="T96" s="3">
        <v>0</v>
      </c>
      <c r="U96" s="3">
        <v>0</v>
      </c>
      <c r="V96" s="3">
        <v>2000.12</v>
      </c>
      <c r="W96" s="3">
        <v>1999.96</v>
      </c>
      <c r="X96" s="3">
        <v>0</v>
      </c>
      <c r="Y96" s="3">
        <v>0</v>
      </c>
      <c r="Z96" s="3">
        <v>220</v>
      </c>
      <c r="AA96" s="3">
        <v>2.0007299999999999</v>
      </c>
      <c r="AB96" s="3">
        <v>1.9994799999999999</v>
      </c>
      <c r="AC96" s="3">
        <v>-6.9757799999999995E-2</v>
      </c>
      <c r="AD96" s="3">
        <v>-5.38252E-3</v>
      </c>
      <c r="AE96" s="3">
        <v>1.9992000000000001</v>
      </c>
      <c r="AF96" s="3">
        <v>1.9976700000000001</v>
      </c>
      <c r="AG96" s="3">
        <v>-0.15704899999999999</v>
      </c>
      <c r="AH96" s="3">
        <v>-1.49205E-2</v>
      </c>
      <c r="AI96" s="7">
        <v>21.305530999999998</v>
      </c>
      <c r="AJ96" s="7">
        <v>59.590228000000003</v>
      </c>
      <c r="AK96" s="3"/>
      <c r="AL96" s="6">
        <v>85.278045653999996</v>
      </c>
      <c r="AM96" s="6">
        <v>83.533508300999998</v>
      </c>
      <c r="AN96" s="6">
        <v>15.934496879999999</v>
      </c>
      <c r="AO96" s="6">
        <v>44.011745453000003</v>
      </c>
      <c r="AP96" s="6">
        <v>0</v>
      </c>
      <c r="AQ96" s="6">
        <v>0</v>
      </c>
      <c r="AR96" s="6">
        <v>1.3894358872999999</v>
      </c>
      <c r="AS96" s="6">
        <v>0.57154667380000002</v>
      </c>
      <c r="AT96" s="6">
        <v>9.4388417899999993E-2</v>
      </c>
      <c r="AU96" s="6">
        <v>59.272636413999997</v>
      </c>
      <c r="AV96" s="6">
        <v>3.3122458458000001</v>
      </c>
      <c r="AW96" s="6">
        <v>0.39357301589999999</v>
      </c>
      <c r="AX96" s="6">
        <v>0</v>
      </c>
      <c r="AY96" s="6">
        <v>0</v>
      </c>
      <c r="AZ96" s="6">
        <v>0</v>
      </c>
      <c r="BA96" s="6">
        <v>0</v>
      </c>
      <c r="BB96" s="6">
        <v>0</v>
      </c>
      <c r="BC96" s="6">
        <v>0</v>
      </c>
      <c r="BD96" s="6">
        <v>0</v>
      </c>
      <c r="BE96" s="6">
        <v>0</v>
      </c>
      <c r="BF96" s="6">
        <v>0</v>
      </c>
      <c r="BG96" s="6">
        <v>0</v>
      </c>
      <c r="BH96" s="6">
        <v>3.1706085205000001</v>
      </c>
      <c r="BI96" s="6">
        <v>0.71177923679999999</v>
      </c>
      <c r="BJ96" s="6">
        <v>24.764072418000001</v>
      </c>
      <c r="BK96" s="6">
        <v>3.0797424316000002</v>
      </c>
      <c r="BL96" s="6">
        <v>0</v>
      </c>
      <c r="BM96" s="6">
        <v>0</v>
      </c>
      <c r="BN96" s="6">
        <v>0</v>
      </c>
      <c r="BO96" s="6">
        <v>0</v>
      </c>
      <c r="BP96" s="6">
        <v>0</v>
      </c>
      <c r="BQ96" s="6">
        <v>0</v>
      </c>
      <c r="BR96" s="6">
        <v>0</v>
      </c>
      <c r="BS96" s="6">
        <v>0</v>
      </c>
      <c r="BT96" s="6">
        <v>0</v>
      </c>
      <c r="BU96" s="6">
        <v>0</v>
      </c>
      <c r="BV96" s="6">
        <v>0</v>
      </c>
      <c r="BW96" s="6">
        <v>0</v>
      </c>
      <c r="BX96" s="6">
        <v>0</v>
      </c>
      <c r="BY96" s="6">
        <v>0</v>
      </c>
      <c r="BZ96" s="6">
        <v>0</v>
      </c>
      <c r="CA96" s="6">
        <v>0</v>
      </c>
      <c r="CB96" s="6">
        <v>0</v>
      </c>
      <c r="CC96" s="6">
        <v>0</v>
      </c>
      <c r="CD96" s="6">
        <v>0</v>
      </c>
      <c r="CE96" s="6">
        <v>0</v>
      </c>
      <c r="CF96" s="6">
        <v>0</v>
      </c>
      <c r="CG96" s="6">
        <v>0</v>
      </c>
      <c r="CH96" s="6">
        <v>0</v>
      </c>
      <c r="CI96" s="6">
        <v>0</v>
      </c>
      <c r="CJ96" s="6">
        <v>0</v>
      </c>
      <c r="CK96" s="6">
        <v>0</v>
      </c>
      <c r="CL96" s="6">
        <v>0</v>
      </c>
      <c r="CM96" s="6">
        <v>0</v>
      </c>
      <c r="CN96" s="6">
        <v>0.30354979630000001</v>
      </c>
      <c r="CO96" s="6"/>
      <c r="CP96" s="6"/>
      <c r="CQ96" s="6"/>
      <c r="CR96" s="6"/>
      <c r="CS96" s="6"/>
      <c r="CT96" s="6"/>
      <c r="CU96" s="6"/>
      <c r="CV96" s="6"/>
      <c r="CW96" s="6"/>
      <c r="CX96" s="6"/>
      <c r="CY96" s="6"/>
      <c r="CZ96" s="6"/>
      <c r="DA96" s="6"/>
      <c r="DB96" s="6"/>
      <c r="DC96" s="6"/>
      <c r="DD96" s="6"/>
      <c r="DE96" s="6"/>
      <c r="DF96" s="6"/>
      <c r="DG96" s="6"/>
      <c r="DH96" s="6"/>
      <c r="DI96" s="6"/>
      <c r="DJ96" s="6"/>
      <c r="DK96" s="6"/>
      <c r="DL96" s="6"/>
      <c r="DM96" s="7">
        <v>2.9364161490999998</v>
      </c>
      <c r="DN96" s="7">
        <f t="shared" si="1"/>
        <v>99.999994806999993</v>
      </c>
      <c r="DO96" s="7"/>
      <c r="DP96" s="7">
        <v>5.4079629000000004E-3</v>
      </c>
      <c r="DQ96" s="7">
        <v>1.3864139317999999</v>
      </c>
      <c r="DR96" s="7">
        <v>3.1637125015000001</v>
      </c>
      <c r="DS96" s="7">
        <v>0.57030355929999998</v>
      </c>
      <c r="DT96" s="7">
        <v>0.7102311254</v>
      </c>
      <c r="DU96" s="7">
        <v>9.4183124600000001E-2</v>
      </c>
      <c r="DV96" s="7">
        <v>0.84950691460000005</v>
      </c>
      <c r="DW96" s="7">
        <v>2.5150647162999999</v>
      </c>
      <c r="DX96" s="7">
        <v>13.1899471283</v>
      </c>
      <c r="DY96" s="7">
        <v>8.1556940078999993</v>
      </c>
      <c r="DZ96" s="7">
        <v>59.143718719500001</v>
      </c>
      <c r="EA96" s="7">
        <v>1.9527789354</v>
      </c>
      <c r="EB96" s="7">
        <v>0.3028895855</v>
      </c>
      <c r="EC96" s="7">
        <v>1.4579105376999999</v>
      </c>
      <c r="ED96" s="7">
        <v>1.6151335239</v>
      </c>
      <c r="EE96" s="7">
        <v>3.3050417900000002</v>
      </c>
      <c r="EF96" s="7">
        <v>1.1709903478999999</v>
      </c>
      <c r="EG96" s="7">
        <v>0.39271700380000002</v>
      </c>
      <c r="EH96" s="7">
        <v>1.8340073500000002E-2</v>
      </c>
      <c r="EI96" s="152"/>
    </row>
    <row r="97" spans="1:139" s="2" customFormat="1">
      <c r="A97" s="4">
        <v>46128</v>
      </c>
      <c r="B97" s="5"/>
      <c r="C97" s="3">
        <v>5</v>
      </c>
      <c r="D97" s="90" t="s">
        <v>392</v>
      </c>
      <c r="E97" s="3">
        <v>220</v>
      </c>
      <c r="F97" s="3">
        <v>220.1</v>
      </c>
      <c r="G97" s="3">
        <v>24.016200000000001</v>
      </c>
      <c r="H97" s="3">
        <v>24.0046</v>
      </c>
      <c r="I97" s="3">
        <v>787.31799999999998</v>
      </c>
      <c r="J97" s="3">
        <v>790.23699999999997</v>
      </c>
      <c r="K97" s="3">
        <v>0</v>
      </c>
      <c r="L97" s="3">
        <v>0</v>
      </c>
      <c r="M97" s="3">
        <v>789.053</v>
      </c>
      <c r="N97" s="3">
        <v>787.20399999999995</v>
      </c>
      <c r="O97" s="3">
        <v>0</v>
      </c>
      <c r="P97" s="3">
        <v>0</v>
      </c>
      <c r="Q97" s="3">
        <v>0.497222</v>
      </c>
      <c r="R97" s="3">
        <v>2001.02</v>
      </c>
      <c r="S97" s="3">
        <v>2000.59</v>
      </c>
      <c r="T97" s="3">
        <v>0</v>
      </c>
      <c r="U97" s="3">
        <v>0</v>
      </c>
      <c r="V97" s="3">
        <v>2000.36</v>
      </c>
      <c r="W97" s="3">
        <v>1999.39</v>
      </c>
      <c r="X97" s="3">
        <v>0</v>
      </c>
      <c r="Y97" s="3">
        <v>0</v>
      </c>
      <c r="Z97" s="3">
        <v>220</v>
      </c>
      <c r="AA97" s="3">
        <v>1.9994499999999999</v>
      </c>
      <c r="AB97" s="3">
        <v>2.0007799999999998</v>
      </c>
      <c r="AC97" s="3">
        <v>-7.1929599999999996E-2</v>
      </c>
      <c r="AD97" s="3">
        <v>-4.3055799999999998E-3</v>
      </c>
      <c r="AE97" s="3">
        <v>1.9967600000000001</v>
      </c>
      <c r="AF97" s="3">
        <v>1.99719</v>
      </c>
      <c r="AG97" s="3">
        <v>-6.6008999999999998E-2</v>
      </c>
      <c r="AH97" s="3">
        <v>-2.4337500000000001E-2</v>
      </c>
      <c r="AI97" s="7">
        <v>23.011741000000001</v>
      </c>
      <c r="AJ97" s="7">
        <v>58.216797999999997</v>
      </c>
      <c r="AK97" s="3"/>
      <c r="AL97" s="6">
        <v>88.502143860000004</v>
      </c>
      <c r="AM97" s="6">
        <v>83.613616942999997</v>
      </c>
      <c r="AN97" s="6">
        <v>16.283210753999999</v>
      </c>
      <c r="AO97" s="6">
        <v>23.983449936</v>
      </c>
      <c r="AP97" s="6">
        <v>0</v>
      </c>
      <c r="AQ97" s="6">
        <v>0</v>
      </c>
      <c r="AR97" s="6">
        <v>7.2141100000000004E-4</v>
      </c>
      <c r="AS97" s="6">
        <v>0</v>
      </c>
      <c r="AT97" s="6">
        <v>5.4962350000000001E-4</v>
      </c>
      <c r="AU97" s="280">
        <v>84.181976317999997</v>
      </c>
      <c r="AV97" s="280">
        <v>9.7818250655999996</v>
      </c>
      <c r="AW97" s="280">
        <v>4.865945816</v>
      </c>
      <c r="AX97" s="6">
        <v>0</v>
      </c>
      <c r="AY97" s="6">
        <v>0</v>
      </c>
      <c r="AZ97" s="6">
        <v>0</v>
      </c>
      <c r="BA97" s="6">
        <v>0</v>
      </c>
      <c r="BB97" s="6">
        <v>0</v>
      </c>
      <c r="BC97" s="6">
        <v>0</v>
      </c>
      <c r="BD97" s="6">
        <v>0</v>
      </c>
      <c r="BE97" s="6">
        <v>0</v>
      </c>
      <c r="BF97" s="6">
        <v>0</v>
      </c>
      <c r="BG97" s="6">
        <v>0</v>
      </c>
      <c r="BH97" s="6">
        <v>1.3303377E-3</v>
      </c>
      <c r="BI97" s="6">
        <v>0</v>
      </c>
      <c r="BJ97" s="6">
        <v>0.41962218280000002</v>
      </c>
      <c r="BK97" s="6">
        <v>1.0275516E-3</v>
      </c>
      <c r="BL97" s="6">
        <v>0</v>
      </c>
      <c r="BM97" s="6">
        <v>0</v>
      </c>
      <c r="BN97" s="6">
        <v>0</v>
      </c>
      <c r="BO97" s="6">
        <v>0</v>
      </c>
      <c r="BP97" s="6">
        <v>0</v>
      </c>
      <c r="BQ97" s="6">
        <v>0</v>
      </c>
      <c r="BR97" s="6">
        <v>0</v>
      </c>
      <c r="BS97" s="6">
        <v>0</v>
      </c>
      <c r="BT97" s="6">
        <v>0</v>
      </c>
      <c r="BU97" s="6">
        <v>0</v>
      </c>
      <c r="BV97" s="6">
        <v>0</v>
      </c>
      <c r="BW97" s="6">
        <v>0</v>
      </c>
      <c r="BX97" s="6">
        <v>0</v>
      </c>
      <c r="BY97" s="6">
        <v>0</v>
      </c>
      <c r="BZ97" s="6">
        <v>0</v>
      </c>
      <c r="CA97" s="6">
        <v>0</v>
      </c>
      <c r="CB97" s="6">
        <v>0</v>
      </c>
      <c r="CC97" s="6">
        <v>0</v>
      </c>
      <c r="CD97" s="6">
        <v>0</v>
      </c>
      <c r="CE97" s="6">
        <v>0</v>
      </c>
      <c r="CF97" s="6">
        <v>0</v>
      </c>
      <c r="CG97" s="6">
        <v>0</v>
      </c>
      <c r="CH97" s="6">
        <v>0</v>
      </c>
      <c r="CI97" s="6">
        <v>0</v>
      </c>
      <c r="CJ97" s="6">
        <v>0</v>
      </c>
      <c r="CK97" s="6">
        <v>0</v>
      </c>
      <c r="CL97" s="6">
        <v>0</v>
      </c>
      <c r="CM97" s="6">
        <v>0</v>
      </c>
      <c r="CN97" s="6">
        <v>0.5668346286</v>
      </c>
      <c r="CO97" s="6"/>
      <c r="CP97" s="6"/>
      <c r="CQ97" s="6"/>
      <c r="CR97" s="6"/>
      <c r="CS97" s="6"/>
      <c r="CT97" s="6"/>
      <c r="CU97" s="6"/>
      <c r="CV97" s="6"/>
      <c r="CW97" s="6"/>
      <c r="CX97" s="6"/>
      <c r="CY97" s="6"/>
      <c r="CZ97" s="6"/>
      <c r="DA97" s="6"/>
      <c r="DB97" s="6"/>
      <c r="DC97" s="6"/>
      <c r="DD97" s="6"/>
      <c r="DE97" s="6"/>
      <c r="DF97" s="6"/>
      <c r="DG97" s="6"/>
      <c r="DH97" s="6"/>
      <c r="DI97" s="6"/>
      <c r="DJ97" s="6"/>
      <c r="DK97" s="6"/>
      <c r="DL97" s="6"/>
      <c r="DM97" s="7">
        <v>0.1801657975</v>
      </c>
      <c r="DN97" s="7">
        <f t="shared" si="1"/>
        <v>99.999998732299986</v>
      </c>
      <c r="DO97" s="7"/>
      <c r="DP97" s="7">
        <v>7.2155380000000005E-4</v>
      </c>
      <c r="DQ97" s="7">
        <v>1.3306009E-3</v>
      </c>
      <c r="DR97" s="7">
        <v>5.497322E-4</v>
      </c>
      <c r="DS97" s="7">
        <v>1.7406918E-3</v>
      </c>
      <c r="DT97" s="7">
        <v>4.0499638800000001E-2</v>
      </c>
      <c r="DU97" s="7">
        <v>0.37746492030000001</v>
      </c>
      <c r="DV97" s="7">
        <v>84.198638915999993</v>
      </c>
      <c r="DW97" s="7">
        <v>0.56694680450000001</v>
      </c>
      <c r="DX97" s="7">
        <v>1.027755E-3</v>
      </c>
      <c r="DY97" s="7">
        <v>9.6914758999999996E-3</v>
      </c>
      <c r="DZ97" s="7">
        <v>9.7837610245000004</v>
      </c>
      <c r="EA97" s="7">
        <v>0.13300359249999999</v>
      </c>
      <c r="EB97" s="7">
        <v>4.8669090271000002</v>
      </c>
      <c r="EC97" s="7">
        <v>1.7710788200000001E-2</v>
      </c>
      <c r="ED97" s="7"/>
      <c r="EE97" s="7"/>
      <c r="EF97" s="7"/>
      <c r="EG97" s="7"/>
      <c r="EH97" s="7"/>
      <c r="EI97" s="152"/>
    </row>
    <row r="98" spans="1:139" s="2" customFormat="1">
      <c r="A98" s="4">
        <v>46128</v>
      </c>
      <c r="B98" s="5"/>
      <c r="C98" s="3">
        <v>6</v>
      </c>
      <c r="D98" s="90" t="s">
        <v>393</v>
      </c>
      <c r="E98" s="3">
        <v>220</v>
      </c>
      <c r="F98" s="3">
        <v>220</v>
      </c>
      <c r="G98" s="3">
        <v>23.995999999999999</v>
      </c>
      <c r="H98" s="3">
        <v>24.0061</v>
      </c>
      <c r="I98" s="3">
        <v>762.19600000000003</v>
      </c>
      <c r="J98" s="3">
        <v>766.351</v>
      </c>
      <c r="K98" s="3">
        <v>0</v>
      </c>
      <c r="L98" s="3">
        <v>0</v>
      </c>
      <c r="M98" s="3">
        <v>764.59299999999996</v>
      </c>
      <c r="N98" s="3">
        <v>761.04600000000005</v>
      </c>
      <c r="O98" s="3">
        <v>0</v>
      </c>
      <c r="P98" s="3">
        <v>0</v>
      </c>
      <c r="Q98" s="3">
        <v>0.339084</v>
      </c>
      <c r="R98" s="3">
        <v>1998.87</v>
      </c>
      <c r="S98" s="3">
        <v>1999.89</v>
      </c>
      <c r="T98" s="3">
        <v>0</v>
      </c>
      <c r="U98" s="3">
        <v>0</v>
      </c>
      <c r="V98" s="3">
        <v>1999.48</v>
      </c>
      <c r="W98" s="3">
        <v>2000.75</v>
      </c>
      <c r="X98" s="3">
        <v>0</v>
      </c>
      <c r="Y98" s="3">
        <v>0</v>
      </c>
      <c r="Z98" s="3">
        <v>220</v>
      </c>
      <c r="AA98" s="3">
        <v>2.0023900000000001</v>
      </c>
      <c r="AB98" s="3">
        <v>2.0028800000000002</v>
      </c>
      <c r="AC98" s="3">
        <v>-8.1335000000000005E-2</v>
      </c>
      <c r="AD98" s="3">
        <v>3.54667E-3</v>
      </c>
      <c r="AE98" s="3">
        <v>2.0008400000000002</v>
      </c>
      <c r="AF98" s="3">
        <v>1.99712</v>
      </c>
      <c r="AG98" s="3">
        <v>-0.27091900000000002</v>
      </c>
      <c r="AH98" s="3">
        <v>-5.8781100000000003E-2</v>
      </c>
      <c r="AI98" s="7">
        <v>21.387913999999999</v>
      </c>
      <c r="AJ98" s="7">
        <v>59.044885999999998</v>
      </c>
      <c r="AK98" s="3"/>
      <c r="AL98" s="6">
        <v>83.926712035999998</v>
      </c>
      <c r="AM98" s="6">
        <v>83.496742248000004</v>
      </c>
      <c r="AN98" s="6">
        <v>16.010812759</v>
      </c>
      <c r="AO98" s="6">
        <v>53.183769226000003</v>
      </c>
      <c r="AP98" s="6">
        <v>0</v>
      </c>
      <c r="AQ98" s="6">
        <v>0</v>
      </c>
      <c r="AR98" s="6">
        <v>2.0227115154000002</v>
      </c>
      <c r="AS98" s="6">
        <v>0.72915363310000003</v>
      </c>
      <c r="AT98" s="6">
        <v>0.12445890900000001</v>
      </c>
      <c r="AU98" s="6">
        <v>46.481708527000002</v>
      </c>
      <c r="AV98" s="6">
        <v>1.8126379251</v>
      </c>
      <c r="AW98" s="6">
        <v>0.1156044826</v>
      </c>
      <c r="AX98" s="6">
        <v>0</v>
      </c>
      <c r="AY98" s="6">
        <v>0</v>
      </c>
      <c r="AZ98" s="6">
        <v>0</v>
      </c>
      <c r="BA98" s="6">
        <v>0</v>
      </c>
      <c r="BB98" s="6">
        <v>0</v>
      </c>
      <c r="BC98" s="6">
        <v>0</v>
      </c>
      <c r="BD98" s="6">
        <v>0</v>
      </c>
      <c r="BE98" s="6">
        <v>0</v>
      </c>
      <c r="BF98" s="6">
        <v>0</v>
      </c>
      <c r="BG98" s="6">
        <v>0</v>
      </c>
      <c r="BH98" s="6">
        <v>4.2518806458</v>
      </c>
      <c r="BI98" s="6">
        <v>0.87150311469999997</v>
      </c>
      <c r="BJ98" s="6">
        <v>37.435607910000002</v>
      </c>
      <c r="BK98" s="6">
        <v>3.1692876816000002</v>
      </c>
      <c r="BL98" s="6">
        <v>0</v>
      </c>
      <c r="BM98" s="6">
        <v>0</v>
      </c>
      <c r="BN98" s="6">
        <v>0</v>
      </c>
      <c r="BO98" s="6">
        <v>0</v>
      </c>
      <c r="BP98" s="6">
        <v>0</v>
      </c>
      <c r="BQ98" s="6">
        <v>0</v>
      </c>
      <c r="BR98" s="6">
        <v>0</v>
      </c>
      <c r="BS98" s="6">
        <v>0</v>
      </c>
      <c r="BT98" s="6">
        <v>0</v>
      </c>
      <c r="BU98" s="6">
        <v>0</v>
      </c>
      <c r="BV98" s="6">
        <v>0</v>
      </c>
      <c r="BW98" s="6">
        <v>0</v>
      </c>
      <c r="BX98" s="6">
        <v>0</v>
      </c>
      <c r="BY98" s="6">
        <v>0</v>
      </c>
      <c r="BZ98" s="6">
        <v>0</v>
      </c>
      <c r="CA98" s="6">
        <v>0</v>
      </c>
      <c r="CB98" s="6">
        <v>0</v>
      </c>
      <c r="CC98" s="6">
        <v>0</v>
      </c>
      <c r="CD98" s="6">
        <v>0</v>
      </c>
      <c r="CE98" s="6">
        <v>0</v>
      </c>
      <c r="CF98" s="6">
        <v>0</v>
      </c>
      <c r="CG98" s="6">
        <v>0</v>
      </c>
      <c r="CH98" s="6">
        <v>0</v>
      </c>
      <c r="CI98" s="6">
        <v>0</v>
      </c>
      <c r="CJ98" s="6">
        <v>0</v>
      </c>
      <c r="CK98" s="6">
        <v>0</v>
      </c>
      <c r="CL98" s="6">
        <v>0</v>
      </c>
      <c r="CM98" s="6">
        <v>0</v>
      </c>
      <c r="CN98" s="6">
        <v>0.33481654519999998</v>
      </c>
      <c r="CO98" s="6"/>
      <c r="CP98" s="6"/>
      <c r="CQ98" s="6"/>
      <c r="CR98" s="6"/>
      <c r="CS98" s="6"/>
      <c r="CT98" s="6"/>
      <c r="CU98" s="6"/>
      <c r="CV98" s="6"/>
      <c r="CW98" s="6"/>
      <c r="CX98" s="6"/>
      <c r="CY98" s="6"/>
      <c r="CZ98" s="6"/>
      <c r="DA98" s="6"/>
      <c r="DB98" s="6"/>
      <c r="DC98" s="6"/>
      <c r="DD98" s="6"/>
      <c r="DE98" s="6"/>
      <c r="DF98" s="6"/>
      <c r="DG98" s="6"/>
      <c r="DH98" s="6"/>
      <c r="DI98" s="6"/>
      <c r="DJ98" s="6"/>
      <c r="DK98" s="6"/>
      <c r="DL98" s="6"/>
      <c r="DM98" s="7">
        <v>2.6506140232000002</v>
      </c>
      <c r="DN98" s="7">
        <f t="shared" si="1"/>
        <v>99.9999849127</v>
      </c>
      <c r="DO98" s="7"/>
      <c r="DP98" s="7">
        <v>8.8593513000000002E-3</v>
      </c>
      <c r="DQ98" s="7">
        <v>2.0153961182</v>
      </c>
      <c r="DR98" s="7">
        <v>4.2365026474</v>
      </c>
      <c r="DS98" s="7">
        <v>0.72651648520000001</v>
      </c>
      <c r="DT98" s="7">
        <v>0.86835116150000002</v>
      </c>
      <c r="DU98" s="7">
        <v>0.1240087822</v>
      </c>
      <c r="DV98" s="7">
        <v>1.4451136589</v>
      </c>
      <c r="DW98" s="7">
        <v>4.1040596962000002</v>
      </c>
      <c r="DX98" s="7">
        <v>19.4906425476</v>
      </c>
      <c r="DY98" s="7">
        <v>12.260398864700001</v>
      </c>
      <c r="DZ98" s="7">
        <v>46.313598632800002</v>
      </c>
      <c r="EA98" s="7">
        <v>2.3110573292000001</v>
      </c>
      <c r="EB98" s="7">
        <v>0.33360561729999999</v>
      </c>
      <c r="EC98" s="7">
        <v>1.4677647352000001</v>
      </c>
      <c r="ED98" s="7">
        <v>1.6900604963000001</v>
      </c>
      <c r="EE98" s="7">
        <v>1.8060821295</v>
      </c>
      <c r="EF98" s="7">
        <v>0.66956865789999997</v>
      </c>
      <c r="EG98" s="7">
        <v>0.1151863709</v>
      </c>
      <c r="EH98" s="7">
        <v>1.32489949E-2</v>
      </c>
      <c r="EI98" s="152"/>
    </row>
    <row r="99" spans="1:139" s="2" customFormat="1">
      <c r="A99" s="4">
        <v>46128</v>
      </c>
      <c r="B99" s="5"/>
      <c r="C99" s="3">
        <v>1</v>
      </c>
      <c r="D99" s="90" t="s">
        <v>394</v>
      </c>
      <c r="E99" s="3">
        <v>233.8</v>
      </c>
      <c r="F99" s="3">
        <v>233.7</v>
      </c>
      <c r="G99" s="3">
        <v>24.020499999999998</v>
      </c>
      <c r="H99" s="3">
        <v>23.993099999999998</v>
      </c>
      <c r="I99" s="3">
        <v>737.69600000000003</v>
      </c>
      <c r="J99" s="3">
        <v>732.66800000000001</v>
      </c>
      <c r="K99" s="3">
        <v>0</v>
      </c>
      <c r="L99" s="3">
        <v>0</v>
      </c>
      <c r="M99" s="3">
        <v>734.83199999999999</v>
      </c>
      <c r="N99" s="3">
        <v>738.53800000000001</v>
      </c>
      <c r="O99" s="3">
        <v>0</v>
      </c>
      <c r="P99" s="3">
        <v>0</v>
      </c>
      <c r="Q99" s="3">
        <v>0.151174</v>
      </c>
      <c r="R99" s="3">
        <v>2000.32</v>
      </c>
      <c r="S99" s="3">
        <v>1999.92</v>
      </c>
      <c r="T99" s="3">
        <v>0</v>
      </c>
      <c r="U99" s="3">
        <v>0</v>
      </c>
      <c r="V99" s="3">
        <v>1999.88</v>
      </c>
      <c r="W99" s="3">
        <v>1999.84</v>
      </c>
      <c r="X99" s="3">
        <v>0</v>
      </c>
      <c r="Y99" s="3">
        <v>0</v>
      </c>
      <c r="Z99" s="3">
        <v>219.9</v>
      </c>
      <c r="AA99" s="3">
        <v>2.0007100000000002</v>
      </c>
      <c r="AB99" s="3">
        <v>2.00007</v>
      </c>
      <c r="AC99" s="3">
        <v>-6.2362300000000002E-2</v>
      </c>
      <c r="AD99" s="3">
        <v>1.15868E-3</v>
      </c>
      <c r="AE99" s="3">
        <v>2.0007899999999998</v>
      </c>
      <c r="AF99" s="3">
        <v>1.9982</v>
      </c>
      <c r="AG99" s="3">
        <v>-0.117995</v>
      </c>
      <c r="AH99" s="3">
        <v>-3.0505500000000001E-2</v>
      </c>
      <c r="AI99" s="7">
        <v>23.195065</v>
      </c>
      <c r="AJ99" s="7">
        <v>58.290047999999999</v>
      </c>
      <c r="AK99" s="3"/>
      <c r="AL99" s="6">
        <v>83.438674926999994</v>
      </c>
      <c r="AM99" s="6">
        <v>83.483367920000006</v>
      </c>
      <c r="AN99" s="6">
        <v>16.023900986000001</v>
      </c>
      <c r="AO99" s="6">
        <v>54.651889801000003</v>
      </c>
      <c r="AP99" s="6">
        <v>0</v>
      </c>
      <c r="AQ99" s="6">
        <v>0</v>
      </c>
      <c r="AR99" s="6">
        <v>2.3480832576999999</v>
      </c>
      <c r="AS99" s="6">
        <v>0.79310780759999999</v>
      </c>
      <c r="AT99" s="6">
        <v>0.16779355700000001</v>
      </c>
      <c r="AU99" s="6">
        <v>44.379295349000003</v>
      </c>
      <c r="AV99" s="6">
        <v>1.8755979538000001</v>
      </c>
      <c r="AW99" s="6">
        <v>0.17515335979999999</v>
      </c>
      <c r="AX99" s="6">
        <v>0</v>
      </c>
      <c r="AY99" s="6">
        <v>0</v>
      </c>
      <c r="AZ99" s="6">
        <v>0</v>
      </c>
      <c r="BA99" s="6">
        <v>0</v>
      </c>
      <c r="BB99" s="6">
        <v>0</v>
      </c>
      <c r="BC99" s="6">
        <v>0</v>
      </c>
      <c r="BD99" s="6">
        <v>0</v>
      </c>
      <c r="BE99" s="6">
        <v>0</v>
      </c>
      <c r="BF99" s="6">
        <v>0</v>
      </c>
      <c r="BG99" s="6">
        <v>0</v>
      </c>
      <c r="BH99" s="6">
        <v>4.7115073204</v>
      </c>
      <c r="BI99" s="6">
        <v>0.93340671060000002</v>
      </c>
      <c r="BJ99" s="6">
        <v>38.761898041000002</v>
      </c>
      <c r="BK99" s="6">
        <v>2.8910727501000002</v>
      </c>
      <c r="BL99" s="6">
        <v>0</v>
      </c>
      <c r="BM99" s="6">
        <v>0</v>
      </c>
      <c r="BN99" s="6">
        <v>0</v>
      </c>
      <c r="BO99" s="6">
        <v>0</v>
      </c>
      <c r="BP99" s="6">
        <v>0</v>
      </c>
      <c r="BQ99" s="6">
        <v>0</v>
      </c>
      <c r="BR99" s="6">
        <v>0</v>
      </c>
      <c r="BS99" s="6">
        <v>0</v>
      </c>
      <c r="BT99" s="6">
        <v>0</v>
      </c>
      <c r="BU99" s="6">
        <v>0</v>
      </c>
      <c r="BV99" s="6">
        <v>0</v>
      </c>
      <c r="BW99" s="6">
        <v>0</v>
      </c>
      <c r="BX99" s="6">
        <v>0</v>
      </c>
      <c r="BY99" s="6">
        <v>0</v>
      </c>
      <c r="BZ99" s="6">
        <v>0</v>
      </c>
      <c r="CA99" s="6">
        <v>0</v>
      </c>
      <c r="CB99" s="6">
        <v>0</v>
      </c>
      <c r="CC99" s="6">
        <v>0</v>
      </c>
      <c r="CD99" s="6">
        <v>0</v>
      </c>
      <c r="CE99" s="6">
        <v>0</v>
      </c>
      <c r="CF99" s="6">
        <v>0</v>
      </c>
      <c r="CG99" s="6">
        <v>0</v>
      </c>
      <c r="CH99" s="6">
        <v>0</v>
      </c>
      <c r="CI99" s="6">
        <v>0</v>
      </c>
      <c r="CJ99" s="6">
        <v>0</v>
      </c>
      <c r="CK99" s="6">
        <v>0</v>
      </c>
      <c r="CL99" s="6">
        <v>0</v>
      </c>
      <c r="CM99" s="6">
        <v>0</v>
      </c>
      <c r="CN99" s="6">
        <v>0.31689009070000002</v>
      </c>
      <c r="CO99" s="6"/>
      <c r="CP99" s="6"/>
      <c r="CQ99" s="6"/>
      <c r="CR99" s="6"/>
      <c r="CS99" s="6"/>
      <c r="CT99" s="6"/>
      <c r="CU99" s="6"/>
      <c r="CV99" s="6"/>
      <c r="CW99" s="6"/>
      <c r="CX99" s="6"/>
      <c r="CY99" s="6"/>
      <c r="CZ99" s="6"/>
      <c r="DA99" s="6"/>
      <c r="DB99" s="6"/>
      <c r="DC99" s="6"/>
      <c r="DD99" s="6"/>
      <c r="DE99" s="6"/>
      <c r="DF99" s="6"/>
      <c r="DG99" s="6"/>
      <c r="DH99" s="6"/>
      <c r="DI99" s="6"/>
      <c r="DJ99" s="6"/>
      <c r="DK99" s="6"/>
      <c r="DL99" s="6"/>
      <c r="DM99" s="7">
        <v>2.6462190150999998</v>
      </c>
      <c r="DN99" s="7">
        <f t="shared" si="1"/>
        <v>100.00002521280001</v>
      </c>
      <c r="DO99" s="7"/>
      <c r="DP99" s="7">
        <v>8.4853172300000002E-2</v>
      </c>
      <c r="DQ99" s="7">
        <v>2.3411481379999999</v>
      </c>
      <c r="DR99" s="7">
        <v>4.6975917815999999</v>
      </c>
      <c r="DS99" s="7">
        <v>0.79076540470000001</v>
      </c>
      <c r="DT99" s="7">
        <v>0.93064987659999998</v>
      </c>
      <c r="DU99" s="7">
        <v>0.1672979742</v>
      </c>
      <c r="DV99" s="7">
        <v>1.9237961769</v>
      </c>
      <c r="DW99" s="7">
        <v>4.1918821335000001</v>
      </c>
      <c r="DX99" s="7">
        <v>19.8910694122</v>
      </c>
      <c r="DY99" s="7">
        <v>12.640666961699999</v>
      </c>
      <c r="DZ99" s="7">
        <v>44.248222351099997</v>
      </c>
      <c r="EA99" s="7">
        <v>2.0715641974999999</v>
      </c>
      <c r="EB99" s="7">
        <v>0.3159541488</v>
      </c>
      <c r="EC99" s="7">
        <v>1.3640387058000001</v>
      </c>
      <c r="ED99" s="7">
        <v>1.5184952021</v>
      </c>
      <c r="EE99" s="7">
        <v>1.8700584173000001</v>
      </c>
      <c r="EF99" s="7">
        <v>0.76315414910000001</v>
      </c>
      <c r="EG99" s="7">
        <v>0.17463603620000001</v>
      </c>
      <c r="EH99" s="7">
        <v>1.4149459099999999E-2</v>
      </c>
      <c r="EI99" s="152"/>
    </row>
    <row r="100" spans="1:139" s="2" customFormat="1">
      <c r="A100" s="4">
        <v>46128</v>
      </c>
      <c r="B100" s="5"/>
      <c r="C100" s="3">
        <v>2</v>
      </c>
      <c r="D100" s="90" t="s">
        <v>395</v>
      </c>
      <c r="E100" s="3">
        <v>230</v>
      </c>
      <c r="F100" s="3">
        <v>230</v>
      </c>
      <c r="G100" s="3">
        <v>24.019100000000002</v>
      </c>
      <c r="H100" s="3">
        <v>24.0017</v>
      </c>
      <c r="I100" s="3">
        <v>823.01800000000003</v>
      </c>
      <c r="J100" s="3">
        <v>820.36300000000006</v>
      </c>
      <c r="K100" s="3">
        <v>0</v>
      </c>
      <c r="L100" s="3">
        <v>0</v>
      </c>
      <c r="M100" s="3">
        <v>820.18700000000001</v>
      </c>
      <c r="N100" s="3">
        <v>821.41899999999998</v>
      </c>
      <c r="O100" s="3">
        <v>0</v>
      </c>
      <c r="P100" s="3">
        <v>0</v>
      </c>
      <c r="Q100" s="3">
        <v>0.35600100000000001</v>
      </c>
      <c r="R100" s="3">
        <v>2000.59</v>
      </c>
      <c r="S100" s="3">
        <v>1999.9</v>
      </c>
      <c r="T100" s="3">
        <v>0</v>
      </c>
      <c r="U100" s="3">
        <v>0</v>
      </c>
      <c r="V100" s="3">
        <v>1999.81</v>
      </c>
      <c r="W100" s="3">
        <v>2000.14</v>
      </c>
      <c r="X100" s="3">
        <v>0</v>
      </c>
      <c r="Y100" s="3">
        <v>0</v>
      </c>
      <c r="Z100" s="3">
        <v>220</v>
      </c>
      <c r="AA100" s="3">
        <v>1.9992399999999999</v>
      </c>
      <c r="AB100" s="3">
        <v>2.0017900000000002</v>
      </c>
      <c r="AC100" s="3">
        <v>-5.8369299999999999E-2</v>
      </c>
      <c r="AD100" s="3">
        <v>-2.98175E-3</v>
      </c>
      <c r="AE100" s="3">
        <v>1.99796</v>
      </c>
      <c r="AF100" s="3">
        <v>2.0043199999999999</v>
      </c>
      <c r="AG100" s="3">
        <v>-8.8314900000000002E-2</v>
      </c>
      <c r="AH100" s="3">
        <v>-1.2332600000000001E-2</v>
      </c>
      <c r="AI100" s="7">
        <v>20.944462999999999</v>
      </c>
      <c r="AJ100" s="7">
        <v>59.676966</v>
      </c>
      <c r="AK100" s="3"/>
      <c r="AL100" s="6">
        <v>82.782264709000003</v>
      </c>
      <c r="AM100" s="6">
        <v>83.468025208</v>
      </c>
      <c r="AN100" s="6">
        <v>16.114702224999998</v>
      </c>
      <c r="AO100" s="6">
        <v>57.362098693999997</v>
      </c>
      <c r="AP100" s="6">
        <v>0</v>
      </c>
      <c r="AQ100" s="6">
        <v>0</v>
      </c>
      <c r="AR100" s="6">
        <v>2.5906314849999998</v>
      </c>
      <c r="AS100" s="6">
        <v>0.81279402970000003</v>
      </c>
      <c r="AT100" s="6">
        <v>0.20042675730000001</v>
      </c>
      <c r="AU100" s="6">
        <v>41.727333068999997</v>
      </c>
      <c r="AV100" s="6">
        <v>1.3324084281999999</v>
      </c>
      <c r="AW100" s="6">
        <v>6.0435190799999997E-2</v>
      </c>
      <c r="AX100" s="6">
        <v>0</v>
      </c>
      <c r="AY100" s="6">
        <v>0</v>
      </c>
      <c r="AZ100" s="6">
        <v>0</v>
      </c>
      <c r="BA100" s="6">
        <v>0</v>
      </c>
      <c r="BB100" s="6">
        <v>0</v>
      </c>
      <c r="BC100" s="6">
        <v>0</v>
      </c>
      <c r="BD100" s="6">
        <v>0</v>
      </c>
      <c r="BE100" s="6">
        <v>0</v>
      </c>
      <c r="BF100" s="6">
        <v>0</v>
      </c>
      <c r="BG100" s="6">
        <v>0</v>
      </c>
      <c r="BH100" s="6">
        <v>5.1568946838</v>
      </c>
      <c r="BI100" s="6">
        <v>0.99797463419999999</v>
      </c>
      <c r="BJ100" s="6">
        <v>42.028099060000002</v>
      </c>
      <c r="BK100" s="6">
        <v>2.6243205070000002</v>
      </c>
      <c r="BL100" s="6">
        <v>0</v>
      </c>
      <c r="BM100" s="6">
        <v>0</v>
      </c>
      <c r="BN100" s="6">
        <v>0</v>
      </c>
      <c r="BO100" s="6">
        <v>0</v>
      </c>
      <c r="BP100" s="6">
        <v>0</v>
      </c>
      <c r="BQ100" s="6">
        <v>0</v>
      </c>
      <c r="BR100" s="6">
        <v>0</v>
      </c>
      <c r="BS100" s="6">
        <v>0</v>
      </c>
      <c r="BT100" s="6">
        <v>0</v>
      </c>
      <c r="BU100" s="6">
        <v>0</v>
      </c>
      <c r="BV100" s="6">
        <v>0</v>
      </c>
      <c r="BW100" s="6">
        <v>0</v>
      </c>
      <c r="BX100" s="6">
        <v>0</v>
      </c>
      <c r="BY100" s="6">
        <v>0</v>
      </c>
      <c r="BZ100" s="6">
        <v>0</v>
      </c>
      <c r="CA100" s="6">
        <v>0</v>
      </c>
      <c r="CB100" s="6">
        <v>0</v>
      </c>
      <c r="CC100" s="6">
        <v>0</v>
      </c>
      <c r="CD100" s="6">
        <v>0</v>
      </c>
      <c r="CE100" s="6">
        <v>0</v>
      </c>
      <c r="CF100" s="6">
        <v>0</v>
      </c>
      <c r="CG100" s="6">
        <v>0</v>
      </c>
      <c r="CH100" s="6">
        <v>0</v>
      </c>
      <c r="CI100" s="6">
        <v>0</v>
      </c>
      <c r="CJ100" s="6">
        <v>0</v>
      </c>
      <c r="CK100" s="6">
        <v>0</v>
      </c>
      <c r="CL100" s="6">
        <v>0</v>
      </c>
      <c r="CM100" s="6">
        <v>0</v>
      </c>
      <c r="CN100" s="6">
        <v>0.29944607620000002</v>
      </c>
      <c r="CO100" s="6"/>
      <c r="CP100" s="6"/>
      <c r="CQ100" s="6"/>
      <c r="CR100" s="6"/>
      <c r="CS100" s="6"/>
      <c r="CT100" s="6"/>
      <c r="CU100" s="6"/>
      <c r="CV100" s="6"/>
      <c r="CW100" s="6"/>
      <c r="CX100" s="6"/>
      <c r="CY100" s="6"/>
      <c r="CZ100" s="6"/>
      <c r="DA100" s="6"/>
      <c r="DB100" s="6"/>
      <c r="DC100" s="6"/>
      <c r="DD100" s="6"/>
      <c r="DE100" s="6"/>
      <c r="DF100" s="6"/>
      <c r="DG100" s="6"/>
      <c r="DH100" s="6"/>
      <c r="DI100" s="6"/>
      <c r="DJ100" s="6"/>
      <c r="DK100" s="6"/>
      <c r="DL100" s="6"/>
      <c r="DM100" s="7">
        <v>2.1692347527</v>
      </c>
      <c r="DN100" s="7">
        <f t="shared" si="1"/>
        <v>99.999998673899995</v>
      </c>
      <c r="DO100" s="7"/>
      <c r="DP100" s="7">
        <v>1.04261506E-2</v>
      </c>
      <c r="DQ100" s="7">
        <v>2.5819909572999999</v>
      </c>
      <c r="DR100" s="7">
        <v>5.1396946906999998</v>
      </c>
      <c r="DS100" s="7">
        <v>0.81008303169999996</v>
      </c>
      <c r="DT100" s="7">
        <v>0.99464607240000003</v>
      </c>
      <c r="DU100" s="7">
        <v>0.19975827630000001</v>
      </c>
      <c r="DV100" s="7">
        <v>2.0517063141</v>
      </c>
      <c r="DW100" s="7">
        <v>4.6797327995</v>
      </c>
      <c r="DX100" s="7">
        <v>21.534130096399998</v>
      </c>
      <c r="DY100" s="7">
        <v>13.622352600099999</v>
      </c>
      <c r="DZ100" s="7">
        <v>41.588157653800003</v>
      </c>
      <c r="EA100" s="7">
        <v>2.0158042907999998</v>
      </c>
      <c r="EB100" s="7">
        <v>0.29844734070000001</v>
      </c>
      <c r="EC100" s="7">
        <v>1.2144325972000001</v>
      </c>
      <c r="ED100" s="7">
        <v>1.4011347294000001</v>
      </c>
      <c r="EE100" s="7">
        <v>1.3279643058999999</v>
      </c>
      <c r="EF100" s="7">
        <v>0.44706585999999998</v>
      </c>
      <c r="EG100" s="7">
        <v>6.0233615300000001E-2</v>
      </c>
      <c r="EH100" s="7">
        <v>2.22283993E-2</v>
      </c>
      <c r="EI100" s="152"/>
    </row>
    <row r="101" spans="1:139" s="2" customFormat="1">
      <c r="A101" s="4">
        <v>46129</v>
      </c>
      <c r="B101" s="5"/>
      <c r="C101" s="3">
        <v>5</v>
      </c>
      <c r="D101" s="90" t="s">
        <v>396</v>
      </c>
      <c r="E101" s="3">
        <v>229.9</v>
      </c>
      <c r="F101" s="3">
        <v>230</v>
      </c>
      <c r="G101" s="3">
        <v>24.0017</v>
      </c>
      <c r="H101" s="3">
        <v>23.995999999999999</v>
      </c>
      <c r="I101" s="3">
        <v>772.88199999999995</v>
      </c>
      <c r="J101" s="3">
        <v>771.70899999999995</v>
      </c>
      <c r="K101" s="3">
        <v>0</v>
      </c>
      <c r="L101" s="3">
        <v>0</v>
      </c>
      <c r="M101" s="3">
        <v>772.12599999999998</v>
      </c>
      <c r="N101" s="3">
        <v>772.22900000000004</v>
      </c>
      <c r="O101" s="3">
        <v>0</v>
      </c>
      <c r="P101" s="3">
        <v>0</v>
      </c>
      <c r="Q101" s="3">
        <v>0.123062</v>
      </c>
      <c r="R101" s="3">
        <v>2000.29</v>
      </c>
      <c r="S101" s="3">
        <v>1999.73</v>
      </c>
      <c r="T101" s="3">
        <v>0</v>
      </c>
      <c r="U101" s="3">
        <v>0</v>
      </c>
      <c r="V101" s="3">
        <v>2000.23</v>
      </c>
      <c r="W101" s="3">
        <v>1999.23</v>
      </c>
      <c r="X101" s="3">
        <v>0</v>
      </c>
      <c r="Y101" s="3">
        <v>0</v>
      </c>
      <c r="Z101" s="3">
        <v>220</v>
      </c>
      <c r="AA101" s="3">
        <v>1.99671</v>
      </c>
      <c r="AB101" s="3">
        <v>1.9976499999999999</v>
      </c>
      <c r="AC101" s="3">
        <v>-9.0416499999999997E-2</v>
      </c>
      <c r="AD101" s="3">
        <v>-1.88763E-3</v>
      </c>
      <c r="AE101" s="3">
        <v>2.0007600000000001</v>
      </c>
      <c r="AF101" s="3">
        <v>2.00047</v>
      </c>
      <c r="AG101" s="3">
        <v>-0.41078100000000001</v>
      </c>
      <c r="AH101" s="3">
        <v>-4.7534800000000002E-2</v>
      </c>
      <c r="AI101" s="7">
        <v>23.036390000000001</v>
      </c>
      <c r="AJ101" s="7">
        <v>58.432172999999999</v>
      </c>
      <c r="AK101" s="3"/>
      <c r="AL101" s="6">
        <v>88.508071899000001</v>
      </c>
      <c r="AM101" s="6">
        <v>83.613662719999994</v>
      </c>
      <c r="AN101" s="6">
        <v>16.282636643</v>
      </c>
      <c r="AO101" s="6">
        <v>23.970333099000001</v>
      </c>
      <c r="AP101" s="6">
        <v>0</v>
      </c>
      <c r="AQ101" s="6">
        <v>0</v>
      </c>
      <c r="AR101" s="6">
        <v>8.1077510000000005E-4</v>
      </c>
      <c r="AS101" s="6">
        <v>0</v>
      </c>
      <c r="AT101" s="6">
        <v>6.7035689999999997E-4</v>
      </c>
      <c r="AU101" s="280">
        <v>84.152206421000002</v>
      </c>
      <c r="AV101" s="280">
        <v>9.8066577910999992</v>
      </c>
      <c r="AW101" s="280">
        <v>4.8731751442000002</v>
      </c>
      <c r="AX101" s="6">
        <v>0</v>
      </c>
      <c r="AY101" s="6">
        <v>0</v>
      </c>
      <c r="AZ101" s="6">
        <v>0</v>
      </c>
      <c r="BA101" s="6">
        <v>0</v>
      </c>
      <c r="BB101" s="6">
        <v>0</v>
      </c>
      <c r="BC101" s="6">
        <v>0</v>
      </c>
      <c r="BD101" s="6">
        <v>0</v>
      </c>
      <c r="BE101" s="6">
        <v>0</v>
      </c>
      <c r="BF101" s="6">
        <v>0</v>
      </c>
      <c r="BG101" s="6">
        <v>0</v>
      </c>
      <c r="BH101" s="6">
        <v>1.4802297E-3</v>
      </c>
      <c r="BI101" s="6">
        <v>0</v>
      </c>
      <c r="BJ101" s="6">
        <v>0.41943120960000002</v>
      </c>
      <c r="BK101" s="6">
        <v>0</v>
      </c>
      <c r="BL101" s="6">
        <v>0</v>
      </c>
      <c r="BM101" s="6">
        <v>0</v>
      </c>
      <c r="BN101" s="6">
        <v>0</v>
      </c>
      <c r="BO101" s="6">
        <v>0</v>
      </c>
      <c r="BP101" s="6">
        <v>0</v>
      </c>
      <c r="BQ101" s="6">
        <v>0</v>
      </c>
      <c r="BR101" s="6">
        <v>0</v>
      </c>
      <c r="BS101" s="6">
        <v>0</v>
      </c>
      <c r="BT101" s="6">
        <v>0</v>
      </c>
      <c r="BU101" s="6">
        <v>0</v>
      </c>
      <c r="BV101" s="6">
        <v>0</v>
      </c>
      <c r="BW101" s="6">
        <v>0</v>
      </c>
      <c r="BX101" s="6">
        <v>0</v>
      </c>
      <c r="BY101" s="6">
        <v>0</v>
      </c>
      <c r="BZ101" s="6">
        <v>0</v>
      </c>
      <c r="CA101" s="6">
        <v>0</v>
      </c>
      <c r="CB101" s="6">
        <v>0</v>
      </c>
      <c r="CC101" s="6">
        <v>0</v>
      </c>
      <c r="CD101" s="6">
        <v>0</v>
      </c>
      <c r="CE101" s="6">
        <v>0</v>
      </c>
      <c r="CF101" s="6">
        <v>0</v>
      </c>
      <c r="CG101" s="6">
        <v>0</v>
      </c>
      <c r="CH101" s="6">
        <v>0</v>
      </c>
      <c r="CI101" s="6">
        <v>0</v>
      </c>
      <c r="CJ101" s="6">
        <v>0</v>
      </c>
      <c r="CK101" s="6">
        <v>0</v>
      </c>
      <c r="CL101" s="6">
        <v>0</v>
      </c>
      <c r="CM101" s="6">
        <v>0</v>
      </c>
      <c r="CN101" s="6">
        <v>0.56188750269999999</v>
      </c>
      <c r="CO101" s="6"/>
      <c r="CP101" s="6"/>
      <c r="CQ101" s="6"/>
      <c r="CR101" s="6"/>
      <c r="CS101" s="6"/>
      <c r="CT101" s="6"/>
      <c r="CU101" s="6"/>
      <c r="CV101" s="6"/>
      <c r="CW101" s="6"/>
      <c r="CX101" s="6"/>
      <c r="CY101" s="6"/>
      <c r="CZ101" s="6"/>
      <c r="DA101" s="6"/>
      <c r="DB101" s="6"/>
      <c r="DC101" s="6"/>
      <c r="DD101" s="6"/>
      <c r="DE101" s="6"/>
      <c r="DF101" s="6"/>
      <c r="DG101" s="6"/>
      <c r="DH101" s="6"/>
      <c r="DI101" s="6"/>
      <c r="DJ101" s="6"/>
      <c r="DK101" s="6"/>
      <c r="DL101" s="6"/>
      <c r="DM101" s="7">
        <v>0.1836761385</v>
      </c>
      <c r="DN101" s="7">
        <f t="shared" si="1"/>
        <v>99.999995568800003</v>
      </c>
      <c r="DO101" s="7"/>
      <c r="DP101" s="7">
        <v>8.1093810000000001E-4</v>
      </c>
      <c r="DQ101" s="7">
        <v>1.4805271E-3</v>
      </c>
      <c r="DR101" s="7">
        <v>6.7049160000000004E-4</v>
      </c>
      <c r="DS101" s="7">
        <v>1.9807313E-3</v>
      </c>
      <c r="DT101" s="7">
        <v>4.0666498199999998E-2</v>
      </c>
      <c r="DU101" s="7">
        <v>0.37686827779999998</v>
      </c>
      <c r="DV101" s="7">
        <v>84.169113159199995</v>
      </c>
      <c r="DW101" s="7">
        <v>0.56200045350000005</v>
      </c>
      <c r="DX101" s="7">
        <v>1.01500154E-2</v>
      </c>
      <c r="DY101" s="7">
        <v>9.8086290358999992</v>
      </c>
      <c r="DZ101" s="7">
        <v>0.13524566590000001</v>
      </c>
      <c r="EA101" s="7">
        <v>4.8741545676999998</v>
      </c>
      <c r="EB101" s="7">
        <v>1.82169732E-2</v>
      </c>
      <c r="EC101" s="7"/>
      <c r="ED101" s="7"/>
      <c r="EE101" s="7"/>
      <c r="EF101" s="7"/>
      <c r="EG101" s="7"/>
      <c r="EH101" s="7"/>
      <c r="EI101" s="152"/>
    </row>
    <row r="102" spans="1:139" s="2" customFormat="1">
      <c r="A102" s="4">
        <v>46129</v>
      </c>
      <c r="B102" s="5"/>
      <c r="C102" s="3">
        <v>6</v>
      </c>
      <c r="D102" s="90" t="s">
        <v>397</v>
      </c>
      <c r="E102" s="3">
        <v>230</v>
      </c>
      <c r="F102" s="3">
        <v>230</v>
      </c>
      <c r="G102" s="3">
        <v>24.0032</v>
      </c>
      <c r="H102" s="3">
        <v>24.0075</v>
      </c>
      <c r="I102" s="3">
        <v>705.56399999999996</v>
      </c>
      <c r="J102" s="3">
        <v>694.92399999999998</v>
      </c>
      <c r="K102" s="3">
        <v>0</v>
      </c>
      <c r="L102" s="3">
        <v>0</v>
      </c>
      <c r="M102" s="3">
        <v>698.79700000000003</v>
      </c>
      <c r="N102" s="3">
        <v>707.30200000000002</v>
      </c>
      <c r="O102" s="3">
        <v>0</v>
      </c>
      <c r="P102" s="3">
        <v>0</v>
      </c>
      <c r="Q102" s="3">
        <v>0.148289</v>
      </c>
      <c r="R102" s="3">
        <v>1999.98</v>
      </c>
      <c r="S102" s="3">
        <v>1999.98</v>
      </c>
      <c r="T102" s="3">
        <v>0</v>
      </c>
      <c r="U102" s="3">
        <v>0</v>
      </c>
      <c r="V102" s="3">
        <v>1999.61</v>
      </c>
      <c r="W102" s="3">
        <v>2000.68</v>
      </c>
      <c r="X102" s="3">
        <v>0</v>
      </c>
      <c r="Y102" s="3">
        <v>0</v>
      </c>
      <c r="Z102" s="3">
        <v>220</v>
      </c>
      <c r="AA102" s="3">
        <v>2.0009299999999999</v>
      </c>
      <c r="AB102" s="3">
        <v>1.9969399999999999</v>
      </c>
      <c r="AC102" s="3">
        <v>-7.0788400000000001E-2</v>
      </c>
      <c r="AD102" s="3">
        <v>-3.0013800000000001E-3</v>
      </c>
      <c r="AE102" s="3">
        <v>1.9996799999999999</v>
      </c>
      <c r="AF102" s="3">
        <v>2.0011199999999998</v>
      </c>
      <c r="AG102" s="3">
        <v>-0.26077600000000001</v>
      </c>
      <c r="AH102" s="3">
        <v>-3.6808500000000001E-2</v>
      </c>
      <c r="AI102" s="7">
        <v>20.760818</v>
      </c>
      <c r="AJ102" s="7">
        <v>59.443874000000001</v>
      </c>
      <c r="AK102" s="3"/>
      <c r="AL102" s="6">
        <v>81.370285034000005</v>
      </c>
      <c r="AM102" s="6">
        <v>83.431434631000002</v>
      </c>
      <c r="AN102" s="6">
        <v>16.231758117999998</v>
      </c>
      <c r="AO102" s="6">
        <v>66.521041870000005</v>
      </c>
      <c r="AP102" s="6">
        <v>0</v>
      </c>
      <c r="AQ102" s="6">
        <v>0</v>
      </c>
      <c r="AR102" s="6">
        <v>3.3984458446999999</v>
      </c>
      <c r="AS102" s="6">
        <v>0.90925860400000003</v>
      </c>
      <c r="AT102" s="6">
        <v>0.2413241267</v>
      </c>
      <c r="AU102" s="6">
        <v>28.857826233000001</v>
      </c>
      <c r="AV102" s="6">
        <v>0.6295154691</v>
      </c>
      <c r="AW102" s="6">
        <v>1.32731069E-2</v>
      </c>
      <c r="AX102" s="6">
        <v>0</v>
      </c>
      <c r="AY102" s="6">
        <v>0</v>
      </c>
      <c r="AZ102" s="6">
        <v>0</v>
      </c>
      <c r="BA102" s="6">
        <v>0</v>
      </c>
      <c r="BB102" s="6">
        <v>0</v>
      </c>
      <c r="BC102" s="6">
        <v>0</v>
      </c>
      <c r="BD102" s="6">
        <v>0</v>
      </c>
      <c r="BE102" s="6">
        <v>0</v>
      </c>
      <c r="BF102" s="6">
        <v>0</v>
      </c>
      <c r="BG102" s="6">
        <v>0</v>
      </c>
      <c r="BH102" s="6">
        <v>6.2641324996999996</v>
      </c>
      <c r="BI102" s="6">
        <v>1.0500346422</v>
      </c>
      <c r="BJ102" s="6">
        <v>54.814163207999997</v>
      </c>
      <c r="BK102" s="6">
        <v>1.8747987746999999</v>
      </c>
      <c r="BL102" s="6">
        <v>0</v>
      </c>
      <c r="BM102" s="6">
        <v>0</v>
      </c>
      <c r="BN102" s="6">
        <v>0</v>
      </c>
      <c r="BO102" s="6">
        <v>0</v>
      </c>
      <c r="BP102" s="6">
        <v>0</v>
      </c>
      <c r="BQ102" s="6">
        <v>0</v>
      </c>
      <c r="BR102" s="6">
        <v>0</v>
      </c>
      <c r="BS102" s="6">
        <v>0</v>
      </c>
      <c r="BT102" s="6">
        <v>0</v>
      </c>
      <c r="BU102" s="6">
        <v>0</v>
      </c>
      <c r="BV102" s="6">
        <v>0</v>
      </c>
      <c r="BW102" s="6">
        <v>0</v>
      </c>
      <c r="BX102" s="6">
        <v>0</v>
      </c>
      <c r="BY102" s="6">
        <v>0</v>
      </c>
      <c r="BZ102" s="6">
        <v>0</v>
      </c>
      <c r="CA102" s="6">
        <v>0</v>
      </c>
      <c r="CB102" s="6">
        <v>0</v>
      </c>
      <c r="CC102" s="6">
        <v>0</v>
      </c>
      <c r="CD102" s="6">
        <v>0</v>
      </c>
      <c r="CE102" s="6">
        <v>0</v>
      </c>
      <c r="CF102" s="6">
        <v>0</v>
      </c>
      <c r="CG102" s="6">
        <v>0</v>
      </c>
      <c r="CH102" s="6">
        <v>0</v>
      </c>
      <c r="CI102" s="6">
        <v>0</v>
      </c>
      <c r="CJ102" s="6">
        <v>0</v>
      </c>
      <c r="CK102" s="6">
        <v>0</v>
      </c>
      <c r="CL102" s="6">
        <v>0</v>
      </c>
      <c r="CM102" s="6">
        <v>0</v>
      </c>
      <c r="CN102" s="6">
        <v>0.29890653490000002</v>
      </c>
      <c r="CO102" s="6"/>
      <c r="CP102" s="6"/>
      <c r="CQ102" s="6"/>
      <c r="CR102" s="6"/>
      <c r="CS102" s="6"/>
      <c r="CT102" s="6"/>
      <c r="CU102" s="6"/>
      <c r="CV102" s="6"/>
      <c r="CW102" s="6"/>
      <c r="CX102" s="6"/>
      <c r="CY102" s="6"/>
      <c r="CZ102" s="6"/>
      <c r="DA102" s="6"/>
      <c r="DB102" s="6"/>
      <c r="DC102" s="6"/>
      <c r="DD102" s="6"/>
      <c r="DE102" s="6"/>
      <c r="DF102" s="6"/>
      <c r="DG102" s="6"/>
      <c r="DH102" s="6"/>
      <c r="DI102" s="6"/>
      <c r="DJ102" s="6"/>
      <c r="DK102" s="6"/>
      <c r="DL102" s="6"/>
      <c r="DM102" s="7">
        <v>1.6483075619000001</v>
      </c>
      <c r="DN102" s="7">
        <f t="shared" si="1"/>
        <v>99.99998660579999</v>
      </c>
      <c r="DO102" s="7"/>
      <c r="DP102" s="7">
        <v>1.8964430300000001E-2</v>
      </c>
      <c r="DQ102" s="7">
        <v>3.3878850937</v>
      </c>
      <c r="DR102" s="7">
        <v>6.2446665764000002</v>
      </c>
      <c r="DS102" s="7">
        <v>0.90643298630000002</v>
      </c>
      <c r="DT102" s="7">
        <v>1.0467716455</v>
      </c>
      <c r="DU102" s="7">
        <v>0.24057419599999999</v>
      </c>
      <c r="DV102" s="7">
        <v>3.3691999911999999</v>
      </c>
      <c r="DW102" s="7">
        <v>6.6042256354999997</v>
      </c>
      <c r="DX102" s="7">
        <v>27.285257339499999</v>
      </c>
      <c r="DY102" s="7">
        <v>17.385141372700001</v>
      </c>
      <c r="DZ102" s="7">
        <v>28.768150329600001</v>
      </c>
      <c r="EA102" s="7">
        <v>1.7203065156999999</v>
      </c>
      <c r="EB102" s="7">
        <v>0.29797768590000001</v>
      </c>
      <c r="EC102" s="7">
        <v>0.87349867820000004</v>
      </c>
      <c r="ED102" s="7">
        <v>0.99547398090000005</v>
      </c>
      <c r="EE102" s="7">
        <v>0.62755924460000001</v>
      </c>
      <c r="EF102" s="7">
        <v>0.1988157928</v>
      </c>
      <c r="EG102" s="7">
        <v>1.32318595E-2</v>
      </c>
      <c r="EH102" s="7">
        <v>1.58562828E-2</v>
      </c>
      <c r="EI102" s="152"/>
    </row>
    <row r="103" spans="1:139" s="2" customFormat="1">
      <c r="A103" s="4">
        <v>46129</v>
      </c>
      <c r="B103" s="5"/>
      <c r="C103" s="3">
        <v>1</v>
      </c>
      <c r="D103" s="90" t="s">
        <v>398</v>
      </c>
      <c r="E103" s="3">
        <v>230</v>
      </c>
      <c r="F103" s="3">
        <v>230</v>
      </c>
      <c r="G103" s="3">
        <v>24.009</v>
      </c>
      <c r="H103" s="3">
        <v>24.000299999999999</v>
      </c>
      <c r="I103" s="3">
        <v>731.45600000000002</v>
      </c>
      <c r="J103" s="3">
        <v>728.21500000000003</v>
      </c>
      <c r="K103" s="3">
        <v>0</v>
      </c>
      <c r="L103" s="3">
        <v>0</v>
      </c>
      <c r="M103" s="3">
        <v>728.99800000000005</v>
      </c>
      <c r="N103" s="3">
        <v>732.21500000000003</v>
      </c>
      <c r="O103" s="3">
        <v>0</v>
      </c>
      <c r="P103" s="3">
        <v>0</v>
      </c>
      <c r="Q103" s="3">
        <v>0.11372400000000001</v>
      </c>
      <c r="R103" s="3">
        <v>1999.37</v>
      </c>
      <c r="S103" s="3">
        <v>1999.84</v>
      </c>
      <c r="T103" s="3">
        <v>0</v>
      </c>
      <c r="U103" s="3">
        <v>0</v>
      </c>
      <c r="V103" s="3">
        <v>1999.94</v>
      </c>
      <c r="W103" s="3">
        <v>1999.51</v>
      </c>
      <c r="X103" s="3">
        <v>0</v>
      </c>
      <c r="Y103" s="3">
        <v>0</v>
      </c>
      <c r="Z103" s="3">
        <v>220</v>
      </c>
      <c r="AA103" s="3">
        <v>2.0006900000000001</v>
      </c>
      <c r="AB103" s="3">
        <v>1.9990399999999999</v>
      </c>
      <c r="AC103" s="3">
        <v>-5.8500700000000003E-2</v>
      </c>
      <c r="AD103" s="3">
        <v>-3.6268299999999998E-4</v>
      </c>
      <c r="AE103" s="3">
        <v>2.00177</v>
      </c>
      <c r="AF103" s="3">
        <v>1.99902</v>
      </c>
      <c r="AG103" s="3">
        <v>-0.172988</v>
      </c>
      <c r="AH103" s="3">
        <v>-1.8785099999999999E-2</v>
      </c>
      <c r="AI103" s="7">
        <v>23.216075</v>
      </c>
      <c r="AJ103" s="7">
        <v>58.427683000000002</v>
      </c>
      <c r="AK103" s="3"/>
      <c r="AL103" s="6">
        <v>82.897010803000001</v>
      </c>
      <c r="AM103" s="6">
        <v>83.470497131000002</v>
      </c>
      <c r="AN103" s="6">
        <v>16.099933623999998</v>
      </c>
      <c r="AO103" s="6">
        <v>57.978275299000003</v>
      </c>
      <c r="AP103" s="6">
        <v>0</v>
      </c>
      <c r="AQ103" s="6">
        <v>0</v>
      </c>
      <c r="AR103" s="6">
        <v>2.5439560413</v>
      </c>
      <c r="AS103" s="6">
        <v>0.82019972799999996</v>
      </c>
      <c r="AT103" s="6">
        <v>0.1844735146</v>
      </c>
      <c r="AU103" s="6">
        <v>40.366580962999997</v>
      </c>
      <c r="AV103" s="6">
        <v>1.2613334655999999</v>
      </c>
      <c r="AW103" s="6">
        <v>5.68285361E-2</v>
      </c>
      <c r="AX103" s="6">
        <v>0</v>
      </c>
      <c r="AY103" s="6">
        <v>0</v>
      </c>
      <c r="AZ103" s="6">
        <v>0</v>
      </c>
      <c r="BA103" s="6">
        <v>0</v>
      </c>
      <c r="BB103" s="6">
        <v>0</v>
      </c>
      <c r="BC103" s="6">
        <v>0</v>
      </c>
      <c r="BD103" s="6">
        <v>0</v>
      </c>
      <c r="BE103" s="6">
        <v>0</v>
      </c>
      <c r="BF103" s="6">
        <v>0</v>
      </c>
      <c r="BG103" s="6">
        <v>0</v>
      </c>
      <c r="BH103" s="6">
        <v>5.0430135726999996</v>
      </c>
      <c r="BI103" s="6">
        <v>0.96397215130000002</v>
      </c>
      <c r="BJ103" s="6">
        <v>43.447746277</v>
      </c>
      <c r="BK103" s="6">
        <v>2.7527050971999998</v>
      </c>
      <c r="BL103" s="6">
        <v>0</v>
      </c>
      <c r="BM103" s="6">
        <v>0</v>
      </c>
      <c r="BN103" s="6">
        <v>0</v>
      </c>
      <c r="BO103" s="6">
        <v>0</v>
      </c>
      <c r="BP103" s="6">
        <v>0</v>
      </c>
      <c r="BQ103" s="6">
        <v>0</v>
      </c>
      <c r="BR103" s="6">
        <v>0</v>
      </c>
      <c r="BS103" s="6">
        <v>0</v>
      </c>
      <c r="BT103" s="6">
        <v>0</v>
      </c>
      <c r="BU103" s="6">
        <v>0</v>
      </c>
      <c r="BV103" s="6">
        <v>0</v>
      </c>
      <c r="BW103" s="6">
        <v>0</v>
      </c>
      <c r="BX103" s="6">
        <v>0</v>
      </c>
      <c r="BY103" s="6">
        <v>0</v>
      </c>
      <c r="BZ103" s="6">
        <v>0</v>
      </c>
      <c r="CA103" s="6">
        <v>0</v>
      </c>
      <c r="CB103" s="6">
        <v>0</v>
      </c>
      <c r="CC103" s="6">
        <v>0</v>
      </c>
      <c r="CD103" s="6">
        <v>0</v>
      </c>
      <c r="CE103" s="6">
        <v>0</v>
      </c>
      <c r="CF103" s="6">
        <v>0</v>
      </c>
      <c r="CG103" s="6">
        <v>0</v>
      </c>
      <c r="CH103" s="6">
        <v>0</v>
      </c>
      <c r="CI103" s="6">
        <v>0</v>
      </c>
      <c r="CJ103" s="6">
        <v>0</v>
      </c>
      <c r="CK103" s="6">
        <v>0</v>
      </c>
      <c r="CL103" s="6">
        <v>0</v>
      </c>
      <c r="CM103" s="6">
        <v>0</v>
      </c>
      <c r="CN103" s="6">
        <v>0.31553626060000001</v>
      </c>
      <c r="CO103" s="6"/>
      <c r="CP103" s="6"/>
      <c r="CQ103" s="6"/>
      <c r="CR103" s="6"/>
      <c r="CS103" s="6"/>
      <c r="CT103" s="6"/>
      <c r="CU103" s="6"/>
      <c r="CV103" s="6"/>
      <c r="CW103" s="6"/>
      <c r="CX103" s="6"/>
      <c r="CY103" s="6"/>
      <c r="CZ103" s="6"/>
      <c r="DA103" s="6"/>
      <c r="DB103" s="6"/>
      <c r="DC103" s="6"/>
      <c r="DD103" s="6"/>
      <c r="DE103" s="6"/>
      <c r="DF103" s="6"/>
      <c r="DG103" s="6"/>
      <c r="DH103" s="6"/>
      <c r="DI103" s="6"/>
      <c r="DJ103" s="6"/>
      <c r="DK103" s="6"/>
      <c r="DL103" s="6"/>
      <c r="DM103" s="7">
        <v>2.2436614037</v>
      </c>
      <c r="DN103" s="7">
        <f t="shared" si="1"/>
        <v>100.0000070111</v>
      </c>
      <c r="DO103" s="7"/>
      <c r="DP103" s="7">
        <v>1.17215989E-2</v>
      </c>
      <c r="DQ103" s="7">
        <v>2.5349137783</v>
      </c>
      <c r="DR103" s="7">
        <v>5.0250887870999996</v>
      </c>
      <c r="DS103" s="7">
        <v>0.81728440520000001</v>
      </c>
      <c r="DT103" s="7">
        <v>0.96054583790000003</v>
      </c>
      <c r="DU103" s="7">
        <v>0.1838178188</v>
      </c>
      <c r="DV103" s="7">
        <v>2.1508631706000001</v>
      </c>
      <c r="DW103" s="7">
        <v>4.7548513412000002</v>
      </c>
      <c r="DX103" s="7">
        <v>22.264488220200001</v>
      </c>
      <c r="DY103" s="7">
        <v>14.123113632200001</v>
      </c>
      <c r="DZ103" s="7">
        <v>40.223102569600002</v>
      </c>
      <c r="EA103" s="7">
        <v>2.1193342208999999</v>
      </c>
      <c r="EB103" s="7">
        <v>0.31441470980000003</v>
      </c>
      <c r="EC103" s="7">
        <v>1.2935571670999999</v>
      </c>
      <c r="ED103" s="7">
        <v>1.4493637085</v>
      </c>
      <c r="EE103" s="7">
        <v>1.2568501234</v>
      </c>
      <c r="EF103" s="7">
        <v>0.44212874769999999</v>
      </c>
      <c r="EG103" s="7">
        <v>5.66265434E-2</v>
      </c>
      <c r="EH103" s="7">
        <v>1.7914690099999998E-2</v>
      </c>
      <c r="EI103" s="152"/>
    </row>
    <row r="104" spans="1:139" s="2" customFormat="1">
      <c r="A104" s="4">
        <v>46129</v>
      </c>
      <c r="B104" s="5"/>
      <c r="C104" s="3">
        <v>2</v>
      </c>
      <c r="D104" s="90" t="s">
        <v>399</v>
      </c>
      <c r="E104" s="3">
        <v>230</v>
      </c>
      <c r="F104" s="3">
        <v>230</v>
      </c>
      <c r="G104" s="3">
        <v>24.009</v>
      </c>
      <c r="H104" s="3">
        <v>24.0061</v>
      </c>
      <c r="I104" s="3">
        <v>809.18</v>
      </c>
      <c r="J104" s="3">
        <v>800.54</v>
      </c>
      <c r="K104" s="3">
        <v>0</v>
      </c>
      <c r="L104" s="3">
        <v>0</v>
      </c>
      <c r="M104" s="3">
        <v>805.096</v>
      </c>
      <c r="N104" s="3">
        <v>811.57899999999995</v>
      </c>
      <c r="O104" s="3">
        <v>0</v>
      </c>
      <c r="P104" s="3">
        <v>0</v>
      </c>
      <c r="Q104" s="3">
        <v>0.26269799999999999</v>
      </c>
      <c r="R104" s="3">
        <v>2000.27</v>
      </c>
      <c r="S104" s="3">
        <v>2000.3</v>
      </c>
      <c r="T104" s="3">
        <v>0</v>
      </c>
      <c r="U104" s="3">
        <v>0</v>
      </c>
      <c r="V104" s="3">
        <v>1999.97</v>
      </c>
      <c r="W104" s="3">
        <v>2000.63</v>
      </c>
      <c r="X104" s="3">
        <v>0</v>
      </c>
      <c r="Y104" s="3">
        <v>0</v>
      </c>
      <c r="Z104" s="3">
        <v>220</v>
      </c>
      <c r="AA104" s="3">
        <v>1.99844</v>
      </c>
      <c r="AB104" s="3">
        <v>1.9973399999999999</v>
      </c>
      <c r="AC104" s="3">
        <v>-6.6071299999999999E-2</v>
      </c>
      <c r="AD104" s="3">
        <v>-2.7144999999999999E-3</v>
      </c>
      <c r="AE104" s="3">
        <v>2.00034</v>
      </c>
      <c r="AF104" s="3">
        <v>2.0011399999999999</v>
      </c>
      <c r="AG104" s="3">
        <v>-0.17962700000000001</v>
      </c>
      <c r="AH104" s="3">
        <v>-0.13567899999999999</v>
      </c>
      <c r="AI104" s="7">
        <v>20.920845</v>
      </c>
      <c r="AJ104" s="7">
        <v>59.632831000000003</v>
      </c>
      <c r="AK104" s="3"/>
      <c r="AL104" s="6">
        <v>82.738235474000007</v>
      </c>
      <c r="AM104" s="6">
        <v>83.466964722</v>
      </c>
      <c r="AN104" s="6">
        <v>16.123491287</v>
      </c>
      <c r="AO104" s="6">
        <v>57.35226059</v>
      </c>
      <c r="AP104" s="6">
        <v>0</v>
      </c>
      <c r="AQ104" s="6">
        <v>0</v>
      </c>
      <c r="AR104" s="6">
        <v>2.6085023879999998</v>
      </c>
      <c r="AS104" s="6">
        <v>0.81622785330000003</v>
      </c>
      <c r="AT104" s="6">
        <v>0.20204804840000001</v>
      </c>
      <c r="AU104" s="6">
        <v>41.860923767000003</v>
      </c>
      <c r="AV104" s="6">
        <v>1.3411478995999999</v>
      </c>
      <c r="AW104" s="6">
        <v>6.0285188300000001E-2</v>
      </c>
      <c r="AX104" s="6">
        <v>0</v>
      </c>
      <c r="AY104" s="6">
        <v>0</v>
      </c>
      <c r="AZ104" s="6">
        <v>0</v>
      </c>
      <c r="BA104" s="6">
        <v>0</v>
      </c>
      <c r="BB104" s="6">
        <v>0</v>
      </c>
      <c r="BC104" s="6">
        <v>0</v>
      </c>
      <c r="BD104" s="6">
        <v>0</v>
      </c>
      <c r="BE104" s="6">
        <v>0</v>
      </c>
      <c r="BF104" s="6">
        <v>0</v>
      </c>
      <c r="BG104" s="6">
        <v>0</v>
      </c>
      <c r="BH104" s="6">
        <v>5.1847119331</v>
      </c>
      <c r="BI104" s="6">
        <v>0.9986406565</v>
      </c>
      <c r="BJ104" s="6">
        <v>41.913249970000003</v>
      </c>
      <c r="BK104" s="6">
        <v>2.600032568</v>
      </c>
      <c r="BL104" s="6">
        <v>0</v>
      </c>
      <c r="BM104" s="6">
        <v>0</v>
      </c>
      <c r="BN104" s="6">
        <v>0</v>
      </c>
      <c r="BO104" s="6">
        <v>0</v>
      </c>
      <c r="BP104" s="6">
        <v>0</v>
      </c>
      <c r="BQ104" s="6">
        <v>0</v>
      </c>
      <c r="BR104" s="6">
        <v>0</v>
      </c>
      <c r="BS104" s="6">
        <v>0</v>
      </c>
      <c r="BT104" s="6">
        <v>0</v>
      </c>
      <c r="BU104" s="6">
        <v>0</v>
      </c>
      <c r="BV104" s="6">
        <v>0</v>
      </c>
      <c r="BW104" s="6">
        <v>0</v>
      </c>
      <c r="BX104" s="6">
        <v>0</v>
      </c>
      <c r="BY104" s="6">
        <v>0</v>
      </c>
      <c r="BZ104" s="6">
        <v>0</v>
      </c>
      <c r="CA104" s="6">
        <v>0</v>
      </c>
      <c r="CB104" s="6">
        <v>0</v>
      </c>
      <c r="CC104" s="6">
        <v>0</v>
      </c>
      <c r="CD104" s="6">
        <v>0</v>
      </c>
      <c r="CE104" s="6">
        <v>0</v>
      </c>
      <c r="CF104" s="6">
        <v>0</v>
      </c>
      <c r="CG104" s="6">
        <v>0</v>
      </c>
      <c r="CH104" s="6">
        <v>0</v>
      </c>
      <c r="CI104" s="6">
        <v>0</v>
      </c>
      <c r="CJ104" s="6">
        <v>0</v>
      </c>
      <c r="CK104" s="6">
        <v>0</v>
      </c>
      <c r="CL104" s="6">
        <v>0</v>
      </c>
      <c r="CM104" s="6">
        <v>0</v>
      </c>
      <c r="CN104" s="6">
        <v>0.29370644689999997</v>
      </c>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7">
        <v>2.1204946041000001</v>
      </c>
      <c r="DN104" s="7">
        <f t="shared" si="1"/>
        <v>99.999971323200015</v>
      </c>
      <c r="DO104" s="7"/>
      <c r="DP104" s="7">
        <v>1.07403155E-2</v>
      </c>
      <c r="DQ104" s="7">
        <v>2.6000614166</v>
      </c>
      <c r="DR104" s="7">
        <v>5.1679344176999997</v>
      </c>
      <c r="DS104" s="7">
        <v>0.8135865927</v>
      </c>
      <c r="DT104" s="7">
        <v>0.99540907140000001</v>
      </c>
      <c r="DU104" s="7">
        <v>0.20139423009999999</v>
      </c>
      <c r="DV104" s="7">
        <v>2.0453515053000002</v>
      </c>
      <c r="DW104" s="7">
        <v>4.6929092406999997</v>
      </c>
      <c r="DX104" s="7">
        <v>21.4726104736</v>
      </c>
      <c r="DY104" s="7">
        <v>13.5667505264</v>
      </c>
      <c r="DZ104" s="7">
        <v>41.725463867199998</v>
      </c>
      <c r="EA104" s="7">
        <v>1.9624121188999999</v>
      </c>
      <c r="EB104" s="7">
        <v>0.2927560508</v>
      </c>
      <c r="EC104" s="7">
        <v>1.2010345459</v>
      </c>
      <c r="ED104" s="7">
        <v>1.3905844688</v>
      </c>
      <c r="EE104" s="7">
        <v>1.3368079662000001</v>
      </c>
      <c r="EF104" s="7">
        <v>0.44194641709999999</v>
      </c>
      <c r="EG104" s="7">
        <v>6.0090109699999998E-2</v>
      </c>
      <c r="EH104" s="7">
        <v>2.2144014E-2</v>
      </c>
      <c r="EI104" s="152"/>
    </row>
    <row r="105" spans="1:139" s="2" customFormat="1">
      <c r="A105" s="4">
        <v>46129</v>
      </c>
      <c r="B105" s="5"/>
      <c r="C105" s="3">
        <v>5</v>
      </c>
      <c r="D105" s="90" t="s">
        <v>400</v>
      </c>
      <c r="E105" s="3">
        <v>230</v>
      </c>
      <c r="F105" s="3">
        <v>230</v>
      </c>
      <c r="G105" s="3">
        <v>23.985800000000001</v>
      </c>
      <c r="H105" s="3">
        <v>24.0017</v>
      </c>
      <c r="I105" s="3">
        <v>710.16399999999999</v>
      </c>
      <c r="J105" s="3">
        <v>708.83199999999999</v>
      </c>
      <c r="K105" s="3">
        <v>0</v>
      </c>
      <c r="L105" s="3">
        <v>0</v>
      </c>
      <c r="M105" s="3">
        <v>709.745</v>
      </c>
      <c r="N105" s="3">
        <v>710.92499999999995</v>
      </c>
      <c r="O105" s="3">
        <v>0</v>
      </c>
      <c r="P105" s="3">
        <v>0</v>
      </c>
      <c r="Q105" s="3">
        <v>0.15354100000000001</v>
      </c>
      <c r="R105" s="3">
        <v>1999.59</v>
      </c>
      <c r="S105" s="3">
        <v>1999.42</v>
      </c>
      <c r="T105" s="3">
        <v>0</v>
      </c>
      <c r="U105" s="3">
        <v>0</v>
      </c>
      <c r="V105" s="3">
        <v>1999.54</v>
      </c>
      <c r="W105" s="3">
        <v>1999.95</v>
      </c>
      <c r="X105" s="3">
        <v>0</v>
      </c>
      <c r="Y105" s="3">
        <v>0</v>
      </c>
      <c r="Z105" s="3">
        <v>220</v>
      </c>
      <c r="AA105" s="3">
        <v>1.9993700000000001</v>
      </c>
      <c r="AB105" s="3">
        <v>2.0016600000000002</v>
      </c>
      <c r="AC105" s="3">
        <v>-5.8589200000000001E-2</v>
      </c>
      <c r="AD105" s="3">
        <v>-3.7785399999999999E-3</v>
      </c>
      <c r="AE105" s="3">
        <v>1.9978100000000001</v>
      </c>
      <c r="AF105" s="3">
        <v>2.0027499999999998</v>
      </c>
      <c r="AG105" s="3">
        <v>-9.3984799999999993E-2</v>
      </c>
      <c r="AH105" s="3">
        <v>-1.03407E-2</v>
      </c>
      <c r="AI105" s="7">
        <v>23.358440000000002</v>
      </c>
      <c r="AJ105" s="7">
        <v>58.434882000000002</v>
      </c>
      <c r="AK105" s="3"/>
      <c r="AL105" s="6">
        <v>88.508193969999994</v>
      </c>
      <c r="AM105" s="6">
        <v>83.613761901999993</v>
      </c>
      <c r="AN105" s="6">
        <v>16.282234192000001</v>
      </c>
      <c r="AO105" s="6">
        <v>23.977010727</v>
      </c>
      <c r="AP105" s="6">
        <v>0</v>
      </c>
      <c r="AQ105" s="6">
        <v>0</v>
      </c>
      <c r="AR105" s="6">
        <v>1.375596E-3</v>
      </c>
      <c r="AS105" s="6">
        <v>0</v>
      </c>
      <c r="AT105" s="6">
        <v>5.2632009999999997E-4</v>
      </c>
      <c r="AU105" s="280">
        <v>84.134468079000001</v>
      </c>
      <c r="AV105" s="280">
        <v>9.8081989287999995</v>
      </c>
      <c r="AW105" s="280">
        <v>4.8745198250000001</v>
      </c>
      <c r="AX105" s="6">
        <v>0</v>
      </c>
      <c r="AY105" s="6">
        <v>0</v>
      </c>
      <c r="AZ105" s="6">
        <v>0</v>
      </c>
      <c r="BA105" s="6">
        <v>0</v>
      </c>
      <c r="BB105" s="6">
        <v>0</v>
      </c>
      <c r="BC105" s="6">
        <v>0</v>
      </c>
      <c r="BD105" s="6">
        <v>0</v>
      </c>
      <c r="BE105" s="6">
        <v>0</v>
      </c>
      <c r="BF105" s="6">
        <v>0</v>
      </c>
      <c r="BG105" s="6">
        <v>0</v>
      </c>
      <c r="BH105" s="6">
        <v>2.2786439000000002E-3</v>
      </c>
      <c r="BI105" s="6">
        <v>9.5973100000000002E-4</v>
      </c>
      <c r="BJ105" s="6">
        <v>0.42520540950000002</v>
      </c>
      <c r="BK105" s="6">
        <v>0</v>
      </c>
      <c r="BL105" s="6">
        <v>0</v>
      </c>
      <c r="BM105" s="6">
        <v>0</v>
      </c>
      <c r="BN105" s="6">
        <v>0</v>
      </c>
      <c r="BO105" s="6">
        <v>0</v>
      </c>
      <c r="BP105" s="6">
        <v>0</v>
      </c>
      <c r="BQ105" s="6">
        <v>0</v>
      </c>
      <c r="BR105" s="6">
        <v>0</v>
      </c>
      <c r="BS105" s="6">
        <v>0</v>
      </c>
      <c r="BT105" s="6">
        <v>0</v>
      </c>
      <c r="BU105" s="6">
        <v>0</v>
      </c>
      <c r="BV105" s="6">
        <v>0</v>
      </c>
      <c r="BW105" s="6">
        <v>0</v>
      </c>
      <c r="BX105" s="6">
        <v>0</v>
      </c>
      <c r="BY105" s="6">
        <v>0</v>
      </c>
      <c r="BZ105" s="6">
        <v>0</v>
      </c>
      <c r="CA105" s="6">
        <v>0</v>
      </c>
      <c r="CB105" s="6">
        <v>0</v>
      </c>
      <c r="CC105" s="6">
        <v>0</v>
      </c>
      <c r="CD105" s="6">
        <v>0</v>
      </c>
      <c r="CE105" s="6">
        <v>0</v>
      </c>
      <c r="CF105" s="6">
        <v>0</v>
      </c>
      <c r="CG105" s="6">
        <v>0</v>
      </c>
      <c r="CH105" s="6">
        <v>0</v>
      </c>
      <c r="CI105" s="6">
        <v>0</v>
      </c>
      <c r="CJ105" s="6">
        <v>0</v>
      </c>
      <c r="CK105" s="6">
        <v>0</v>
      </c>
      <c r="CL105" s="6">
        <v>0</v>
      </c>
      <c r="CM105" s="6">
        <v>0</v>
      </c>
      <c r="CN105" s="6">
        <v>0.56687670950000002</v>
      </c>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7">
        <v>0.1855762899</v>
      </c>
      <c r="DN105" s="7">
        <f t="shared" si="1"/>
        <v>99.999985532699966</v>
      </c>
      <c r="DO105" s="7"/>
      <c r="DP105" s="7">
        <v>1.3758774000000001E-3</v>
      </c>
      <c r="DQ105" s="7">
        <v>2.2791097999999999E-3</v>
      </c>
      <c r="DR105" s="7">
        <v>9.5992729999999995E-4</v>
      </c>
      <c r="DS105" s="7">
        <v>5.2642770000000001E-4</v>
      </c>
      <c r="DT105" s="7">
        <v>6.3117580000000004E-4</v>
      </c>
      <c r="DU105" s="7">
        <v>2.4375593999999999E-3</v>
      </c>
      <c r="DV105" s="7">
        <v>4.3521098799999998E-2</v>
      </c>
      <c r="DW105" s="7">
        <v>0.37870252129999998</v>
      </c>
      <c r="DX105" s="7">
        <v>84.151672363299994</v>
      </c>
      <c r="DY105" s="7">
        <v>0.56699264049999998</v>
      </c>
      <c r="DZ105" s="7">
        <v>9.7948749999999998E-3</v>
      </c>
      <c r="EA105" s="7">
        <v>9.8102045058999998</v>
      </c>
      <c r="EB105" s="7">
        <v>0.13582529130000001</v>
      </c>
      <c r="EC105" s="7">
        <v>4.8755164145999998</v>
      </c>
      <c r="ED105" s="7">
        <v>1.95474736E-2</v>
      </c>
      <c r="EE105" s="7"/>
      <c r="EF105" s="7"/>
      <c r="EG105" s="7"/>
      <c r="EH105" s="7"/>
      <c r="EI105" s="152"/>
    </row>
    <row r="106" spans="1:139" s="2" customFormat="1">
      <c r="A106" s="4">
        <v>46129</v>
      </c>
      <c r="B106" s="5"/>
      <c r="C106" s="3">
        <v>6</v>
      </c>
      <c r="D106" s="90" t="s">
        <v>401</v>
      </c>
      <c r="E106" s="3">
        <v>230</v>
      </c>
      <c r="F106" s="3">
        <v>230</v>
      </c>
      <c r="G106" s="3">
        <v>23.997399999999999</v>
      </c>
      <c r="H106" s="3">
        <v>24.0046</v>
      </c>
      <c r="I106" s="3">
        <v>747.74</v>
      </c>
      <c r="J106" s="3">
        <v>752.8</v>
      </c>
      <c r="K106" s="3">
        <v>0</v>
      </c>
      <c r="L106" s="3">
        <v>0</v>
      </c>
      <c r="M106" s="3">
        <v>749.779</v>
      </c>
      <c r="N106" s="3">
        <v>746.35500000000002</v>
      </c>
      <c r="O106" s="3">
        <v>0</v>
      </c>
      <c r="P106" s="3">
        <v>0</v>
      </c>
      <c r="Q106" s="3">
        <v>0.30484</v>
      </c>
      <c r="R106" s="3">
        <v>2000.24</v>
      </c>
      <c r="S106" s="3">
        <v>1999.75</v>
      </c>
      <c r="T106" s="3">
        <v>0</v>
      </c>
      <c r="U106" s="3">
        <v>0</v>
      </c>
      <c r="V106" s="3">
        <v>2000.04</v>
      </c>
      <c r="W106" s="3">
        <v>1999.99</v>
      </c>
      <c r="X106" s="3">
        <v>0</v>
      </c>
      <c r="Y106" s="3">
        <v>0</v>
      </c>
      <c r="Z106" s="3">
        <v>219.8</v>
      </c>
      <c r="AA106" s="3">
        <v>1.9994099999999999</v>
      </c>
      <c r="AB106" s="3">
        <v>2.0012400000000001</v>
      </c>
      <c r="AC106" s="3">
        <v>-6.1866600000000001E-2</v>
      </c>
      <c r="AD106" s="3">
        <v>2.5573599999999998E-3</v>
      </c>
      <c r="AE106" s="3">
        <v>2.0023499999999999</v>
      </c>
      <c r="AF106" s="3">
        <v>1.9956</v>
      </c>
      <c r="AG106" s="3">
        <v>-0.14458299999999999</v>
      </c>
      <c r="AH106" s="3">
        <v>-3.45706E-2</v>
      </c>
      <c r="AI106" s="7">
        <v>20.830590000000001</v>
      </c>
      <c r="AJ106" s="7">
        <v>59.442635000000003</v>
      </c>
      <c r="AK106" s="3"/>
      <c r="AL106" s="6">
        <v>81.382270813000005</v>
      </c>
      <c r="AM106" s="6">
        <v>83.431838988999999</v>
      </c>
      <c r="AN106" s="6">
        <v>16.232980728000001</v>
      </c>
      <c r="AO106" s="6">
        <v>66.264511107999994</v>
      </c>
      <c r="AP106" s="6">
        <v>0</v>
      </c>
      <c r="AQ106" s="6">
        <v>0</v>
      </c>
      <c r="AR106" s="6">
        <v>3.3885648251</v>
      </c>
      <c r="AS106" s="6">
        <v>0.90617638830000002</v>
      </c>
      <c r="AT106" s="6">
        <v>0.24306577439999999</v>
      </c>
      <c r="AU106" s="6">
        <v>29.300220489000001</v>
      </c>
      <c r="AV106" s="6">
        <v>0.64023375510000002</v>
      </c>
      <c r="AW106" s="6">
        <v>1.3415182899999999E-2</v>
      </c>
      <c r="AX106" s="6">
        <v>0</v>
      </c>
      <c r="AY106" s="6">
        <v>0</v>
      </c>
      <c r="AZ106" s="6">
        <v>0</v>
      </c>
      <c r="BA106" s="6">
        <v>0</v>
      </c>
      <c r="BB106" s="6">
        <v>0</v>
      </c>
      <c r="BC106" s="6">
        <v>0</v>
      </c>
      <c r="BD106" s="6">
        <v>0</v>
      </c>
      <c r="BE106" s="6">
        <v>0</v>
      </c>
      <c r="BF106" s="6">
        <v>0</v>
      </c>
      <c r="BG106" s="6">
        <v>0</v>
      </c>
      <c r="BH106" s="6">
        <v>6.2497835158999999</v>
      </c>
      <c r="BI106" s="6">
        <v>1.0483871698</v>
      </c>
      <c r="BJ106" s="6">
        <v>54.395145415999998</v>
      </c>
      <c r="BK106" s="6">
        <v>1.8777785301000001</v>
      </c>
      <c r="BL106" s="6">
        <v>0</v>
      </c>
      <c r="BM106" s="6">
        <v>0</v>
      </c>
      <c r="BN106" s="6">
        <v>0</v>
      </c>
      <c r="BO106" s="6">
        <v>0</v>
      </c>
      <c r="BP106" s="6">
        <v>0</v>
      </c>
      <c r="BQ106" s="6">
        <v>0</v>
      </c>
      <c r="BR106" s="6">
        <v>0</v>
      </c>
      <c r="BS106" s="6">
        <v>0</v>
      </c>
      <c r="BT106" s="6">
        <v>0</v>
      </c>
      <c r="BU106" s="6">
        <v>0</v>
      </c>
      <c r="BV106" s="6">
        <v>0</v>
      </c>
      <c r="BW106" s="6">
        <v>0</v>
      </c>
      <c r="BX106" s="6">
        <v>0</v>
      </c>
      <c r="BY106" s="6">
        <v>0</v>
      </c>
      <c r="BZ106" s="6">
        <v>0</v>
      </c>
      <c r="CA106" s="6">
        <v>0</v>
      </c>
      <c r="CB106" s="6">
        <v>0</v>
      </c>
      <c r="CC106" s="6">
        <v>0</v>
      </c>
      <c r="CD106" s="6">
        <v>0</v>
      </c>
      <c r="CE106" s="6">
        <v>0</v>
      </c>
      <c r="CF106" s="6">
        <v>0</v>
      </c>
      <c r="CG106" s="6">
        <v>0</v>
      </c>
      <c r="CH106" s="6">
        <v>0</v>
      </c>
      <c r="CI106" s="6">
        <v>0</v>
      </c>
      <c r="CJ106" s="6">
        <v>0</v>
      </c>
      <c r="CK106" s="6">
        <v>0</v>
      </c>
      <c r="CL106" s="6">
        <v>0</v>
      </c>
      <c r="CM106" s="6">
        <v>0</v>
      </c>
      <c r="CN106" s="6">
        <v>0.29876598720000003</v>
      </c>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7">
        <v>1.6384750605</v>
      </c>
      <c r="DN106" s="7">
        <f t="shared" si="1"/>
        <v>100.00001209429999</v>
      </c>
      <c r="DO106" s="7"/>
      <c r="DP106" s="7">
        <v>1.8891887699999999E-2</v>
      </c>
      <c r="DQ106" s="7">
        <v>3.3781020641000001</v>
      </c>
      <c r="DR106" s="7">
        <v>6.2304863929999996</v>
      </c>
      <c r="DS106" s="7">
        <v>0.90337836739999999</v>
      </c>
      <c r="DT106" s="7">
        <v>1.0451500415999999</v>
      </c>
      <c r="DU106" s="7">
        <v>0.2423152626</v>
      </c>
      <c r="DV106" s="7">
        <v>3.3072433472</v>
      </c>
      <c r="DW106" s="7">
        <v>6.5579166412000003</v>
      </c>
      <c r="DX106" s="7">
        <v>27.1032714844</v>
      </c>
      <c r="DY106" s="7">
        <v>17.258760452299999</v>
      </c>
      <c r="DZ106" s="7">
        <v>29.209751129200001</v>
      </c>
      <c r="EA106" s="7">
        <v>1.7095435858000001</v>
      </c>
      <c r="EB106" s="7">
        <v>0.2978434861</v>
      </c>
      <c r="EC106" s="7">
        <v>0.87469470500000002</v>
      </c>
      <c r="ED106" s="7">
        <v>0.9972858429</v>
      </c>
      <c r="EE106" s="7">
        <v>0.63825696710000002</v>
      </c>
      <c r="EF106" s="7">
        <v>0.1986086071</v>
      </c>
      <c r="EG106" s="7">
        <v>1.33737614E-2</v>
      </c>
      <c r="EH106" s="7">
        <v>1.51241329E-2</v>
      </c>
      <c r="EI106" s="152"/>
    </row>
    <row r="107" spans="1:139" s="2" customFormat="1">
      <c r="A107" s="4">
        <v>46129</v>
      </c>
      <c r="B107" s="5"/>
      <c r="C107" s="3">
        <v>1</v>
      </c>
      <c r="D107" s="90" t="s">
        <v>402</v>
      </c>
      <c r="E107" s="3">
        <v>230</v>
      </c>
      <c r="F107" s="3">
        <v>230</v>
      </c>
      <c r="G107" s="3">
        <v>24.000299999999999</v>
      </c>
      <c r="H107" s="3">
        <v>24.0046</v>
      </c>
      <c r="I107" s="3">
        <v>754.09900000000005</v>
      </c>
      <c r="J107" s="3">
        <v>769.85799999999995</v>
      </c>
      <c r="K107" s="3">
        <v>0</v>
      </c>
      <c r="L107" s="3">
        <v>0</v>
      </c>
      <c r="M107" s="3">
        <v>766.78099999999995</v>
      </c>
      <c r="N107" s="3">
        <v>753.00099999999998</v>
      </c>
      <c r="O107" s="3">
        <v>0</v>
      </c>
      <c r="P107" s="3">
        <v>0</v>
      </c>
      <c r="Q107" s="3">
        <v>0.27395000000000003</v>
      </c>
      <c r="R107" s="3">
        <v>2000.1</v>
      </c>
      <c r="S107" s="3">
        <v>1999.55</v>
      </c>
      <c r="T107" s="3">
        <v>0</v>
      </c>
      <c r="U107" s="3">
        <v>0</v>
      </c>
      <c r="V107" s="3">
        <v>2000</v>
      </c>
      <c r="W107" s="3">
        <v>2000.68</v>
      </c>
      <c r="X107" s="3">
        <v>0</v>
      </c>
      <c r="Y107" s="3">
        <v>0</v>
      </c>
      <c r="Z107" s="3">
        <v>220</v>
      </c>
      <c r="AA107" s="3">
        <v>2.0002300000000002</v>
      </c>
      <c r="AB107" s="3">
        <v>1.9985200000000001</v>
      </c>
      <c r="AC107" s="3">
        <v>-6.6170499999999993E-2</v>
      </c>
      <c r="AD107" s="3">
        <v>1.2628100000000001E-3</v>
      </c>
      <c r="AE107" s="3">
        <v>2.0009000000000001</v>
      </c>
      <c r="AF107" s="3">
        <v>1.9988999999999999</v>
      </c>
      <c r="AG107" s="3">
        <v>-9.4400200000000004E-2</v>
      </c>
      <c r="AH107" s="3">
        <v>-9.9827100000000005E-3</v>
      </c>
      <c r="AI107" s="7">
        <v>23.310669000000001</v>
      </c>
      <c r="AJ107" s="7">
        <v>58.477029999999999</v>
      </c>
      <c r="AK107" s="3"/>
      <c r="AL107" s="99">
        <v>82.798515320000007</v>
      </c>
      <c r="AM107" s="99">
        <v>83.468040466000005</v>
      </c>
      <c r="AN107" s="99">
        <v>16.111953735</v>
      </c>
      <c r="AO107" s="99">
        <v>58.263156891000001</v>
      </c>
      <c r="AP107" s="6">
        <v>0</v>
      </c>
      <c r="AQ107" s="6">
        <v>0</v>
      </c>
      <c r="AR107" s="6">
        <v>2.5939831733999998</v>
      </c>
      <c r="AS107" s="6">
        <v>0.8247714639</v>
      </c>
      <c r="AT107" s="6">
        <v>0.18949906529999999</v>
      </c>
      <c r="AU107" s="6">
        <v>40.104499816999997</v>
      </c>
      <c r="AV107" s="6">
        <v>1.2362515925999999</v>
      </c>
      <c r="AW107" s="6">
        <v>5.3810309600000002E-2</v>
      </c>
      <c r="AX107" s="6">
        <v>0</v>
      </c>
      <c r="AY107" s="6">
        <v>0</v>
      </c>
      <c r="AZ107" s="6">
        <v>0</v>
      </c>
      <c r="BA107" s="6">
        <v>0</v>
      </c>
      <c r="BB107" s="6">
        <v>0</v>
      </c>
      <c r="BC107" s="6">
        <v>0</v>
      </c>
      <c r="BD107" s="6">
        <v>0</v>
      </c>
      <c r="BE107" s="97">
        <v>0</v>
      </c>
      <c r="BF107" s="97">
        <v>0</v>
      </c>
      <c r="BG107" s="97">
        <v>0</v>
      </c>
      <c r="BH107" s="97">
        <v>5.1133055687000004</v>
      </c>
      <c r="BI107" s="97">
        <v>0.96657335759999996</v>
      </c>
      <c r="BJ107" s="97">
        <v>43.726615905999999</v>
      </c>
      <c r="BK107" s="97">
        <v>2.6949584484</v>
      </c>
      <c r="BL107" s="6">
        <v>0</v>
      </c>
      <c r="BM107" s="6">
        <v>0</v>
      </c>
      <c r="BN107" s="6">
        <v>0</v>
      </c>
      <c r="BO107" s="6">
        <v>0</v>
      </c>
      <c r="BP107" s="6">
        <v>0</v>
      </c>
      <c r="BQ107" s="6">
        <v>0</v>
      </c>
      <c r="BR107" s="6">
        <v>0</v>
      </c>
      <c r="BS107" s="6">
        <v>0</v>
      </c>
      <c r="BT107" s="6">
        <v>0</v>
      </c>
      <c r="BU107" s="6">
        <v>0</v>
      </c>
      <c r="BV107" s="6">
        <v>0</v>
      </c>
      <c r="BW107" s="6">
        <v>0</v>
      </c>
      <c r="BX107" s="6">
        <v>0</v>
      </c>
      <c r="BY107" s="6">
        <v>0</v>
      </c>
      <c r="BZ107" s="6">
        <v>0</v>
      </c>
      <c r="CA107" s="6">
        <v>0</v>
      </c>
      <c r="CB107" s="6">
        <v>0</v>
      </c>
      <c r="CC107" s="6">
        <v>0</v>
      </c>
      <c r="CD107" s="6">
        <v>0</v>
      </c>
      <c r="CE107" s="6">
        <v>0</v>
      </c>
      <c r="CF107" s="6">
        <v>0</v>
      </c>
      <c r="CG107" s="6">
        <v>0</v>
      </c>
      <c r="CH107" s="6">
        <v>0</v>
      </c>
      <c r="CI107" s="6">
        <v>0</v>
      </c>
      <c r="CJ107" s="6">
        <v>0</v>
      </c>
      <c r="CK107" s="6">
        <v>0</v>
      </c>
      <c r="CL107" s="6">
        <v>0</v>
      </c>
      <c r="CM107" s="6">
        <v>0</v>
      </c>
      <c r="CN107" s="97">
        <v>0.31324565409999999</v>
      </c>
      <c r="CO107" s="98"/>
      <c r="CP107" s="98"/>
      <c r="CQ107" s="3"/>
      <c r="CR107" s="3"/>
      <c r="CS107" s="3"/>
      <c r="CT107" s="3"/>
      <c r="CU107" s="3"/>
      <c r="CV107" s="3"/>
      <c r="CW107" s="3"/>
      <c r="CX107" s="3"/>
      <c r="CY107" s="3"/>
      <c r="CZ107" s="3"/>
      <c r="DA107" s="3"/>
      <c r="DB107" s="3"/>
      <c r="DC107" s="3"/>
      <c r="DD107" s="3"/>
      <c r="DE107" s="3"/>
      <c r="DF107" s="3"/>
      <c r="DG107" s="3"/>
      <c r="DH107" s="3"/>
      <c r="DI107" s="3"/>
      <c r="DJ107" s="3"/>
      <c r="DK107" s="3"/>
      <c r="DL107" s="3"/>
      <c r="DM107" s="7">
        <v>2.1825189589999998</v>
      </c>
      <c r="DN107" s="7">
        <f t="shared" si="1"/>
        <v>100.00003331560001</v>
      </c>
      <c r="DO107" s="7"/>
      <c r="DP107" s="7">
        <v>1.1946111000000001E-2</v>
      </c>
      <c r="DQ107" s="7">
        <v>2.5849175453000002</v>
      </c>
      <c r="DR107" s="7">
        <v>5.0954356193999999</v>
      </c>
      <c r="DS107" s="7">
        <v>0.82188898320000003</v>
      </c>
      <c r="DT107" s="7">
        <v>0.96319532389999996</v>
      </c>
      <c r="DU107" s="7">
        <v>0.1888367832</v>
      </c>
      <c r="DV107" s="7">
        <v>2.1863572597999998</v>
      </c>
      <c r="DW107" s="7">
        <v>4.8064918517999997</v>
      </c>
      <c r="DX107" s="7">
        <v>22.385171890300001</v>
      </c>
      <c r="DY107" s="7">
        <v>14.195774078399999</v>
      </c>
      <c r="DZ107" s="7">
        <v>39.964344024699997</v>
      </c>
      <c r="EA107" s="7">
        <v>2.0739338398</v>
      </c>
      <c r="EB107" s="7">
        <v>0.31215089559999998</v>
      </c>
      <c r="EC107" s="7">
        <v>1.2638492584000001</v>
      </c>
      <c r="ED107" s="7">
        <v>1.4216908215999999</v>
      </c>
      <c r="EE107" s="7">
        <v>1.2319310904</v>
      </c>
      <c r="EF107" s="7">
        <v>0.42200717329999998</v>
      </c>
      <c r="EG107" s="7">
        <v>5.3622253199999997E-2</v>
      </c>
      <c r="EH107" s="7">
        <v>1.6460677600000001E-2</v>
      </c>
      <c r="EI107" s="152"/>
    </row>
    <row r="108" spans="1:139" s="2" customFormat="1">
      <c r="A108" s="4">
        <v>46129</v>
      </c>
      <c r="B108" s="5"/>
      <c r="C108" s="3">
        <v>2</v>
      </c>
      <c r="D108" s="90" t="s">
        <v>403</v>
      </c>
      <c r="E108" s="3">
        <v>230</v>
      </c>
      <c r="F108" s="3">
        <v>230</v>
      </c>
      <c r="G108" s="3">
        <v>23.968499999999999</v>
      </c>
      <c r="H108" s="3">
        <v>24.010400000000001</v>
      </c>
      <c r="I108" s="3">
        <v>739.21600000000001</v>
      </c>
      <c r="J108" s="3">
        <v>728.44399999999996</v>
      </c>
      <c r="K108" s="3">
        <v>0</v>
      </c>
      <c r="L108" s="3">
        <v>0</v>
      </c>
      <c r="M108" s="3">
        <v>732.96799999999996</v>
      </c>
      <c r="N108" s="3">
        <v>741.58900000000006</v>
      </c>
      <c r="O108" s="3">
        <v>0</v>
      </c>
      <c r="P108" s="3">
        <v>0</v>
      </c>
      <c r="Q108" s="3">
        <v>0.116812</v>
      </c>
      <c r="R108" s="3">
        <v>1999.19</v>
      </c>
      <c r="S108" s="3">
        <v>1999.73</v>
      </c>
      <c r="T108" s="3">
        <v>0</v>
      </c>
      <c r="U108" s="3">
        <v>0</v>
      </c>
      <c r="V108" s="3">
        <v>2000.22</v>
      </c>
      <c r="W108" s="3">
        <v>1999.63</v>
      </c>
      <c r="X108" s="3">
        <v>0</v>
      </c>
      <c r="Y108" s="3">
        <v>0</v>
      </c>
      <c r="Z108" s="3">
        <v>220</v>
      </c>
      <c r="AA108" s="3">
        <v>2.0017399999999999</v>
      </c>
      <c r="AB108" s="3">
        <v>1.9997</v>
      </c>
      <c r="AC108" s="3">
        <v>-6.5888199999999994E-2</v>
      </c>
      <c r="AD108" s="3">
        <v>-2.4499999999999999E-5</v>
      </c>
      <c r="AE108" s="3">
        <v>2.0004499999999998</v>
      </c>
      <c r="AF108" s="3">
        <v>2.0007000000000001</v>
      </c>
      <c r="AG108" s="3">
        <v>-8.7674699999999994E-2</v>
      </c>
      <c r="AH108" s="3">
        <v>-5.5390300000000003E-2</v>
      </c>
      <c r="AI108" s="7">
        <v>20.741423999999999</v>
      </c>
      <c r="AJ108" s="7">
        <v>59.588054999999997</v>
      </c>
      <c r="AK108" s="3"/>
      <c r="AL108" s="6">
        <v>82.634017943999993</v>
      </c>
      <c r="AM108" s="6">
        <v>83.464378357000001</v>
      </c>
      <c r="AN108" s="6">
        <v>16.13284874</v>
      </c>
      <c r="AO108" s="6">
        <v>57.704231262</v>
      </c>
      <c r="AP108" s="6">
        <v>0</v>
      </c>
      <c r="AQ108" s="6">
        <v>0</v>
      </c>
      <c r="AR108" s="6">
        <v>2.6634297371</v>
      </c>
      <c r="AS108" s="6">
        <v>0.82461082939999997</v>
      </c>
      <c r="AT108" s="6">
        <v>0.20559537410000001</v>
      </c>
      <c r="AU108" s="6">
        <v>41.463554381999998</v>
      </c>
      <c r="AV108" s="6">
        <v>1.3101238012</v>
      </c>
      <c r="AW108" s="6">
        <v>5.7219747500000001E-2</v>
      </c>
      <c r="AX108" s="6">
        <v>0</v>
      </c>
      <c r="AY108" s="6">
        <v>0</v>
      </c>
      <c r="AZ108" s="6">
        <v>0</v>
      </c>
      <c r="BA108" s="6">
        <v>0</v>
      </c>
      <c r="BB108" s="6">
        <v>0</v>
      </c>
      <c r="BC108" s="6">
        <v>0</v>
      </c>
      <c r="BD108" s="6">
        <v>0</v>
      </c>
      <c r="BE108" s="6">
        <v>0</v>
      </c>
      <c r="BF108" s="6">
        <v>0</v>
      </c>
      <c r="BG108" s="6">
        <v>0</v>
      </c>
      <c r="BH108" s="6">
        <v>5.2737469673000001</v>
      </c>
      <c r="BI108" s="6">
        <v>1.0071200132</v>
      </c>
      <c r="BJ108" s="6">
        <v>42.272933960000003</v>
      </c>
      <c r="BK108" s="6">
        <v>2.5542905331000001</v>
      </c>
      <c r="BL108" s="6">
        <v>0</v>
      </c>
      <c r="BM108" s="6">
        <v>0</v>
      </c>
      <c r="BN108" s="6">
        <v>0</v>
      </c>
      <c r="BO108" s="6">
        <v>0</v>
      </c>
      <c r="BP108" s="6">
        <v>0</v>
      </c>
      <c r="BQ108" s="6">
        <v>0</v>
      </c>
      <c r="BR108" s="6">
        <v>0</v>
      </c>
      <c r="BS108" s="6">
        <v>0</v>
      </c>
      <c r="BT108" s="6">
        <v>0</v>
      </c>
      <c r="BU108" s="6">
        <v>0</v>
      </c>
      <c r="BV108" s="6">
        <v>0</v>
      </c>
      <c r="BW108" s="6">
        <v>0</v>
      </c>
      <c r="BX108" s="6">
        <v>0</v>
      </c>
      <c r="BY108" s="6">
        <v>0</v>
      </c>
      <c r="BZ108" s="6">
        <v>0</v>
      </c>
      <c r="CA108" s="6">
        <v>0</v>
      </c>
      <c r="CB108" s="6">
        <v>0</v>
      </c>
      <c r="CC108" s="6">
        <v>0</v>
      </c>
      <c r="CD108" s="6">
        <v>0</v>
      </c>
      <c r="CE108" s="6">
        <v>0</v>
      </c>
      <c r="CF108" s="6">
        <v>0</v>
      </c>
      <c r="CG108" s="6">
        <v>0</v>
      </c>
      <c r="CH108" s="6">
        <v>0</v>
      </c>
      <c r="CI108" s="6">
        <v>0</v>
      </c>
      <c r="CJ108" s="6">
        <v>0</v>
      </c>
      <c r="CK108" s="6">
        <v>0</v>
      </c>
      <c r="CL108" s="6">
        <v>0</v>
      </c>
      <c r="CM108" s="6">
        <v>0</v>
      </c>
      <c r="CN108" s="6">
        <v>0.28964474800000001</v>
      </c>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7">
        <v>2.0777275562000002</v>
      </c>
      <c r="DN108" s="7">
        <f t="shared" si="1"/>
        <v>99.99999764910001</v>
      </c>
      <c r="DO108" s="7"/>
      <c r="DP108" s="7">
        <v>1.09721404E-2</v>
      </c>
      <c r="DQ108" s="7">
        <v>2.6549112796999998</v>
      </c>
      <c r="DR108" s="7">
        <v>5.2568793297000003</v>
      </c>
      <c r="DS108" s="7">
        <v>0.82197344299999997</v>
      </c>
      <c r="DT108" s="7">
        <v>1.003898859</v>
      </c>
      <c r="DU108" s="7">
        <v>0.2049378157</v>
      </c>
      <c r="DV108" s="7">
        <v>2.0894160271</v>
      </c>
      <c r="DW108" s="7">
        <v>4.7551493645000003</v>
      </c>
      <c r="DX108" s="7">
        <v>21.632263183599999</v>
      </c>
      <c r="DY108" s="7">
        <v>13.6609010696</v>
      </c>
      <c r="DZ108" s="7">
        <v>41.330940246600001</v>
      </c>
      <c r="EA108" s="7">
        <v>1.9319014549</v>
      </c>
      <c r="EB108" s="7">
        <v>0.2887183726</v>
      </c>
      <c r="EC108" s="7">
        <v>1.1779741049000001</v>
      </c>
      <c r="ED108" s="7">
        <v>1.3681470156</v>
      </c>
      <c r="EE108" s="7">
        <v>1.3059335946999999</v>
      </c>
      <c r="EF108" s="7">
        <v>0.42586907740000002</v>
      </c>
      <c r="EG108" s="7">
        <v>5.70367388E-2</v>
      </c>
      <c r="EH108" s="7">
        <v>2.2166114300000001E-2</v>
      </c>
      <c r="EI108" s="152"/>
    </row>
    <row r="109" spans="1:139" s="2" customFormat="1" ht="15" customHeight="1">
      <c r="A109" s="4"/>
      <c r="B109" s="5"/>
      <c r="C109" s="3"/>
      <c r="D109" s="90"/>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7"/>
      <c r="AJ109" s="7"/>
      <c r="AK109" s="3"/>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c r="BU109" s="6"/>
      <c r="BV109" s="6"/>
      <c r="BW109" s="6"/>
      <c r="BX109" s="6"/>
      <c r="BY109" s="6"/>
      <c r="BZ109" s="6"/>
      <c r="CA109" s="6"/>
      <c r="CB109" s="6"/>
      <c r="CC109" s="6"/>
      <c r="CD109" s="6"/>
      <c r="CE109" s="6"/>
      <c r="CF109" s="6"/>
      <c r="CG109" s="6"/>
      <c r="CH109" s="6"/>
      <c r="CI109" s="6"/>
      <c r="CJ109" s="6"/>
      <c r="CK109" s="6"/>
      <c r="CL109" s="6"/>
      <c r="CM109" s="6"/>
      <c r="CN109" s="6"/>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7"/>
      <c r="DN109" s="7"/>
      <c r="DO109" s="7"/>
      <c r="EI109" s="152"/>
    </row>
    <row r="110" spans="1:139" s="2" customFormat="1">
      <c r="A110" s="4"/>
      <c r="B110" s="5"/>
      <c r="C110" s="3"/>
      <c r="D110" s="90"/>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7"/>
      <c r="AJ110" s="7"/>
      <c r="AK110" s="3"/>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c r="BU110" s="6"/>
      <c r="BV110" s="6"/>
      <c r="BW110" s="6"/>
      <c r="BX110" s="6"/>
      <c r="BY110" s="6"/>
      <c r="BZ110" s="6"/>
      <c r="CA110" s="6"/>
      <c r="CB110" s="6"/>
      <c r="CC110" s="6"/>
      <c r="CD110" s="6"/>
      <c r="CE110" s="6"/>
      <c r="CF110" s="6"/>
      <c r="CG110" s="6"/>
      <c r="CH110" s="6"/>
      <c r="CI110" s="6"/>
      <c r="CJ110" s="6"/>
      <c r="CK110" s="6"/>
      <c r="CL110" s="6"/>
      <c r="CM110" s="6"/>
      <c r="CN110" s="6"/>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7"/>
      <c r="DN110" s="7"/>
      <c r="DO110" s="7"/>
      <c r="EI110" s="152"/>
    </row>
    <row r="111" spans="1:139" s="2" customFormat="1">
      <c r="A111" s="4"/>
      <c r="B111" s="5"/>
      <c r="C111" s="3"/>
      <c r="D111" s="90"/>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7"/>
      <c r="AJ111" s="7"/>
      <c r="AK111" s="3"/>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c r="BU111" s="6"/>
      <c r="BV111" s="6"/>
      <c r="BW111" s="6"/>
      <c r="BX111" s="6"/>
      <c r="BY111" s="6"/>
      <c r="BZ111" s="6"/>
      <c r="CA111" s="6"/>
      <c r="CB111" s="6"/>
      <c r="CC111" s="6"/>
      <c r="CD111" s="6"/>
      <c r="CE111" s="6"/>
      <c r="CF111" s="6"/>
      <c r="CG111" s="6"/>
      <c r="CH111" s="6"/>
      <c r="CI111" s="6"/>
      <c r="CJ111" s="6"/>
      <c r="CK111" s="6"/>
      <c r="CL111" s="6"/>
      <c r="CM111" s="6"/>
      <c r="CN111" s="6"/>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7"/>
      <c r="DN111" s="7"/>
      <c r="DO111" s="7"/>
      <c r="EI111" s="152"/>
    </row>
    <row r="112" spans="1:139" s="2" customFormat="1">
      <c r="A112" s="4">
        <v>46129</v>
      </c>
      <c r="B112" s="5"/>
      <c r="C112" s="3">
        <v>2</v>
      </c>
      <c r="D112" s="90" t="s">
        <v>404</v>
      </c>
      <c r="E112" s="3">
        <v>230</v>
      </c>
      <c r="F112" s="3">
        <v>230</v>
      </c>
      <c r="G112" s="3">
        <v>15.007199999999999</v>
      </c>
      <c r="H112" s="3">
        <v>14.9971</v>
      </c>
      <c r="I112" s="3">
        <v>761.03599999999994</v>
      </c>
      <c r="J112" s="3">
        <v>762.42399999999998</v>
      </c>
      <c r="K112" s="3">
        <v>0</v>
      </c>
      <c r="L112" s="3">
        <v>0</v>
      </c>
      <c r="M112" s="3">
        <v>761.91700000000003</v>
      </c>
      <c r="N112" s="3">
        <v>762.78300000000002</v>
      </c>
      <c r="O112" s="3">
        <v>0</v>
      </c>
      <c r="P112" s="3">
        <v>0</v>
      </c>
      <c r="Q112" s="3">
        <v>0.30443999999999999</v>
      </c>
      <c r="R112" s="3">
        <v>1999.57</v>
      </c>
      <c r="S112" s="3">
        <v>1999.71</v>
      </c>
      <c r="T112" s="3">
        <v>0</v>
      </c>
      <c r="U112" s="3">
        <v>0</v>
      </c>
      <c r="V112" s="3">
        <v>1999.81</v>
      </c>
      <c r="W112" s="3">
        <v>2000.05</v>
      </c>
      <c r="X112" s="3">
        <v>0</v>
      </c>
      <c r="Y112" s="3">
        <v>0</v>
      </c>
      <c r="Z112" s="3">
        <v>220.1</v>
      </c>
      <c r="AA112" s="3">
        <v>1.99763</v>
      </c>
      <c r="AB112" s="3">
        <v>2.0039799999999999</v>
      </c>
      <c r="AC112" s="3">
        <v>-7.8635399999999994E-2</v>
      </c>
      <c r="AD112" s="3">
        <v>8.8173400000000001E-4</v>
      </c>
      <c r="AE112" s="3">
        <v>2.0012799999999999</v>
      </c>
      <c r="AF112" s="3">
        <v>1.9955799999999999</v>
      </c>
      <c r="AG112" s="3">
        <v>-0.21901100000000001</v>
      </c>
      <c r="AH112" s="3">
        <v>-0.13666600000000001</v>
      </c>
      <c r="AI112" s="7">
        <v>19.966411000000001</v>
      </c>
      <c r="AJ112" s="7">
        <v>59.995984</v>
      </c>
      <c r="AK112" s="3"/>
      <c r="AL112" s="6">
        <v>81.182006835999999</v>
      </c>
      <c r="AM112" s="6">
        <v>83.426811217999997</v>
      </c>
      <c r="AN112" s="6">
        <v>16.246849059999999</v>
      </c>
      <c r="AO112" s="6">
        <v>64.451637267999999</v>
      </c>
      <c r="AP112" s="6">
        <v>0</v>
      </c>
      <c r="AQ112" s="6">
        <v>0</v>
      </c>
      <c r="AR112" s="6">
        <v>3.4455459118</v>
      </c>
      <c r="AS112" s="6">
        <v>0.92346316579999999</v>
      </c>
      <c r="AT112" s="6">
        <v>0.28601270909999998</v>
      </c>
      <c r="AU112" s="6">
        <v>32.771812439000001</v>
      </c>
      <c r="AV112" s="6">
        <v>0.70012706520000001</v>
      </c>
      <c r="AW112" s="6">
        <v>1.43551258E-2</v>
      </c>
      <c r="AX112" s="6">
        <v>0</v>
      </c>
      <c r="AY112" s="6">
        <v>0</v>
      </c>
      <c r="AZ112" s="6">
        <v>0</v>
      </c>
      <c r="BA112" s="6">
        <v>0</v>
      </c>
      <c r="BB112" s="6">
        <v>0</v>
      </c>
      <c r="BC112" s="6">
        <v>0</v>
      </c>
      <c r="BD112" s="6">
        <v>0</v>
      </c>
      <c r="BE112" s="6">
        <v>0</v>
      </c>
      <c r="BF112" s="6">
        <v>0</v>
      </c>
      <c r="BG112" s="6">
        <v>0</v>
      </c>
      <c r="BH112" s="6">
        <v>6.5505414009000003</v>
      </c>
      <c r="BI112" s="6">
        <v>1.1754524708</v>
      </c>
      <c r="BJ112" s="6">
        <v>50.474121093999997</v>
      </c>
      <c r="BK112" s="6">
        <v>1.8152785301000001</v>
      </c>
      <c r="BL112" s="6">
        <v>0</v>
      </c>
      <c r="BM112" s="6">
        <v>0</v>
      </c>
      <c r="BN112" s="6">
        <v>0</v>
      </c>
      <c r="BO112" s="6">
        <v>0</v>
      </c>
      <c r="BP112" s="6">
        <v>0</v>
      </c>
      <c r="BQ112" s="6">
        <v>0</v>
      </c>
      <c r="BR112" s="6">
        <v>0</v>
      </c>
      <c r="BS112" s="6">
        <v>0</v>
      </c>
      <c r="BT112" s="6">
        <v>0</v>
      </c>
      <c r="BU112" s="6">
        <v>0</v>
      </c>
      <c r="BV112" s="6">
        <v>0</v>
      </c>
      <c r="BW112" s="6">
        <v>0</v>
      </c>
      <c r="BX112" s="6">
        <v>0</v>
      </c>
      <c r="BY112" s="6">
        <v>0</v>
      </c>
      <c r="BZ112" s="6">
        <v>0</v>
      </c>
      <c r="CA112" s="6">
        <v>0</v>
      </c>
      <c r="CB112" s="6">
        <v>0</v>
      </c>
      <c r="CC112" s="6">
        <v>0</v>
      </c>
      <c r="CD112" s="6">
        <v>0</v>
      </c>
      <c r="CE112" s="6">
        <v>0</v>
      </c>
      <c r="CF112" s="6">
        <v>0</v>
      </c>
      <c r="CG112" s="6">
        <v>0</v>
      </c>
      <c r="CH112" s="6">
        <v>0</v>
      </c>
      <c r="CI112" s="6">
        <v>0</v>
      </c>
      <c r="CJ112" s="6">
        <v>0</v>
      </c>
      <c r="CK112" s="6">
        <v>0</v>
      </c>
      <c r="CL112" s="6">
        <v>0</v>
      </c>
      <c r="CM112" s="6">
        <v>0</v>
      </c>
      <c r="CN112" s="6">
        <v>0.2546201944</v>
      </c>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7">
        <v>1.5886590481</v>
      </c>
      <c r="DN112" s="7">
        <f t="shared" si="1"/>
        <v>99.999989155000009</v>
      </c>
      <c r="DO112" s="7"/>
      <c r="DP112" s="7">
        <v>1.11982664E-2</v>
      </c>
      <c r="DQ112" s="7">
        <v>3.4359898567</v>
      </c>
      <c r="DR112" s="7">
        <v>6.5323739052000001</v>
      </c>
      <c r="DS112" s="7">
        <v>0.92090201380000003</v>
      </c>
      <c r="DT112" s="7">
        <v>1.1721924543</v>
      </c>
      <c r="DU112" s="7">
        <v>0.28521949050000001</v>
      </c>
      <c r="DV112" s="7">
        <v>3.0954892635000002</v>
      </c>
      <c r="DW112" s="7">
        <v>5.9457693100000002</v>
      </c>
      <c r="DX112" s="7">
        <v>25.2949085236</v>
      </c>
      <c r="DY112" s="7">
        <v>15.997970581100001</v>
      </c>
      <c r="DZ112" s="7">
        <v>32.680923461900001</v>
      </c>
      <c r="EA112" s="7">
        <v>1.5861341953000001</v>
      </c>
      <c r="EB112" s="7">
        <v>0.25391402839999999</v>
      </c>
      <c r="EC112" s="7">
        <v>0.83661931749999996</v>
      </c>
      <c r="ED112" s="7">
        <v>0.97362464670000004</v>
      </c>
      <c r="EE112" s="7">
        <v>0.69818532470000005</v>
      </c>
      <c r="EF112" s="7">
        <v>0.23718182739999999</v>
      </c>
      <c r="EG112" s="7">
        <v>1.4315312700000001E-2</v>
      </c>
      <c r="EH112" s="7">
        <v>2.7107926099999999E-2</v>
      </c>
      <c r="EI112" s="152"/>
    </row>
    <row r="113" spans="1:139" s="2" customFormat="1">
      <c r="A113" s="4">
        <v>46130</v>
      </c>
      <c r="B113" s="5"/>
      <c r="C113" s="3">
        <v>5</v>
      </c>
      <c r="D113" s="90" t="s">
        <v>405</v>
      </c>
      <c r="E113" s="3">
        <v>230</v>
      </c>
      <c r="F113" s="3">
        <v>230</v>
      </c>
      <c r="G113" s="3">
        <v>14.995699999999999</v>
      </c>
      <c r="H113" s="3">
        <v>15</v>
      </c>
      <c r="I113" s="3">
        <v>799.875</v>
      </c>
      <c r="J113" s="3">
        <v>803.14400000000001</v>
      </c>
      <c r="K113" s="3">
        <v>0</v>
      </c>
      <c r="L113" s="3">
        <v>0</v>
      </c>
      <c r="M113" s="3">
        <v>802.93299999999999</v>
      </c>
      <c r="N113" s="3">
        <v>803.85599999999999</v>
      </c>
      <c r="O113" s="3">
        <v>0</v>
      </c>
      <c r="P113" s="3">
        <v>0</v>
      </c>
      <c r="Q113" s="3">
        <v>0.26219999999999999</v>
      </c>
      <c r="R113" s="3">
        <v>1999.65</v>
      </c>
      <c r="S113" s="3">
        <v>1999.59</v>
      </c>
      <c r="T113" s="3">
        <v>0</v>
      </c>
      <c r="U113" s="3">
        <v>0</v>
      </c>
      <c r="V113" s="3">
        <v>1999.62</v>
      </c>
      <c r="W113" s="3">
        <v>2000.34</v>
      </c>
      <c r="X113" s="3">
        <v>0</v>
      </c>
      <c r="Y113" s="3">
        <v>0</v>
      </c>
      <c r="Z113" s="3">
        <v>220</v>
      </c>
      <c r="AA113" s="3">
        <v>2.00204</v>
      </c>
      <c r="AB113" s="3">
        <v>2.0020899999999999</v>
      </c>
      <c r="AC113" s="3">
        <v>-5.4413099999999999E-2</v>
      </c>
      <c r="AD113" s="3">
        <v>6.2035299999999996E-3</v>
      </c>
      <c r="AE113" s="3">
        <v>2.0008400000000002</v>
      </c>
      <c r="AF113" s="3">
        <v>2.0028600000000001</v>
      </c>
      <c r="AG113" s="3">
        <v>-9.9868399999999996E-2</v>
      </c>
      <c r="AH113" s="3">
        <v>-1.8181E-3</v>
      </c>
      <c r="AI113" s="7">
        <v>22.833252000000002</v>
      </c>
      <c r="AJ113" s="7">
        <v>58.397804000000001</v>
      </c>
      <c r="AK113" s="3"/>
      <c r="AL113" s="6">
        <v>88.496894835999996</v>
      </c>
      <c r="AM113" s="6">
        <v>83.613571167000003</v>
      </c>
      <c r="AN113" s="6">
        <v>16.277875900000002</v>
      </c>
      <c r="AO113" s="6">
        <v>24.025753021</v>
      </c>
      <c r="AP113" s="6">
        <v>0</v>
      </c>
      <c r="AQ113" s="6">
        <v>0</v>
      </c>
      <c r="AR113" s="6">
        <v>2.8632955999999998E-3</v>
      </c>
      <c r="AS113" s="6">
        <v>4.108184E-3</v>
      </c>
      <c r="AT113" s="6">
        <v>8.0280154999999992E-3</v>
      </c>
      <c r="AU113" s="280">
        <v>84.120048522999994</v>
      </c>
      <c r="AV113" s="280">
        <v>9.8283166884999993</v>
      </c>
      <c r="AW113" s="280">
        <v>4.7868156432999998</v>
      </c>
      <c r="AX113" s="6">
        <v>0</v>
      </c>
      <c r="AY113" s="6">
        <v>0</v>
      </c>
      <c r="AZ113" s="6">
        <v>0</v>
      </c>
      <c r="BA113" s="6">
        <v>0</v>
      </c>
      <c r="BB113" s="6">
        <v>0</v>
      </c>
      <c r="BC113" s="6">
        <v>0</v>
      </c>
      <c r="BD113" s="6">
        <v>0</v>
      </c>
      <c r="BE113" s="6">
        <v>0</v>
      </c>
      <c r="BF113" s="6">
        <v>0</v>
      </c>
      <c r="BG113" s="6">
        <v>0</v>
      </c>
      <c r="BH113" s="6">
        <v>5.5980956999999998E-3</v>
      </c>
      <c r="BI113" s="6">
        <v>7.2112562999999998E-3</v>
      </c>
      <c r="BJ113" s="6">
        <v>0.44500535730000002</v>
      </c>
      <c r="BK113" s="6">
        <v>9.5828975999999993E-3</v>
      </c>
      <c r="BL113" s="6">
        <v>0</v>
      </c>
      <c r="BM113" s="6">
        <v>0</v>
      </c>
      <c r="BN113" s="6">
        <v>0</v>
      </c>
      <c r="BO113" s="6">
        <v>0</v>
      </c>
      <c r="BP113" s="6">
        <v>0</v>
      </c>
      <c r="BQ113" s="6">
        <v>0</v>
      </c>
      <c r="BR113" s="6">
        <v>0</v>
      </c>
      <c r="BS113" s="6">
        <v>0</v>
      </c>
      <c r="BT113" s="6">
        <v>0</v>
      </c>
      <c r="BU113" s="6">
        <v>0</v>
      </c>
      <c r="BV113" s="6">
        <v>0</v>
      </c>
      <c r="BW113" s="6">
        <v>0</v>
      </c>
      <c r="BX113" s="6">
        <v>0</v>
      </c>
      <c r="BY113" s="6">
        <v>0</v>
      </c>
      <c r="BZ113" s="6">
        <v>0</v>
      </c>
      <c r="CA113" s="6">
        <v>0</v>
      </c>
      <c r="CB113" s="6">
        <v>0</v>
      </c>
      <c r="CC113" s="6">
        <v>0</v>
      </c>
      <c r="CD113" s="6">
        <v>0</v>
      </c>
      <c r="CE113" s="6">
        <v>0</v>
      </c>
      <c r="CF113" s="6">
        <v>0</v>
      </c>
      <c r="CG113" s="6">
        <v>0</v>
      </c>
      <c r="CH113" s="6">
        <v>0</v>
      </c>
      <c r="CI113" s="6">
        <v>0</v>
      </c>
      <c r="CJ113" s="6">
        <v>0</v>
      </c>
      <c r="CK113" s="6">
        <v>0</v>
      </c>
      <c r="CL113" s="6">
        <v>0</v>
      </c>
      <c r="CM113" s="6">
        <v>0</v>
      </c>
      <c r="CN113" s="6">
        <v>0.56718152759999996</v>
      </c>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7">
        <v>0.21524187920000001</v>
      </c>
      <c r="DN113" s="7">
        <f t="shared" si="1"/>
        <v>100.00000136359998</v>
      </c>
      <c r="DO113" s="7"/>
      <c r="DP113" s="6">
        <v>2.8639835999999998E-3</v>
      </c>
      <c r="DQ113" s="6">
        <v>5.5994410000000001E-3</v>
      </c>
      <c r="DR113" s="6">
        <v>4.1091712000000001E-3</v>
      </c>
      <c r="DS113" s="6">
        <v>1.3306311999999999E-3</v>
      </c>
      <c r="DT113" s="6">
        <v>7.2129890000000004E-3</v>
      </c>
      <c r="DU113" s="6">
        <v>8.0299442999999995E-3</v>
      </c>
      <c r="DV113" s="6">
        <v>1.5822213999999999E-3</v>
      </c>
      <c r="DW113" s="6">
        <v>4.4700210000000002E-3</v>
      </c>
      <c r="DX113" s="6">
        <v>5.4353725200000001E-2</v>
      </c>
      <c r="DY113" s="6">
        <v>0.3847062886</v>
      </c>
      <c r="DZ113" s="6">
        <v>84.140258789100002</v>
      </c>
      <c r="EA113" s="6">
        <v>0.56731784340000002</v>
      </c>
      <c r="EB113" s="6">
        <v>4.6073566000000002E-3</v>
      </c>
      <c r="EC113" s="6">
        <v>4.9778441999999996E-3</v>
      </c>
      <c r="ED113" s="6">
        <v>1.03177307E-2</v>
      </c>
      <c r="EE113" s="6">
        <v>9.8306779860999995</v>
      </c>
      <c r="EF113" s="6">
        <v>0.1424494684</v>
      </c>
      <c r="EG113" s="6">
        <v>4.7879657744999999</v>
      </c>
      <c r="EH113" s="6">
        <v>3.7166569400000002E-2</v>
      </c>
      <c r="EI113" s="152"/>
    </row>
    <row r="114" spans="1:139" s="2" customFormat="1">
      <c r="A114" s="4">
        <v>46130</v>
      </c>
      <c r="B114" s="5"/>
      <c r="C114" s="3">
        <v>6</v>
      </c>
      <c r="D114" s="90" t="s">
        <v>406</v>
      </c>
      <c r="E114" s="3">
        <v>230</v>
      </c>
      <c r="F114" s="3">
        <v>230</v>
      </c>
      <c r="G114" s="3">
        <v>15.0014</v>
      </c>
      <c r="H114" s="3">
        <v>15</v>
      </c>
      <c r="I114" s="3">
        <v>834.221</v>
      </c>
      <c r="J114" s="3">
        <v>833.67</v>
      </c>
      <c r="K114" s="3">
        <v>0</v>
      </c>
      <c r="L114" s="3">
        <v>0</v>
      </c>
      <c r="M114" s="3">
        <v>834.13199999999995</v>
      </c>
      <c r="N114" s="3">
        <v>833.77</v>
      </c>
      <c r="O114" s="3">
        <v>0</v>
      </c>
      <c r="P114" s="3">
        <v>0</v>
      </c>
      <c r="Q114" s="3">
        <v>0.294512</v>
      </c>
      <c r="R114" s="3">
        <v>1998.86</v>
      </c>
      <c r="S114" s="3">
        <v>1999.97</v>
      </c>
      <c r="T114" s="3">
        <v>0</v>
      </c>
      <c r="U114" s="3">
        <v>0</v>
      </c>
      <c r="V114" s="3">
        <v>2000.44</v>
      </c>
      <c r="W114" s="3">
        <v>2001.1</v>
      </c>
      <c r="X114" s="3">
        <v>0</v>
      </c>
      <c r="Y114" s="3">
        <v>0</v>
      </c>
      <c r="Z114" s="3">
        <v>220</v>
      </c>
      <c r="AA114" s="3">
        <v>1.9977199999999999</v>
      </c>
      <c r="AB114" s="3">
        <v>1.9960800000000001</v>
      </c>
      <c r="AC114" s="3">
        <v>-6.0914999999999997E-2</v>
      </c>
      <c r="AD114" s="3">
        <v>1.30317E-3</v>
      </c>
      <c r="AE114" s="3">
        <v>2.0030899999999998</v>
      </c>
      <c r="AF114" s="3">
        <v>1.9900599999999999</v>
      </c>
      <c r="AG114" s="3">
        <v>-4.2986200000000002E-2</v>
      </c>
      <c r="AH114" s="3">
        <v>-3.4913300000000001E-2</v>
      </c>
      <c r="AI114" s="7">
        <v>20.571929999999998</v>
      </c>
      <c r="AJ114" s="7">
        <v>59.200218999999997</v>
      </c>
      <c r="AK114" s="3"/>
      <c r="AL114" s="6">
        <v>79.975921631000006</v>
      </c>
      <c r="AM114" s="6">
        <v>83.396118164000001</v>
      </c>
      <c r="AN114" s="6">
        <v>16.35367012</v>
      </c>
      <c r="AO114" s="6">
        <v>72.240455627000003</v>
      </c>
      <c r="AP114" s="6">
        <v>0</v>
      </c>
      <c r="AQ114" s="6">
        <v>0</v>
      </c>
      <c r="AR114" s="6">
        <v>4.2031984328999998</v>
      </c>
      <c r="AS114" s="6">
        <v>0.97486096619999996</v>
      </c>
      <c r="AT114" s="6">
        <v>0.33296233419999999</v>
      </c>
      <c r="AU114" s="6">
        <v>21.971178054999999</v>
      </c>
      <c r="AV114" s="6">
        <v>0.27623531220000003</v>
      </c>
      <c r="AW114" s="6">
        <v>4.2606507999999998E-3</v>
      </c>
      <c r="AX114" s="6">
        <v>0</v>
      </c>
      <c r="AY114" s="6">
        <v>0</v>
      </c>
      <c r="AZ114" s="6">
        <v>0</v>
      </c>
      <c r="BA114" s="6">
        <v>0</v>
      </c>
      <c r="BB114" s="6">
        <v>0</v>
      </c>
      <c r="BC114" s="6">
        <v>0</v>
      </c>
      <c r="BD114" s="6">
        <v>0</v>
      </c>
      <c r="BE114" s="6">
        <v>0</v>
      </c>
      <c r="BF114" s="6">
        <v>0</v>
      </c>
      <c r="BG114" s="6">
        <v>0</v>
      </c>
      <c r="BH114" s="6">
        <v>7.4887261390999997</v>
      </c>
      <c r="BI114" s="6">
        <v>1.1911449432000001</v>
      </c>
      <c r="BJ114" s="6">
        <v>61.232955933</v>
      </c>
      <c r="BK114" s="6">
        <v>0.95400440689999999</v>
      </c>
      <c r="BL114" s="6">
        <v>0</v>
      </c>
      <c r="BM114" s="6">
        <v>0</v>
      </c>
      <c r="BN114" s="6">
        <v>0</v>
      </c>
      <c r="BO114" s="6">
        <v>0</v>
      </c>
      <c r="BP114" s="6">
        <v>0</v>
      </c>
      <c r="BQ114" s="6">
        <v>0</v>
      </c>
      <c r="BR114" s="6">
        <v>0</v>
      </c>
      <c r="BS114" s="6">
        <v>0</v>
      </c>
      <c r="BT114" s="6">
        <v>0</v>
      </c>
      <c r="BU114" s="6">
        <v>0</v>
      </c>
      <c r="BV114" s="6">
        <v>0</v>
      </c>
      <c r="BW114" s="6">
        <v>0</v>
      </c>
      <c r="BX114" s="6">
        <v>0</v>
      </c>
      <c r="BY114" s="6">
        <v>0</v>
      </c>
      <c r="BZ114" s="6">
        <v>0</v>
      </c>
      <c r="CA114" s="6">
        <v>0</v>
      </c>
      <c r="CB114" s="6">
        <v>0</v>
      </c>
      <c r="CC114" s="6">
        <v>0</v>
      </c>
      <c r="CD114" s="6">
        <v>0</v>
      </c>
      <c r="CE114" s="6">
        <v>0</v>
      </c>
      <c r="CF114" s="6">
        <v>0</v>
      </c>
      <c r="CG114" s="6">
        <v>0</v>
      </c>
      <c r="CH114" s="6">
        <v>0</v>
      </c>
      <c r="CI114" s="6">
        <v>0</v>
      </c>
      <c r="CJ114" s="6">
        <v>0</v>
      </c>
      <c r="CK114" s="6">
        <v>0</v>
      </c>
      <c r="CL114" s="6">
        <v>0</v>
      </c>
      <c r="CM114" s="6">
        <v>0</v>
      </c>
      <c r="CN114" s="6">
        <v>0.26471009849999999</v>
      </c>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7">
        <v>1.1057758331</v>
      </c>
      <c r="DN114" s="7">
        <f t="shared" si="1"/>
        <v>100.00001310510001</v>
      </c>
      <c r="DO114" s="7"/>
      <c r="DP114" s="6">
        <v>1.9868101900000001E-2</v>
      </c>
      <c r="DQ114" s="6">
        <v>4.1948833466000002</v>
      </c>
      <c r="DR114" s="6">
        <v>7.4739112853999998</v>
      </c>
      <c r="DS114" s="6">
        <v>0.9729323983</v>
      </c>
      <c r="DT114" s="6">
        <v>1.1887885332000001</v>
      </c>
      <c r="DU114" s="6">
        <v>0.3323036432</v>
      </c>
      <c r="DV114" s="6">
        <v>5.0601868629000002</v>
      </c>
      <c r="DW114" s="6">
        <v>7.5935969352999999</v>
      </c>
      <c r="DX114" s="6">
        <v>29.609020233199999</v>
      </c>
      <c r="DY114" s="6">
        <v>18.849014282199999</v>
      </c>
      <c r="DZ114" s="6">
        <v>21.927713394200001</v>
      </c>
      <c r="EA114" s="6">
        <v>1.1175214052</v>
      </c>
      <c r="EB114" s="6">
        <v>0.26418644190000001</v>
      </c>
      <c r="EC114" s="6">
        <v>0.44988527890000002</v>
      </c>
      <c r="ED114" s="6">
        <v>0.50223183630000001</v>
      </c>
      <c r="EE114" s="6">
        <v>0.27568885679999999</v>
      </c>
      <c r="EF114" s="6">
        <v>0.1442439854</v>
      </c>
      <c r="EG114" s="6">
        <v>4.2522224000000001E-3</v>
      </c>
      <c r="EH114" s="6">
        <v>1.97831802E-2</v>
      </c>
      <c r="EI114" s="152"/>
    </row>
    <row r="115" spans="1:139" s="2" customFormat="1">
      <c r="A115" s="4">
        <v>46130</v>
      </c>
      <c r="B115" s="5"/>
      <c r="C115" s="3">
        <v>1</v>
      </c>
      <c r="D115" s="90" t="s">
        <v>407</v>
      </c>
      <c r="E115" s="3">
        <v>230</v>
      </c>
      <c r="F115" s="3">
        <v>230</v>
      </c>
      <c r="G115" s="3">
        <v>15.0159</v>
      </c>
      <c r="H115" s="3">
        <v>14.994199999999999</v>
      </c>
      <c r="I115" s="3">
        <v>782.62300000000005</v>
      </c>
      <c r="J115" s="3">
        <v>782.22699999999998</v>
      </c>
      <c r="K115" s="3">
        <v>0</v>
      </c>
      <c r="L115" s="3">
        <v>0</v>
      </c>
      <c r="M115" s="3">
        <v>782.25</v>
      </c>
      <c r="N115" s="3">
        <v>781.78899999999999</v>
      </c>
      <c r="O115" s="3">
        <v>0</v>
      </c>
      <c r="P115" s="3">
        <v>0</v>
      </c>
      <c r="Q115" s="3">
        <v>0.23915500000000001</v>
      </c>
      <c r="R115" s="3">
        <v>2001.26</v>
      </c>
      <c r="S115" s="3">
        <v>2000.43</v>
      </c>
      <c r="T115" s="3">
        <v>0</v>
      </c>
      <c r="U115" s="3">
        <v>0</v>
      </c>
      <c r="V115" s="3">
        <v>1999.95</v>
      </c>
      <c r="W115" s="3">
        <v>2000.07</v>
      </c>
      <c r="X115" s="3">
        <v>0</v>
      </c>
      <c r="Y115" s="3">
        <v>0</v>
      </c>
      <c r="Z115" s="3">
        <v>220.1</v>
      </c>
      <c r="AA115" s="3">
        <v>1.99604</v>
      </c>
      <c r="AB115" s="3">
        <v>2.0013100000000001</v>
      </c>
      <c r="AC115" s="3">
        <v>-6.3669500000000004E-2</v>
      </c>
      <c r="AD115" s="3">
        <v>-9.4950799999999995E-4</v>
      </c>
      <c r="AE115" s="3">
        <v>1.9986999999999999</v>
      </c>
      <c r="AF115" s="3">
        <v>1.9969699999999999</v>
      </c>
      <c r="AG115" s="3">
        <v>-9.4749E-2</v>
      </c>
      <c r="AH115" s="3">
        <v>-1.7226700000000001E-2</v>
      </c>
      <c r="AI115" s="7">
        <v>22.920490999999998</v>
      </c>
      <c r="AJ115" s="7">
        <v>58.207368000000002</v>
      </c>
      <c r="AK115" s="3"/>
      <c r="AL115" s="6">
        <v>81.256736755000006</v>
      </c>
      <c r="AM115" s="6">
        <v>83.428756714000002</v>
      </c>
      <c r="AN115" s="6">
        <v>16.238828658999999</v>
      </c>
      <c r="AO115" s="6">
        <v>65.025787352999998</v>
      </c>
      <c r="AP115" s="6">
        <v>0</v>
      </c>
      <c r="AQ115" s="6">
        <v>0</v>
      </c>
      <c r="AR115" s="6">
        <v>3.4292795657999999</v>
      </c>
      <c r="AS115" s="6">
        <v>0.92494875190000003</v>
      </c>
      <c r="AT115" s="6">
        <v>0.26613935830000002</v>
      </c>
      <c r="AU115" s="6">
        <v>31.594985961999999</v>
      </c>
      <c r="AV115" s="6">
        <v>0.66733032459999997</v>
      </c>
      <c r="AW115" s="6">
        <v>1.3854012799999999E-2</v>
      </c>
      <c r="AX115" s="6">
        <v>0</v>
      </c>
      <c r="AY115" s="6">
        <v>0</v>
      </c>
      <c r="AZ115" s="6">
        <v>0</v>
      </c>
      <c r="BA115" s="6">
        <v>0</v>
      </c>
      <c r="BB115" s="6">
        <v>0</v>
      </c>
      <c r="BC115" s="6">
        <v>0</v>
      </c>
      <c r="BD115" s="6">
        <v>0</v>
      </c>
      <c r="BE115" s="6">
        <v>0</v>
      </c>
      <c r="BF115" s="6">
        <v>0</v>
      </c>
      <c r="BG115" s="6">
        <v>0</v>
      </c>
      <c r="BH115" s="6">
        <v>6.4467911720000002</v>
      </c>
      <c r="BI115" s="6">
        <v>1.1141761540999999</v>
      </c>
      <c r="BJ115" s="6">
        <v>51.774681090999998</v>
      </c>
      <c r="BK115" s="6">
        <v>1.8648673296</v>
      </c>
      <c r="BL115" s="6">
        <v>0</v>
      </c>
      <c r="BM115" s="6">
        <v>0</v>
      </c>
      <c r="BN115" s="6">
        <v>0</v>
      </c>
      <c r="BO115" s="6">
        <v>0</v>
      </c>
      <c r="BP115" s="6">
        <v>0</v>
      </c>
      <c r="BQ115" s="6">
        <v>0</v>
      </c>
      <c r="BR115" s="6">
        <v>0</v>
      </c>
      <c r="BS115" s="6">
        <v>0</v>
      </c>
      <c r="BT115" s="6">
        <v>0</v>
      </c>
      <c r="BU115" s="6">
        <v>0</v>
      </c>
      <c r="BV115" s="6">
        <v>0</v>
      </c>
      <c r="BW115" s="6">
        <v>0</v>
      </c>
      <c r="BX115" s="6">
        <v>0</v>
      </c>
      <c r="BY115" s="6">
        <v>0</v>
      </c>
      <c r="BZ115" s="6">
        <v>0</v>
      </c>
      <c r="CA115" s="6">
        <v>0</v>
      </c>
      <c r="CB115" s="6">
        <v>0</v>
      </c>
      <c r="CC115" s="6">
        <v>0</v>
      </c>
      <c r="CD115" s="6">
        <v>0</v>
      </c>
      <c r="CE115" s="6">
        <v>0</v>
      </c>
      <c r="CF115" s="6">
        <v>0</v>
      </c>
      <c r="CG115" s="6">
        <v>0</v>
      </c>
      <c r="CH115" s="6">
        <v>0</v>
      </c>
      <c r="CI115" s="6">
        <v>0</v>
      </c>
      <c r="CJ115" s="6">
        <v>0</v>
      </c>
      <c r="CK115" s="6">
        <v>0</v>
      </c>
      <c r="CL115" s="6">
        <v>0</v>
      </c>
      <c r="CM115" s="6">
        <v>0</v>
      </c>
      <c r="CN115" s="6">
        <v>0.27834251519999997</v>
      </c>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7">
        <v>1.6246075630000001</v>
      </c>
      <c r="DN115" s="7">
        <f t="shared" si="1"/>
        <v>100.00000380029999</v>
      </c>
      <c r="DO115" s="7"/>
      <c r="DP115" s="6">
        <v>1.2335226899999999E-2</v>
      </c>
      <c r="DQ115" s="6">
        <v>3.4190716743</v>
      </c>
      <c r="DR115" s="6">
        <v>6.4276008606000001</v>
      </c>
      <c r="DS115" s="6">
        <v>0.92219543459999997</v>
      </c>
      <c r="DT115" s="6">
        <v>1.1108595133000001</v>
      </c>
      <c r="DU115" s="6">
        <v>0.26534712310000003</v>
      </c>
      <c r="DV115" s="6">
        <v>3.2935266495</v>
      </c>
      <c r="DW115" s="6">
        <v>5.9949784278999996</v>
      </c>
      <c r="DX115" s="6">
        <v>25.9165077209</v>
      </c>
      <c r="DY115" s="6">
        <v>16.415550231899999</v>
      </c>
      <c r="DZ115" s="6">
        <v>31.500936508199999</v>
      </c>
      <c r="EA115" s="6">
        <v>1.6684343815</v>
      </c>
      <c r="EB115" s="6">
        <v>0.27751398090000001</v>
      </c>
      <c r="EC115" s="6">
        <v>0.87642502779999998</v>
      </c>
      <c r="ED115" s="6">
        <v>0.98289108280000004</v>
      </c>
      <c r="EE115" s="6">
        <v>0.66534388069999995</v>
      </c>
      <c r="EF115" s="6">
        <v>0.2150294036</v>
      </c>
      <c r="EG115" s="6">
        <v>1.3812772900000001E-2</v>
      </c>
      <c r="EH115" s="6">
        <v>2.1654009799999999E-2</v>
      </c>
      <c r="EI115" s="152"/>
    </row>
    <row r="116" spans="1:139" s="2" customFormat="1">
      <c r="A116" s="4">
        <v>46130</v>
      </c>
      <c r="B116" s="5"/>
      <c r="C116" s="3">
        <v>2</v>
      </c>
      <c r="D116" s="90" t="s">
        <v>408</v>
      </c>
      <c r="E116" s="3">
        <v>230</v>
      </c>
      <c r="F116" s="3">
        <v>230</v>
      </c>
      <c r="G116" s="3">
        <v>14.992800000000001</v>
      </c>
      <c r="H116" s="3">
        <v>14.994199999999999</v>
      </c>
      <c r="I116" s="3">
        <v>791.87699999999995</v>
      </c>
      <c r="J116" s="3">
        <v>792.02300000000002</v>
      </c>
      <c r="K116" s="3">
        <v>0</v>
      </c>
      <c r="L116" s="3">
        <v>0</v>
      </c>
      <c r="M116" s="3">
        <v>791.99699999999996</v>
      </c>
      <c r="N116" s="3">
        <v>792.16700000000003</v>
      </c>
      <c r="O116" s="3">
        <v>0</v>
      </c>
      <c r="P116" s="3">
        <v>0</v>
      </c>
      <c r="Q116" s="3">
        <v>0.29200300000000001</v>
      </c>
      <c r="R116" s="3">
        <v>2000.3</v>
      </c>
      <c r="S116" s="3">
        <v>1999.23</v>
      </c>
      <c r="T116" s="3">
        <v>0</v>
      </c>
      <c r="U116" s="3">
        <v>0</v>
      </c>
      <c r="V116" s="3">
        <v>1999.63</v>
      </c>
      <c r="W116" s="3">
        <v>1999.79</v>
      </c>
      <c r="X116" s="3">
        <v>0</v>
      </c>
      <c r="Y116" s="3">
        <v>0</v>
      </c>
      <c r="Z116" s="3">
        <v>220</v>
      </c>
      <c r="AA116" s="3">
        <v>2.00488</v>
      </c>
      <c r="AB116" s="3">
        <v>1.9999400000000001</v>
      </c>
      <c r="AC116" s="3">
        <v>-6.4502900000000002E-2</v>
      </c>
      <c r="AD116" s="3">
        <v>8.1826499999999999E-4</v>
      </c>
      <c r="AE116" s="3">
        <v>2.0005600000000001</v>
      </c>
      <c r="AF116" s="3">
        <v>1.9960899999999999</v>
      </c>
      <c r="AG116" s="3">
        <v>-0.10592600000000001</v>
      </c>
      <c r="AH116" s="3">
        <v>-2.1141099999999999E-2</v>
      </c>
      <c r="AI116" s="7">
        <v>20.375419000000001</v>
      </c>
      <c r="AJ116" s="7">
        <v>59.638567000000002</v>
      </c>
      <c r="AK116" s="3"/>
      <c r="AL116" s="6">
        <v>81.116889954000001</v>
      </c>
      <c r="AM116" s="6">
        <v>83.425170898000005</v>
      </c>
      <c r="AN116" s="6">
        <v>16.250535965000001</v>
      </c>
      <c r="AO116" s="6">
        <v>64.311019897999998</v>
      </c>
      <c r="AP116" s="6">
        <v>0</v>
      </c>
      <c r="AQ116" s="6">
        <v>0</v>
      </c>
      <c r="AR116" s="6">
        <v>3.4709384441000002</v>
      </c>
      <c r="AS116" s="6">
        <v>0.93024748560000003</v>
      </c>
      <c r="AT116" s="6">
        <v>0.29775327439999999</v>
      </c>
      <c r="AU116" s="6">
        <v>33.125537872000002</v>
      </c>
      <c r="AV116" s="6">
        <v>0.70704251529999995</v>
      </c>
      <c r="AW116" s="6">
        <v>1.46073457E-2</v>
      </c>
      <c r="AX116" s="6">
        <v>0</v>
      </c>
      <c r="AY116" s="6">
        <v>0</v>
      </c>
      <c r="AZ116" s="6">
        <v>0</v>
      </c>
      <c r="BA116" s="6">
        <v>0</v>
      </c>
      <c r="BB116" s="6">
        <v>0</v>
      </c>
      <c r="BC116" s="6">
        <v>0</v>
      </c>
      <c r="BD116" s="6">
        <v>0</v>
      </c>
      <c r="BE116" s="6">
        <v>0</v>
      </c>
      <c r="BF116" s="6">
        <v>0</v>
      </c>
      <c r="BG116" s="6">
        <v>0</v>
      </c>
      <c r="BH116" s="6">
        <v>6.6337122917000002</v>
      </c>
      <c r="BI116" s="6">
        <v>1.2113184929</v>
      </c>
      <c r="BJ116" s="6">
        <v>50.004875183000003</v>
      </c>
      <c r="BK116" s="6">
        <v>1.7817351818</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c r="CE116" s="6">
        <v>0</v>
      </c>
      <c r="CF116" s="6">
        <v>0</v>
      </c>
      <c r="CG116" s="6">
        <v>0</v>
      </c>
      <c r="CH116" s="6">
        <v>0</v>
      </c>
      <c r="CI116" s="6">
        <v>0</v>
      </c>
      <c r="CJ116" s="6">
        <v>0</v>
      </c>
      <c r="CK116" s="6">
        <v>0</v>
      </c>
      <c r="CL116" s="6">
        <v>0</v>
      </c>
      <c r="CM116" s="6">
        <v>0</v>
      </c>
      <c r="CN116" s="6">
        <v>0.2450700998</v>
      </c>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7">
        <v>1.5771760940999999</v>
      </c>
      <c r="DN116" s="7">
        <f t="shared" si="1"/>
        <v>100.00001428040001</v>
      </c>
      <c r="DO116" s="7"/>
      <c r="DP116" s="6">
        <v>1.0917828399999999E-2</v>
      </c>
      <c r="DQ116" s="6">
        <v>3.4615328312</v>
      </c>
      <c r="DR116" s="6">
        <v>6.6157360076999998</v>
      </c>
      <c r="DS116" s="6">
        <v>0.92772668599999997</v>
      </c>
      <c r="DT116" s="6">
        <v>1.2080360650999999</v>
      </c>
      <c r="DU116" s="6">
        <v>0.29694640639999997</v>
      </c>
      <c r="DV116" s="6">
        <v>3.038351059</v>
      </c>
      <c r="DW116" s="6">
        <v>5.9147944450000001</v>
      </c>
      <c r="DX116" s="6">
        <v>25.075780868500001</v>
      </c>
      <c r="DY116" s="6">
        <v>15.8404417038</v>
      </c>
      <c r="DZ116" s="6">
        <v>33.035774230999998</v>
      </c>
      <c r="EA116" s="6">
        <v>1.5600708723000001</v>
      </c>
      <c r="EB116" s="6">
        <v>0.2444059998</v>
      </c>
      <c r="EC116" s="6">
        <v>0.8199006915</v>
      </c>
      <c r="ED116" s="6">
        <v>0.95700633530000001</v>
      </c>
      <c r="EE116" s="6">
        <v>0.70512658360000002</v>
      </c>
      <c r="EF116" s="6">
        <v>0.2442337275</v>
      </c>
      <c r="EG116" s="6">
        <v>1.4567762600000001E-2</v>
      </c>
      <c r="EH116" s="6">
        <v>2.8635032500000001E-2</v>
      </c>
      <c r="EI116" s="152"/>
    </row>
    <row r="117" spans="1:139" s="2" customFormat="1">
      <c r="A117" s="4">
        <v>46130</v>
      </c>
      <c r="B117" s="5"/>
      <c r="C117" s="3">
        <v>5</v>
      </c>
      <c r="D117" s="90" t="s">
        <v>409</v>
      </c>
      <c r="E117" s="3">
        <v>230.1</v>
      </c>
      <c r="F117" s="3">
        <v>230</v>
      </c>
      <c r="G117" s="3">
        <v>14.9986</v>
      </c>
      <c r="H117" s="3">
        <v>14.995699999999999</v>
      </c>
      <c r="I117" s="3">
        <v>793.255</v>
      </c>
      <c r="J117" s="3">
        <v>794.50900000000001</v>
      </c>
      <c r="K117" s="3">
        <v>0</v>
      </c>
      <c r="L117" s="3">
        <v>0</v>
      </c>
      <c r="M117" s="3">
        <v>793.54200000000003</v>
      </c>
      <c r="N117" s="3">
        <v>794.01300000000003</v>
      </c>
      <c r="O117" s="3">
        <v>0</v>
      </c>
      <c r="P117" s="3">
        <v>0</v>
      </c>
      <c r="Q117" s="3">
        <v>0.37323499999999998</v>
      </c>
      <c r="R117" s="3">
        <v>1999.77</v>
      </c>
      <c r="S117" s="3">
        <v>2000.24</v>
      </c>
      <c r="T117" s="3">
        <v>0</v>
      </c>
      <c r="U117" s="3">
        <v>0</v>
      </c>
      <c r="V117" s="3">
        <v>2000.58</v>
      </c>
      <c r="W117" s="3">
        <v>2000.26</v>
      </c>
      <c r="X117" s="3">
        <v>0</v>
      </c>
      <c r="Y117" s="3">
        <v>0</v>
      </c>
      <c r="Z117" s="3">
        <v>220.1</v>
      </c>
      <c r="AA117" s="3">
        <v>1.9963200000000001</v>
      </c>
      <c r="AB117" s="3">
        <v>2.0029499999999998</v>
      </c>
      <c r="AC117" s="3">
        <v>-5.3816500000000003E-2</v>
      </c>
      <c r="AD117" s="3">
        <v>-6.0201200000000003E-3</v>
      </c>
      <c r="AE117" s="3">
        <v>2.00095</v>
      </c>
      <c r="AF117" s="3">
        <v>2.00962</v>
      </c>
      <c r="AG117" s="3">
        <v>-6.9278000000000006E-2</v>
      </c>
      <c r="AH117" s="3">
        <v>-6.9551300000000003E-3</v>
      </c>
      <c r="AI117" s="7">
        <v>22.912787000000002</v>
      </c>
      <c r="AJ117" s="7">
        <v>58.454413000000002</v>
      </c>
      <c r="AK117" s="3"/>
      <c r="AL117" s="6">
        <v>88.521095275999997</v>
      </c>
      <c r="AM117" s="6">
        <v>83.614051818999997</v>
      </c>
      <c r="AN117" s="6">
        <v>16.282138824</v>
      </c>
      <c r="AO117" s="6">
        <v>23.963333129999999</v>
      </c>
      <c r="AP117" s="6">
        <v>0</v>
      </c>
      <c r="AQ117" s="6">
        <v>0</v>
      </c>
      <c r="AR117" s="6">
        <v>4.1423412E-3</v>
      </c>
      <c r="AS117" s="6">
        <v>1.2167547E-3</v>
      </c>
      <c r="AT117" s="6">
        <v>9.8830209999999996E-4</v>
      </c>
      <c r="AU117" s="280">
        <v>84.000358581</v>
      </c>
      <c r="AV117" s="280">
        <v>9.8472719193000007</v>
      </c>
      <c r="AW117" s="280">
        <v>4.9341721534999996</v>
      </c>
      <c r="AX117" s="6">
        <v>0</v>
      </c>
      <c r="AY117" s="6">
        <v>0</v>
      </c>
      <c r="AZ117" s="6">
        <v>0</v>
      </c>
      <c r="BA117" s="6">
        <v>0</v>
      </c>
      <c r="BB117" s="6">
        <v>0</v>
      </c>
      <c r="BC117" s="6">
        <v>0</v>
      </c>
      <c r="BD117" s="6">
        <v>0</v>
      </c>
      <c r="BE117" s="6">
        <v>0</v>
      </c>
      <c r="BF117" s="6">
        <v>0</v>
      </c>
      <c r="BG117" s="6">
        <v>0</v>
      </c>
      <c r="BH117" s="6">
        <v>6.6258232000000004E-3</v>
      </c>
      <c r="BI117" s="6">
        <v>1.5873028999999999E-3</v>
      </c>
      <c r="BJ117" s="6">
        <v>0.44887197020000003</v>
      </c>
      <c r="BK117" s="6">
        <v>1.6447031E-3</v>
      </c>
      <c r="BL117" s="6">
        <v>0</v>
      </c>
      <c r="BM117" s="6">
        <v>0</v>
      </c>
      <c r="BN117" s="6">
        <v>0</v>
      </c>
      <c r="BO117" s="6">
        <v>0</v>
      </c>
      <c r="BP117" s="6">
        <v>0</v>
      </c>
      <c r="BQ117" s="6">
        <v>0</v>
      </c>
      <c r="BR117" s="6">
        <v>0</v>
      </c>
      <c r="BS117" s="6">
        <v>0</v>
      </c>
      <c r="BT117" s="6">
        <v>0</v>
      </c>
      <c r="BU117" s="6">
        <v>0</v>
      </c>
      <c r="BV117" s="6">
        <v>0</v>
      </c>
      <c r="BW117" s="6">
        <v>0</v>
      </c>
      <c r="BX117" s="6">
        <v>0</v>
      </c>
      <c r="BY117" s="6">
        <v>0</v>
      </c>
      <c r="BZ117" s="6">
        <v>0</v>
      </c>
      <c r="CA117" s="6">
        <v>0</v>
      </c>
      <c r="CB117" s="6">
        <v>0</v>
      </c>
      <c r="CC117" s="6">
        <v>0</v>
      </c>
      <c r="CD117" s="6">
        <v>0</v>
      </c>
      <c r="CE117" s="6">
        <v>0</v>
      </c>
      <c r="CF117" s="6">
        <v>0</v>
      </c>
      <c r="CG117" s="6">
        <v>0</v>
      </c>
      <c r="CH117" s="6">
        <v>0</v>
      </c>
      <c r="CI117" s="6">
        <v>0</v>
      </c>
      <c r="CJ117" s="6">
        <v>0</v>
      </c>
      <c r="CK117" s="6">
        <v>0</v>
      </c>
      <c r="CL117" s="6">
        <v>0</v>
      </c>
      <c r="CM117" s="6">
        <v>0</v>
      </c>
      <c r="CN117" s="6">
        <v>0.5690146089</v>
      </c>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7">
        <v>0.18410070240000001</v>
      </c>
      <c r="DN117" s="7">
        <f t="shared" si="1"/>
        <v>99.999995162500014</v>
      </c>
      <c r="DO117" s="7"/>
      <c r="DP117" s="6">
        <v>4.1431831000000004E-3</v>
      </c>
      <c r="DQ117" s="6">
        <v>6.6271699000000003E-3</v>
      </c>
      <c r="DR117" s="6">
        <v>1.217002E-3</v>
      </c>
      <c r="DS117" s="6">
        <v>1.5876256E-3</v>
      </c>
      <c r="DT117" s="6">
        <v>9.8850299999999995E-4</v>
      </c>
      <c r="DU117" s="6">
        <v>2.2994843000000002E-3</v>
      </c>
      <c r="DV117" s="6">
        <v>5.6341789E-3</v>
      </c>
      <c r="DW117" s="6">
        <v>5.5384241000000001E-2</v>
      </c>
      <c r="DX117" s="6">
        <v>0.38564530009999998</v>
      </c>
      <c r="DY117" s="6">
        <v>84.017440795900001</v>
      </c>
      <c r="DZ117" s="6">
        <v>0.56913030149999999</v>
      </c>
      <c r="EA117" s="6">
        <v>1.6450373999999999E-3</v>
      </c>
      <c r="EB117" s="6">
        <v>9.5873390999999999E-3</v>
      </c>
      <c r="EC117" s="6">
        <v>9.8492746353000005</v>
      </c>
      <c r="ED117" s="6">
        <v>0.13572414220000001</v>
      </c>
      <c r="EE117" s="6">
        <v>4.9351754189000001</v>
      </c>
      <c r="EF117" s="6">
        <v>1.85037404E-2</v>
      </c>
      <c r="EG117" s="6"/>
      <c r="EH117" s="6"/>
      <c r="EI117" s="152"/>
    </row>
    <row r="118" spans="1:139" s="2" customFormat="1">
      <c r="A118" s="4">
        <v>46130</v>
      </c>
      <c r="B118" s="5"/>
      <c r="C118" s="3">
        <v>6</v>
      </c>
      <c r="D118" s="90" t="s">
        <v>410</v>
      </c>
      <c r="E118" s="3">
        <v>229.9</v>
      </c>
      <c r="F118" s="3">
        <v>230</v>
      </c>
      <c r="G118" s="3">
        <v>15.004300000000001</v>
      </c>
      <c r="H118" s="3">
        <v>15</v>
      </c>
      <c r="I118" s="3">
        <v>821.14200000000005</v>
      </c>
      <c r="J118" s="3">
        <v>822.06600000000003</v>
      </c>
      <c r="K118" s="3">
        <v>0</v>
      </c>
      <c r="L118" s="3">
        <v>0</v>
      </c>
      <c r="M118" s="3">
        <v>821.98299999999995</v>
      </c>
      <c r="N118" s="3">
        <v>821.21699999999998</v>
      </c>
      <c r="O118" s="3">
        <v>0</v>
      </c>
      <c r="P118" s="3">
        <v>0</v>
      </c>
      <c r="Q118" s="3">
        <v>0.18425900000000001</v>
      </c>
      <c r="R118" s="3">
        <v>2000.78</v>
      </c>
      <c r="S118" s="3">
        <v>1999.83</v>
      </c>
      <c r="T118" s="3">
        <v>0</v>
      </c>
      <c r="U118" s="3">
        <v>0</v>
      </c>
      <c r="V118" s="3">
        <v>2000.15</v>
      </c>
      <c r="W118" s="3">
        <v>1999.08</v>
      </c>
      <c r="X118" s="3">
        <v>0</v>
      </c>
      <c r="Y118" s="3">
        <v>0</v>
      </c>
      <c r="Z118" s="3">
        <v>220</v>
      </c>
      <c r="AA118" s="3">
        <v>2.00569</v>
      </c>
      <c r="AB118" s="3">
        <v>1.9993300000000001</v>
      </c>
      <c r="AC118" s="3">
        <v>-6.1930899999999997E-2</v>
      </c>
      <c r="AD118" s="3">
        <v>2.7689799999999999E-3</v>
      </c>
      <c r="AE118" s="3">
        <v>2.0000599999999999</v>
      </c>
      <c r="AF118" s="3">
        <v>2.0097800000000001</v>
      </c>
      <c r="AG118" s="3">
        <v>-9.5828899999999995E-2</v>
      </c>
      <c r="AH118" s="3">
        <v>-5.7143300000000001E-2</v>
      </c>
      <c r="AI118" s="7">
        <v>20.627074</v>
      </c>
      <c r="AJ118" s="7">
        <v>59.253219999999999</v>
      </c>
      <c r="AK118" s="3"/>
      <c r="AL118" s="6">
        <v>79.906776428000001</v>
      </c>
      <c r="AM118" s="6">
        <v>83.394210814999994</v>
      </c>
      <c r="AN118" s="6">
        <v>16.356044769</v>
      </c>
      <c r="AO118" s="6">
        <v>72.104095459000007</v>
      </c>
      <c r="AP118" s="6">
        <v>0</v>
      </c>
      <c r="AQ118" s="6">
        <v>0</v>
      </c>
      <c r="AR118" s="6">
        <v>4.2377924918999996</v>
      </c>
      <c r="AS118" s="6">
        <v>0.99104374650000004</v>
      </c>
      <c r="AT118" s="6">
        <v>0.33941417930000001</v>
      </c>
      <c r="AU118" s="6">
        <v>22.264442444</v>
      </c>
      <c r="AV118" s="6">
        <v>0.28233465549999998</v>
      </c>
      <c r="AW118" s="6">
        <v>4.1044419999999998E-3</v>
      </c>
      <c r="AX118" s="6">
        <v>0</v>
      </c>
      <c r="AY118" s="6">
        <v>0</v>
      </c>
      <c r="AZ118" s="6">
        <v>0</v>
      </c>
      <c r="BA118" s="6">
        <v>0</v>
      </c>
      <c r="BB118" s="6">
        <v>0</v>
      </c>
      <c r="BC118" s="6">
        <v>0</v>
      </c>
      <c r="BD118" s="6">
        <v>0</v>
      </c>
      <c r="BE118" s="6">
        <v>0</v>
      </c>
      <c r="BF118" s="6">
        <v>0</v>
      </c>
      <c r="BG118" s="6">
        <v>0</v>
      </c>
      <c r="BH118" s="6">
        <v>7.5835962296000003</v>
      </c>
      <c r="BI118" s="6">
        <v>1.2217653989999999</v>
      </c>
      <c r="BJ118" s="6">
        <v>60.753372192</v>
      </c>
      <c r="BK118" s="6">
        <v>0.95948529240000002</v>
      </c>
      <c r="BL118" s="6">
        <v>0</v>
      </c>
      <c r="BM118" s="6">
        <v>0</v>
      </c>
      <c r="BN118" s="6">
        <v>0</v>
      </c>
      <c r="BO118" s="6">
        <v>0</v>
      </c>
      <c r="BP118" s="6">
        <v>0</v>
      </c>
      <c r="BQ118" s="6">
        <v>0</v>
      </c>
      <c r="BR118" s="6">
        <v>0</v>
      </c>
      <c r="BS118" s="6">
        <v>0</v>
      </c>
      <c r="BT118" s="6">
        <v>0</v>
      </c>
      <c r="BU118" s="6">
        <v>0</v>
      </c>
      <c r="BV118" s="6">
        <v>0</v>
      </c>
      <c r="BW118" s="6">
        <v>0</v>
      </c>
      <c r="BX118" s="6">
        <v>0</v>
      </c>
      <c r="BY118" s="6">
        <v>0</v>
      </c>
      <c r="BZ118" s="6">
        <v>0</v>
      </c>
      <c r="CA118" s="6">
        <v>0</v>
      </c>
      <c r="CB118" s="6">
        <v>0</v>
      </c>
      <c r="CC118" s="6">
        <v>0</v>
      </c>
      <c r="CD118" s="6">
        <v>0</v>
      </c>
      <c r="CE118" s="6">
        <v>0</v>
      </c>
      <c r="CF118" s="6">
        <v>0</v>
      </c>
      <c r="CG118" s="6">
        <v>0</v>
      </c>
      <c r="CH118" s="6">
        <v>0</v>
      </c>
      <c r="CI118" s="6">
        <v>0</v>
      </c>
      <c r="CJ118" s="6">
        <v>0</v>
      </c>
      <c r="CK118" s="6">
        <v>0</v>
      </c>
      <c r="CL118" s="6">
        <v>0</v>
      </c>
      <c r="CM118" s="6">
        <v>0</v>
      </c>
      <c r="CN118" s="6">
        <v>0.25943663719999999</v>
      </c>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7">
        <v>1.1031850576</v>
      </c>
      <c r="DN118" s="7">
        <f t="shared" si="1"/>
        <v>99.999972767000003</v>
      </c>
      <c r="DO118" s="7"/>
      <c r="DP118" s="6">
        <v>1.97243057E-2</v>
      </c>
      <c r="DQ118" s="6">
        <v>4.2295303344999997</v>
      </c>
      <c r="DR118" s="6">
        <v>7.5688109397999996</v>
      </c>
      <c r="DS118" s="6">
        <v>0.98911154270000001</v>
      </c>
      <c r="DT118" s="6">
        <v>1.2193834781999999</v>
      </c>
      <c r="DU118" s="6">
        <v>0.33875244859999998</v>
      </c>
      <c r="DV118" s="6">
        <v>4.9275722503999999</v>
      </c>
      <c r="DW118" s="6">
        <v>7.5569415091999996</v>
      </c>
      <c r="DX118" s="6">
        <v>29.426113128699999</v>
      </c>
      <c r="DY118" s="6">
        <v>18.724298477200001</v>
      </c>
      <c r="DZ118" s="6">
        <v>22.221035003699999</v>
      </c>
      <c r="EA118" s="6">
        <v>1.1070206165000001</v>
      </c>
      <c r="EB118" s="6">
        <v>0.25893083210000001</v>
      </c>
      <c r="EC118" s="6">
        <v>0.44997075199999997</v>
      </c>
      <c r="ED118" s="6">
        <v>0.50764393809999997</v>
      </c>
      <c r="EE118" s="6">
        <v>0.28178417680000001</v>
      </c>
      <c r="EF118" s="6">
        <v>0.14879289270000001</v>
      </c>
      <c r="EG118" s="6">
        <v>4.0964399999999998E-3</v>
      </c>
      <c r="EH118" s="6">
        <v>2.0483775100000001E-2</v>
      </c>
      <c r="EI118" s="152"/>
    </row>
    <row r="119" spans="1:139" s="2" customFormat="1">
      <c r="A119" s="4">
        <v>46130</v>
      </c>
      <c r="B119" s="5"/>
      <c r="C119" s="3">
        <v>1</v>
      </c>
      <c r="D119" s="90" t="s">
        <v>411</v>
      </c>
      <c r="E119" s="3">
        <v>230</v>
      </c>
      <c r="F119" s="3">
        <v>230</v>
      </c>
      <c r="G119" s="3">
        <v>15.013</v>
      </c>
      <c r="H119" s="3">
        <v>15.007199999999999</v>
      </c>
      <c r="I119" s="3">
        <v>781.55100000000004</v>
      </c>
      <c r="J119" s="3">
        <v>783.05700000000002</v>
      </c>
      <c r="K119" s="3">
        <v>0</v>
      </c>
      <c r="L119" s="3">
        <v>0</v>
      </c>
      <c r="M119" s="3">
        <v>781.56700000000001</v>
      </c>
      <c r="N119" s="3">
        <v>782.49900000000002</v>
      </c>
      <c r="O119" s="3">
        <v>0</v>
      </c>
      <c r="P119" s="3">
        <v>0</v>
      </c>
      <c r="Q119" s="3">
        <v>0.33722600000000003</v>
      </c>
      <c r="R119" s="3">
        <v>2000.21</v>
      </c>
      <c r="S119" s="3">
        <v>1999.82</v>
      </c>
      <c r="T119" s="3">
        <v>0</v>
      </c>
      <c r="U119" s="3">
        <v>0</v>
      </c>
      <c r="V119" s="3">
        <v>2000.44</v>
      </c>
      <c r="W119" s="3">
        <v>1999.49</v>
      </c>
      <c r="X119" s="3">
        <v>0</v>
      </c>
      <c r="Y119" s="3">
        <v>0</v>
      </c>
      <c r="Z119" s="3">
        <v>220</v>
      </c>
      <c r="AA119" s="3">
        <v>1.99776</v>
      </c>
      <c r="AB119" s="3">
        <v>2.00176</v>
      </c>
      <c r="AC119" s="3">
        <v>-6.9722300000000001E-2</v>
      </c>
      <c r="AD119" s="3">
        <v>9.8178999999999996E-4</v>
      </c>
      <c r="AE119" s="3">
        <v>1.99952</v>
      </c>
      <c r="AF119" s="3">
        <v>1.99376</v>
      </c>
      <c r="AG119" s="3">
        <v>-5.6025999999999999E-2</v>
      </c>
      <c r="AH119" s="3">
        <v>-2.7619899999999999E-2</v>
      </c>
      <c r="AI119" s="7">
        <v>22.62379</v>
      </c>
      <c r="AJ119" s="7">
        <v>58.432324000000001</v>
      </c>
      <c r="AK119" s="3"/>
      <c r="AL119" s="6">
        <v>81.267883300999998</v>
      </c>
      <c r="AM119" s="6">
        <v>83.429168700999995</v>
      </c>
      <c r="AN119" s="6">
        <v>16.239826202</v>
      </c>
      <c r="AO119" s="6">
        <v>64.828567504999995</v>
      </c>
      <c r="AP119" s="6">
        <v>0</v>
      </c>
      <c r="AQ119" s="6">
        <v>0</v>
      </c>
      <c r="AR119" s="6">
        <v>3.4198586941000002</v>
      </c>
      <c r="AS119" s="6">
        <v>0.92072230580000003</v>
      </c>
      <c r="AT119" s="6">
        <v>0.26650837059999999</v>
      </c>
      <c r="AU119" s="6">
        <v>31.949562072999999</v>
      </c>
      <c r="AV119" s="6">
        <v>0.67584592099999996</v>
      </c>
      <c r="AW119" s="6">
        <v>1.42349526E-2</v>
      </c>
      <c r="AX119" s="6">
        <v>0</v>
      </c>
      <c r="AY119" s="6">
        <v>0</v>
      </c>
      <c r="AZ119" s="6">
        <v>0</v>
      </c>
      <c r="BA119" s="6">
        <v>0</v>
      </c>
      <c r="BB119" s="6">
        <v>0</v>
      </c>
      <c r="BC119" s="6">
        <v>0</v>
      </c>
      <c r="BD119" s="6">
        <v>0</v>
      </c>
      <c r="BE119" s="6">
        <v>0</v>
      </c>
      <c r="BF119" s="6">
        <v>0</v>
      </c>
      <c r="BG119" s="6">
        <v>0</v>
      </c>
      <c r="BH119" s="6">
        <v>6.4322948456000004</v>
      </c>
      <c r="BI119" s="6">
        <v>1.1111112833000001</v>
      </c>
      <c r="BJ119" s="6">
        <v>51.465293883999998</v>
      </c>
      <c r="BK119" s="6">
        <v>1.8514602184</v>
      </c>
      <c r="BL119" s="6">
        <v>0</v>
      </c>
      <c r="BM119" s="6">
        <v>0</v>
      </c>
      <c r="BN119" s="6">
        <v>0</v>
      </c>
      <c r="BO119" s="6">
        <v>0</v>
      </c>
      <c r="BP119" s="6">
        <v>0</v>
      </c>
      <c r="BQ119" s="6">
        <v>0</v>
      </c>
      <c r="BR119" s="6">
        <v>0</v>
      </c>
      <c r="BS119" s="6">
        <v>0</v>
      </c>
      <c r="BT119" s="6">
        <v>0</v>
      </c>
      <c r="BU119" s="6">
        <v>0</v>
      </c>
      <c r="BV119" s="6">
        <v>0</v>
      </c>
      <c r="BW119" s="6">
        <v>0</v>
      </c>
      <c r="BX119" s="6">
        <v>0</v>
      </c>
      <c r="BY119" s="6">
        <v>0</v>
      </c>
      <c r="BZ119" s="6">
        <v>0</v>
      </c>
      <c r="CA119" s="6">
        <v>0</v>
      </c>
      <c r="CB119" s="6">
        <v>0</v>
      </c>
      <c r="CC119" s="6">
        <v>0</v>
      </c>
      <c r="CD119" s="6">
        <v>0</v>
      </c>
      <c r="CE119" s="6">
        <v>0</v>
      </c>
      <c r="CF119" s="6">
        <v>0</v>
      </c>
      <c r="CG119" s="6">
        <v>0</v>
      </c>
      <c r="CH119" s="6">
        <v>0</v>
      </c>
      <c r="CI119" s="6">
        <v>0</v>
      </c>
      <c r="CJ119" s="6">
        <v>0</v>
      </c>
      <c r="CK119" s="6">
        <v>0</v>
      </c>
      <c r="CL119" s="6">
        <v>0</v>
      </c>
      <c r="CM119" s="6">
        <v>0</v>
      </c>
      <c r="CN119" s="6">
        <v>0.27657595280000002</v>
      </c>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7">
        <v>1.6165225506000001</v>
      </c>
      <c r="DN119" s="7">
        <f t="shared" si="1"/>
        <v>99.999991051799995</v>
      </c>
      <c r="DO119" s="7"/>
      <c r="DP119" s="6">
        <v>1.2492828100000001E-2</v>
      </c>
      <c r="DQ119" s="6">
        <v>3.4098210335000001</v>
      </c>
      <c r="DR119" s="6">
        <v>6.4134149551000004</v>
      </c>
      <c r="DS119" s="6">
        <v>0.91801989080000002</v>
      </c>
      <c r="DT119" s="6">
        <v>1.1078499556000001</v>
      </c>
      <c r="DU119" s="6">
        <v>0.26572614909999998</v>
      </c>
      <c r="DV119" s="6">
        <v>3.2540063857999999</v>
      </c>
      <c r="DW119" s="6">
        <v>5.9663424491999999</v>
      </c>
      <c r="DX119" s="6">
        <v>25.7746276855</v>
      </c>
      <c r="DY119" s="6">
        <v>16.319261550899999</v>
      </c>
      <c r="DZ119" s="6">
        <v>31.855785369900001</v>
      </c>
      <c r="EA119" s="6">
        <v>1.6511281729</v>
      </c>
      <c r="EB119" s="6">
        <v>0.27576416729999997</v>
      </c>
      <c r="EC119" s="6">
        <v>0.87010604140000003</v>
      </c>
      <c r="ED119" s="6">
        <v>0.97591996189999997</v>
      </c>
      <c r="EE119" s="6">
        <v>0.67386227850000002</v>
      </c>
      <c r="EF119" s="6">
        <v>0.21900177000000001</v>
      </c>
      <c r="EG119" s="6">
        <v>1.41931716E-2</v>
      </c>
      <c r="EH119" s="6">
        <v>2.2658972100000001E-2</v>
      </c>
      <c r="EI119" s="152"/>
    </row>
    <row r="120" spans="1:139" s="2" customFormat="1">
      <c r="A120" s="4">
        <v>46130</v>
      </c>
      <c r="B120" s="5"/>
      <c r="C120" s="3">
        <v>2</v>
      </c>
      <c r="D120" s="90" t="s">
        <v>412</v>
      </c>
      <c r="E120" s="3">
        <v>230.1</v>
      </c>
      <c r="F120" s="3">
        <v>230</v>
      </c>
      <c r="G120" s="3">
        <v>15.004300000000001</v>
      </c>
      <c r="H120" s="3">
        <v>15</v>
      </c>
      <c r="I120" s="3">
        <v>836.27200000000005</v>
      </c>
      <c r="J120" s="3">
        <v>835.55</v>
      </c>
      <c r="K120" s="3">
        <v>0</v>
      </c>
      <c r="L120" s="3">
        <v>0</v>
      </c>
      <c r="M120" s="3">
        <v>836.2</v>
      </c>
      <c r="N120" s="3">
        <v>835.96600000000001</v>
      </c>
      <c r="O120" s="3">
        <v>0</v>
      </c>
      <c r="P120" s="3">
        <v>0</v>
      </c>
      <c r="Q120" s="3">
        <v>0.135994</v>
      </c>
      <c r="R120" s="3">
        <v>2000.39</v>
      </c>
      <c r="S120" s="3">
        <v>1999.92</v>
      </c>
      <c r="T120" s="3">
        <v>0</v>
      </c>
      <c r="U120" s="3">
        <v>0</v>
      </c>
      <c r="V120" s="3">
        <v>1999.31</v>
      </c>
      <c r="W120" s="3">
        <v>2000.08</v>
      </c>
      <c r="X120" s="3">
        <v>0</v>
      </c>
      <c r="Y120" s="3">
        <v>0</v>
      </c>
      <c r="Z120" s="3">
        <v>220</v>
      </c>
      <c r="AA120" s="3">
        <v>1.9973700000000001</v>
      </c>
      <c r="AB120" s="3">
        <v>2.0012099999999999</v>
      </c>
      <c r="AC120" s="3">
        <v>-7.1832400000000005E-2</v>
      </c>
      <c r="AD120" s="3">
        <v>-4.3473699999999997E-3</v>
      </c>
      <c r="AE120" s="3">
        <v>2.00095</v>
      </c>
      <c r="AF120" s="3">
        <v>1.99275</v>
      </c>
      <c r="AG120" s="3">
        <v>-0.13065499999999999</v>
      </c>
      <c r="AH120" s="3">
        <v>-9.0256000000000003E-2</v>
      </c>
      <c r="AI120" s="7">
        <v>20.600121999999999</v>
      </c>
      <c r="AJ120" s="7">
        <v>59.219346000000002</v>
      </c>
      <c r="AK120" s="3"/>
      <c r="AL120" s="6">
        <v>81.116493224999999</v>
      </c>
      <c r="AM120" s="6">
        <v>83.425300598000007</v>
      </c>
      <c r="AN120" s="6">
        <v>16.252950668</v>
      </c>
      <c r="AO120" s="6">
        <v>64.008056640999996</v>
      </c>
      <c r="AP120" s="6">
        <v>0</v>
      </c>
      <c r="AQ120" s="6">
        <v>0</v>
      </c>
      <c r="AR120" s="6">
        <v>3.4703330993999999</v>
      </c>
      <c r="AS120" s="6">
        <v>0.92605298759999999</v>
      </c>
      <c r="AT120" s="6">
        <v>0.29910480979999998</v>
      </c>
      <c r="AU120" s="6">
        <v>33.676326752000001</v>
      </c>
      <c r="AV120" s="6">
        <v>0.72112077470000002</v>
      </c>
      <c r="AW120" s="6">
        <v>1.4635083300000001E-2</v>
      </c>
      <c r="AX120" s="6">
        <v>0</v>
      </c>
      <c r="AY120" s="6">
        <v>0</v>
      </c>
      <c r="AZ120" s="6">
        <v>0</v>
      </c>
      <c r="BA120" s="6">
        <v>0</v>
      </c>
      <c r="BB120" s="6">
        <v>0</v>
      </c>
      <c r="BC120" s="6">
        <v>0</v>
      </c>
      <c r="BD120" s="6">
        <v>0</v>
      </c>
      <c r="BE120" s="6">
        <v>0</v>
      </c>
      <c r="BF120" s="6">
        <v>0</v>
      </c>
      <c r="BG120" s="6">
        <v>0</v>
      </c>
      <c r="BH120" s="6">
        <v>6.626657486</v>
      </c>
      <c r="BI120" s="6">
        <v>1.2143086194999999</v>
      </c>
      <c r="BJ120" s="6">
        <v>49.473030090000002</v>
      </c>
      <c r="BK120" s="6">
        <v>1.7730969190999999</v>
      </c>
      <c r="BL120" s="6">
        <v>0</v>
      </c>
      <c r="BM120" s="6">
        <v>0</v>
      </c>
      <c r="BN120" s="6">
        <v>0</v>
      </c>
      <c r="BO120" s="6">
        <v>0</v>
      </c>
      <c r="BP120" s="6">
        <v>0</v>
      </c>
      <c r="BQ120" s="6">
        <v>0</v>
      </c>
      <c r="BR120" s="6">
        <v>0</v>
      </c>
      <c r="BS120" s="6">
        <v>0</v>
      </c>
      <c r="BT120" s="6">
        <v>0</v>
      </c>
      <c r="BU120" s="6">
        <v>0</v>
      </c>
      <c r="BV120" s="6">
        <v>0</v>
      </c>
      <c r="BW120" s="6">
        <v>0</v>
      </c>
      <c r="BX120" s="6">
        <v>0</v>
      </c>
      <c r="BY120" s="6">
        <v>0</v>
      </c>
      <c r="BZ120" s="6">
        <v>0</v>
      </c>
      <c r="CA120" s="6">
        <v>0</v>
      </c>
      <c r="CB120" s="6">
        <v>0</v>
      </c>
      <c r="CC120" s="6">
        <v>0</v>
      </c>
      <c r="CD120" s="6">
        <v>0</v>
      </c>
      <c r="CE120" s="6">
        <v>0</v>
      </c>
      <c r="CF120" s="6">
        <v>0</v>
      </c>
      <c r="CG120" s="6">
        <v>0</v>
      </c>
      <c r="CH120" s="6">
        <v>0</v>
      </c>
      <c r="CI120" s="6">
        <v>0</v>
      </c>
      <c r="CJ120" s="6">
        <v>0</v>
      </c>
      <c r="CK120" s="6">
        <v>0</v>
      </c>
      <c r="CL120" s="6">
        <v>0</v>
      </c>
      <c r="CM120" s="6">
        <v>0</v>
      </c>
      <c r="CN120" s="6">
        <v>0.24341700969999999</v>
      </c>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7">
        <v>1.5619466305</v>
      </c>
      <c r="DN120" s="7">
        <f t="shared" si="1"/>
        <v>100.0000302616</v>
      </c>
      <c r="DO120" s="7"/>
      <c r="DP120" s="6">
        <v>1.08296378E-2</v>
      </c>
      <c r="DQ120" s="6">
        <v>3.4611017704</v>
      </c>
      <c r="DR120" s="6">
        <v>6.6090302466999997</v>
      </c>
      <c r="DS120" s="6">
        <v>0.9235896468</v>
      </c>
      <c r="DT120" s="6">
        <v>1.2110785246</v>
      </c>
      <c r="DU120" s="6">
        <v>0.2983091772</v>
      </c>
      <c r="DV120" s="6">
        <v>2.9694013596</v>
      </c>
      <c r="DW120" s="6">
        <v>5.8559417724999996</v>
      </c>
      <c r="DX120" s="6">
        <v>24.8461341858</v>
      </c>
      <c r="DY120" s="6">
        <v>15.669952392600001</v>
      </c>
      <c r="DZ120" s="6">
        <v>33.586746215799998</v>
      </c>
      <c r="EA120" s="6">
        <v>1.5371514558999999</v>
      </c>
      <c r="EB120" s="6">
        <v>0.24276950959999999</v>
      </c>
      <c r="EC120" s="6">
        <v>0.81489098069999999</v>
      </c>
      <c r="ED120" s="6">
        <v>0.95348942280000004</v>
      </c>
      <c r="EE120" s="6">
        <v>0.71920257809999999</v>
      </c>
      <c r="EF120" s="6">
        <v>0.2461427897</v>
      </c>
      <c r="EG120" s="6">
        <v>1.4596154E-2</v>
      </c>
      <c r="EH120" s="6">
        <v>2.9640004000000001E-2</v>
      </c>
      <c r="EI120" s="152"/>
    </row>
    <row r="121" spans="1:139" s="2" customFormat="1">
      <c r="A121" s="4">
        <v>46130</v>
      </c>
      <c r="B121" s="5"/>
      <c r="C121" s="3">
        <v>5</v>
      </c>
      <c r="D121" s="90" t="s">
        <v>413</v>
      </c>
      <c r="E121" s="3">
        <v>230</v>
      </c>
      <c r="F121" s="3">
        <v>230.1</v>
      </c>
      <c r="G121" s="3">
        <v>15.0174</v>
      </c>
      <c r="H121" s="3">
        <v>14.9971</v>
      </c>
      <c r="I121" s="3">
        <v>788.53099999999995</v>
      </c>
      <c r="J121" s="3">
        <v>787.88900000000001</v>
      </c>
      <c r="K121" s="3">
        <v>0</v>
      </c>
      <c r="L121" s="3">
        <v>0</v>
      </c>
      <c r="M121" s="3">
        <v>787.29</v>
      </c>
      <c r="N121" s="3">
        <v>787.76499999999999</v>
      </c>
      <c r="O121" s="3">
        <v>0</v>
      </c>
      <c r="P121" s="3">
        <v>0</v>
      </c>
      <c r="Q121" s="3">
        <v>0.25267099999999998</v>
      </c>
      <c r="R121" s="3">
        <v>1999.51</v>
      </c>
      <c r="S121" s="3">
        <v>1999.35</v>
      </c>
      <c r="T121" s="3">
        <v>0</v>
      </c>
      <c r="U121" s="3">
        <v>0</v>
      </c>
      <c r="V121" s="3">
        <v>1999.64</v>
      </c>
      <c r="W121" s="3">
        <v>2000.01</v>
      </c>
      <c r="X121" s="3">
        <v>0</v>
      </c>
      <c r="Y121" s="3">
        <v>0</v>
      </c>
      <c r="Z121" s="3">
        <v>219.9</v>
      </c>
      <c r="AA121" s="3">
        <v>2.0019200000000001</v>
      </c>
      <c r="AB121" s="3">
        <v>1.99871</v>
      </c>
      <c r="AC121" s="3">
        <v>-6.8462300000000004E-2</v>
      </c>
      <c r="AD121" s="3">
        <v>5.653E-3</v>
      </c>
      <c r="AE121" s="3">
        <v>2.00082</v>
      </c>
      <c r="AF121" s="3">
        <v>1.9950699999999999</v>
      </c>
      <c r="AG121" s="3">
        <v>-8.1861100000000006E-2</v>
      </c>
      <c r="AH121" s="3">
        <v>-3.7422499999999997E-2</v>
      </c>
      <c r="AI121" s="7">
        <v>22.890391000000001</v>
      </c>
      <c r="AJ121" s="7">
        <v>58.038704000000003</v>
      </c>
      <c r="AK121" s="3"/>
      <c r="AL121" s="6">
        <v>88.529129028</v>
      </c>
      <c r="AM121" s="6">
        <v>83.614173889</v>
      </c>
      <c r="AN121" s="6">
        <v>16.281883239999999</v>
      </c>
      <c r="AO121" s="6">
        <v>23.945207595999999</v>
      </c>
      <c r="AP121" s="6">
        <v>0</v>
      </c>
      <c r="AQ121" s="6">
        <v>0</v>
      </c>
      <c r="AR121" s="6">
        <v>3.9458736000000001E-3</v>
      </c>
      <c r="AS121" s="6">
        <v>1.1403527000000001E-3</v>
      </c>
      <c r="AT121" s="6">
        <v>6.5954849999999999E-4</v>
      </c>
      <c r="AU121" s="280">
        <v>83.974845885999997</v>
      </c>
      <c r="AV121" s="280">
        <v>9.8445291518999998</v>
      </c>
      <c r="AW121" s="280">
        <v>4.9676899910000003</v>
      </c>
      <c r="AX121" s="6">
        <v>0</v>
      </c>
      <c r="AY121" s="6">
        <v>0</v>
      </c>
      <c r="AZ121" s="6">
        <v>0</v>
      </c>
      <c r="BA121" s="6">
        <v>0</v>
      </c>
      <c r="BB121" s="6">
        <v>0</v>
      </c>
      <c r="BC121" s="6">
        <v>0</v>
      </c>
      <c r="BD121" s="6">
        <v>0</v>
      </c>
      <c r="BE121" s="6">
        <v>0</v>
      </c>
      <c r="BF121" s="6">
        <v>0</v>
      </c>
      <c r="BG121" s="6">
        <v>0</v>
      </c>
      <c r="BH121" s="6">
        <v>6.3584363E-3</v>
      </c>
      <c r="BI121" s="6">
        <v>1.4894146000000001E-3</v>
      </c>
      <c r="BJ121" s="6">
        <v>0.44831380250000002</v>
      </c>
      <c r="BK121" s="6">
        <v>1.6176641E-3</v>
      </c>
      <c r="BL121" s="6">
        <v>0</v>
      </c>
      <c r="BM121" s="6">
        <v>0</v>
      </c>
      <c r="BN121" s="6">
        <v>0</v>
      </c>
      <c r="BO121" s="6">
        <v>0</v>
      </c>
      <c r="BP121" s="6">
        <v>0</v>
      </c>
      <c r="BQ121" s="6">
        <v>0</v>
      </c>
      <c r="BR121" s="6">
        <v>0</v>
      </c>
      <c r="BS121" s="6">
        <v>0</v>
      </c>
      <c r="BT121" s="6">
        <v>0</v>
      </c>
      <c r="BU121" s="6">
        <v>0</v>
      </c>
      <c r="BV121" s="6">
        <v>0</v>
      </c>
      <c r="BW121" s="6">
        <v>0</v>
      </c>
      <c r="BX121" s="6">
        <v>0</v>
      </c>
      <c r="BY121" s="6">
        <v>0</v>
      </c>
      <c r="BZ121" s="6">
        <v>0</v>
      </c>
      <c r="CA121" s="6">
        <v>0</v>
      </c>
      <c r="CB121" s="6">
        <v>0</v>
      </c>
      <c r="CC121" s="6">
        <v>0</v>
      </c>
      <c r="CD121" s="6">
        <v>0</v>
      </c>
      <c r="CE121" s="6">
        <v>0</v>
      </c>
      <c r="CF121" s="6">
        <v>0</v>
      </c>
      <c r="CG121" s="6">
        <v>0</v>
      </c>
      <c r="CH121" s="6">
        <v>0</v>
      </c>
      <c r="CI121" s="6">
        <v>0</v>
      </c>
      <c r="CJ121" s="6">
        <v>0</v>
      </c>
      <c r="CK121" s="6">
        <v>0</v>
      </c>
      <c r="CL121" s="6">
        <v>0</v>
      </c>
      <c r="CM121" s="6">
        <v>0</v>
      </c>
      <c r="CN121" s="6">
        <v>0.56417721509999996</v>
      </c>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7">
        <v>0.18522773679999999</v>
      </c>
      <c r="DN121" s="7">
        <f t="shared" si="1"/>
        <v>99.99999507310001</v>
      </c>
      <c r="DO121" s="7"/>
      <c r="DP121" s="6">
        <v>3.9466741000000003E-3</v>
      </c>
      <c r="DQ121" s="6">
        <v>6.3597261999999996E-3</v>
      </c>
      <c r="DR121" s="6">
        <v>1.140584E-3</v>
      </c>
      <c r="DS121" s="6">
        <v>1.4897167999999999E-3</v>
      </c>
      <c r="DT121" s="6">
        <v>6.5968229999999997E-4</v>
      </c>
      <c r="DU121" s="6">
        <v>2.3361202000000002E-3</v>
      </c>
      <c r="DV121" s="6">
        <v>5.7202978000000003E-3</v>
      </c>
      <c r="DW121" s="6">
        <v>5.53144068E-2</v>
      </c>
      <c r="DX121" s="6">
        <v>0.3850339055</v>
      </c>
      <c r="DY121" s="6">
        <v>83.991882324200006</v>
      </c>
      <c r="DZ121" s="6">
        <v>0.56429165599999997</v>
      </c>
      <c r="EA121" s="6">
        <v>1.6179923000000001E-3</v>
      </c>
      <c r="EB121" s="6">
        <v>1.01034148E-2</v>
      </c>
      <c r="EC121" s="6">
        <v>9.8465261459000004</v>
      </c>
      <c r="ED121" s="6">
        <v>0.13776423039999999</v>
      </c>
      <c r="EE121" s="6">
        <v>4.9686980247000001</v>
      </c>
      <c r="EF121" s="6">
        <v>1.70877036E-2</v>
      </c>
      <c r="EG121" s="6"/>
      <c r="EH121" s="6"/>
      <c r="EI121" s="152"/>
    </row>
    <row r="122" spans="1:139" s="2" customFormat="1">
      <c r="A122" s="4">
        <v>46130</v>
      </c>
      <c r="B122" s="5"/>
      <c r="C122" s="3">
        <v>6</v>
      </c>
      <c r="D122" s="90" t="s">
        <v>414</v>
      </c>
      <c r="E122" s="3">
        <v>230.1</v>
      </c>
      <c r="F122" s="3">
        <v>230.1</v>
      </c>
      <c r="G122" s="3">
        <v>15.0014</v>
      </c>
      <c r="H122" s="3">
        <v>14.9971</v>
      </c>
      <c r="I122" s="3">
        <v>803.21199999999999</v>
      </c>
      <c r="J122" s="3">
        <v>806.1</v>
      </c>
      <c r="K122" s="3">
        <v>0</v>
      </c>
      <c r="L122" s="3">
        <v>0</v>
      </c>
      <c r="M122" s="3">
        <v>803.63800000000003</v>
      </c>
      <c r="N122" s="3">
        <v>805.18600000000004</v>
      </c>
      <c r="O122" s="3">
        <v>0</v>
      </c>
      <c r="P122" s="3">
        <v>0</v>
      </c>
      <c r="Q122" s="3">
        <v>0.149788</v>
      </c>
      <c r="R122" s="3">
        <v>2000.88</v>
      </c>
      <c r="S122" s="3">
        <v>2000.38</v>
      </c>
      <c r="T122" s="3">
        <v>0</v>
      </c>
      <c r="U122" s="3">
        <v>0</v>
      </c>
      <c r="V122" s="3">
        <v>2000.31</v>
      </c>
      <c r="W122" s="3">
        <v>1999.49</v>
      </c>
      <c r="X122" s="3">
        <v>0</v>
      </c>
      <c r="Y122" s="3">
        <v>0</v>
      </c>
      <c r="Z122" s="3">
        <v>220.1</v>
      </c>
      <c r="AA122" s="3">
        <v>2.0045199999999999</v>
      </c>
      <c r="AB122" s="3">
        <v>2.0068000000000001</v>
      </c>
      <c r="AC122" s="3">
        <v>-7.1920399999999995E-2</v>
      </c>
      <c r="AD122" s="3">
        <v>6.3585999999999998E-3</v>
      </c>
      <c r="AE122" s="3">
        <v>1.9995799999999999</v>
      </c>
      <c r="AF122" s="3">
        <v>2.01633</v>
      </c>
      <c r="AG122" s="3">
        <v>-0.114966</v>
      </c>
      <c r="AH122" s="3">
        <v>-5.3702100000000003E-3</v>
      </c>
      <c r="AI122" s="7">
        <v>20.172221</v>
      </c>
      <c r="AJ122" s="7">
        <v>59.377637</v>
      </c>
      <c r="AK122" s="3"/>
      <c r="AL122" s="6">
        <v>79.891151428000001</v>
      </c>
      <c r="AM122" s="6">
        <v>83.393844604999998</v>
      </c>
      <c r="AN122" s="6">
        <v>16.35925293</v>
      </c>
      <c r="AO122" s="6">
        <v>72.114891052000004</v>
      </c>
      <c r="AP122" s="6">
        <v>0</v>
      </c>
      <c r="AQ122" s="6">
        <v>0</v>
      </c>
      <c r="AR122" s="6">
        <v>4.2437596320999997</v>
      </c>
      <c r="AS122" s="6">
        <v>0.98304080959999995</v>
      </c>
      <c r="AT122" s="6">
        <v>0.3442651927</v>
      </c>
      <c r="AU122" s="6">
        <v>22.313833237000001</v>
      </c>
      <c r="AV122" s="6">
        <v>0.27371597289999999</v>
      </c>
      <c r="AW122" s="6">
        <v>3.9156768000000002E-3</v>
      </c>
      <c r="AX122" s="6">
        <v>0</v>
      </c>
      <c r="AY122" s="6">
        <v>0</v>
      </c>
      <c r="AZ122" s="6">
        <v>0</v>
      </c>
      <c r="BA122" s="6">
        <v>0</v>
      </c>
      <c r="BB122" s="6">
        <v>0</v>
      </c>
      <c r="BC122" s="6">
        <v>0</v>
      </c>
      <c r="BD122" s="6">
        <v>0</v>
      </c>
      <c r="BE122" s="6">
        <v>0</v>
      </c>
      <c r="BF122" s="6">
        <v>0</v>
      </c>
      <c r="BG122" s="6">
        <v>0</v>
      </c>
      <c r="BH122" s="6">
        <v>7.5933337211999996</v>
      </c>
      <c r="BI122" s="6">
        <v>1.2265813350999999</v>
      </c>
      <c r="BJ122" s="6">
        <v>60.746963501000003</v>
      </c>
      <c r="BK122" s="6">
        <v>0.92982995509999999</v>
      </c>
      <c r="BL122" s="6">
        <v>0</v>
      </c>
      <c r="BM122" s="6">
        <v>0</v>
      </c>
      <c r="BN122" s="6">
        <v>0</v>
      </c>
      <c r="BO122" s="6">
        <v>0</v>
      </c>
      <c r="BP122" s="6">
        <v>0</v>
      </c>
      <c r="BQ122" s="6">
        <v>0</v>
      </c>
      <c r="BR122" s="6">
        <v>0</v>
      </c>
      <c r="BS122" s="6">
        <v>0</v>
      </c>
      <c r="BT122" s="6">
        <v>0</v>
      </c>
      <c r="BU122" s="6">
        <v>0</v>
      </c>
      <c r="BV122" s="6">
        <v>0</v>
      </c>
      <c r="BW122" s="6">
        <v>0</v>
      </c>
      <c r="BX122" s="6">
        <v>0</v>
      </c>
      <c r="BY122" s="6">
        <v>0</v>
      </c>
      <c r="BZ122" s="6">
        <v>0</v>
      </c>
      <c r="CA122" s="6">
        <v>0</v>
      </c>
      <c r="CB122" s="6">
        <v>0</v>
      </c>
      <c r="CC122" s="6">
        <v>0</v>
      </c>
      <c r="CD122" s="6">
        <v>0</v>
      </c>
      <c r="CE122" s="6">
        <v>0</v>
      </c>
      <c r="CF122" s="6">
        <v>0</v>
      </c>
      <c r="CG122" s="6">
        <v>0</v>
      </c>
      <c r="CH122" s="6">
        <v>0</v>
      </c>
      <c r="CI122" s="6">
        <v>0</v>
      </c>
      <c r="CJ122" s="6">
        <v>0</v>
      </c>
      <c r="CK122" s="6">
        <v>0</v>
      </c>
      <c r="CL122" s="6">
        <v>0</v>
      </c>
      <c r="CM122" s="6">
        <v>0</v>
      </c>
      <c r="CN122" s="6">
        <v>0.25490537289999998</v>
      </c>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7">
        <v>1.0858492850999999</v>
      </c>
      <c r="DN122" s="7">
        <f t="shared" si="1"/>
        <v>99.999993691500009</v>
      </c>
      <c r="DO122" s="7"/>
      <c r="DP122" s="6">
        <v>2.0199151700000001E-2</v>
      </c>
      <c r="DQ122" s="6">
        <v>4.2357048987999999</v>
      </c>
      <c r="DR122" s="6">
        <v>7.5789222716999998</v>
      </c>
      <c r="DS122" s="6">
        <v>0.98117500540000002</v>
      </c>
      <c r="DT122" s="6">
        <v>1.2242534161</v>
      </c>
      <c r="DU122" s="6">
        <v>0.34361180660000001</v>
      </c>
      <c r="DV122" s="6">
        <v>4.9216680527000003</v>
      </c>
      <c r="DW122" s="6">
        <v>7.5673899651000003</v>
      </c>
      <c r="DX122" s="6">
        <v>29.422622680700002</v>
      </c>
      <c r="DY122" s="6">
        <v>18.719987869299999</v>
      </c>
      <c r="DZ122" s="6">
        <v>22.271484375</v>
      </c>
      <c r="EA122" s="6">
        <v>1.0823580026999999</v>
      </c>
      <c r="EB122" s="6">
        <v>0.25442156199999999</v>
      </c>
      <c r="EC122" s="6">
        <v>0.43619018790000003</v>
      </c>
      <c r="ED122" s="6">
        <v>0.49187502259999999</v>
      </c>
      <c r="EE122" s="6">
        <v>0.27319645879999999</v>
      </c>
      <c r="EF122" s="6">
        <v>0.1504498869</v>
      </c>
      <c r="EG122" s="6">
        <v>3.9082454000000004E-3</v>
      </c>
      <c r="EH122" s="6">
        <v>2.0569633699999999E-2</v>
      </c>
      <c r="EI122" s="152"/>
    </row>
    <row r="123" spans="1:139" s="2" customFormat="1">
      <c r="A123" s="4">
        <v>46130</v>
      </c>
      <c r="B123" s="3"/>
      <c r="C123" s="3">
        <v>1</v>
      </c>
      <c r="D123" s="90" t="s">
        <v>415</v>
      </c>
      <c r="E123" s="3">
        <v>230</v>
      </c>
      <c r="F123" s="3">
        <v>230</v>
      </c>
      <c r="G123" s="3">
        <v>15.013</v>
      </c>
      <c r="H123" s="3">
        <v>15.0029</v>
      </c>
      <c r="I123" s="3">
        <v>793.99300000000005</v>
      </c>
      <c r="J123" s="3">
        <v>796.3</v>
      </c>
      <c r="K123" s="3">
        <v>0</v>
      </c>
      <c r="L123" s="3">
        <v>0</v>
      </c>
      <c r="M123" s="3">
        <v>793.53599999999994</v>
      </c>
      <c r="N123" s="3">
        <v>795.52700000000004</v>
      </c>
      <c r="O123" s="3">
        <v>0</v>
      </c>
      <c r="P123" s="3">
        <v>0</v>
      </c>
      <c r="Q123" s="3">
        <v>0.43171799999999999</v>
      </c>
      <c r="R123" s="3">
        <v>2000</v>
      </c>
      <c r="S123" s="3">
        <v>1999.72</v>
      </c>
      <c r="T123" s="3">
        <v>0</v>
      </c>
      <c r="U123" s="3">
        <v>0</v>
      </c>
      <c r="V123" s="3">
        <v>1999.97</v>
      </c>
      <c r="W123" s="3">
        <v>1999.96</v>
      </c>
      <c r="X123" s="3">
        <v>0</v>
      </c>
      <c r="Y123" s="3">
        <v>0</v>
      </c>
      <c r="Z123" s="3">
        <v>220</v>
      </c>
      <c r="AA123" s="3">
        <v>2.0011399999999999</v>
      </c>
      <c r="AB123" s="3">
        <v>1.9975700000000001</v>
      </c>
      <c r="AC123" s="3">
        <v>-6.8418699999999999E-2</v>
      </c>
      <c r="AD123" s="3">
        <v>1.9132699999999999E-3</v>
      </c>
      <c r="AE123" s="3">
        <v>2.0006300000000001</v>
      </c>
      <c r="AF123" s="3">
        <v>1.99291</v>
      </c>
      <c r="AG123" s="3">
        <v>-7.4841400000000002E-2</v>
      </c>
      <c r="AH123" s="3">
        <v>-2.15598E-2</v>
      </c>
      <c r="AI123" s="7">
        <v>22.189207</v>
      </c>
      <c r="AJ123" s="7">
        <v>58.875556000000003</v>
      </c>
      <c r="AK123" s="3"/>
      <c r="AL123" s="6">
        <v>81.108383179</v>
      </c>
      <c r="AM123" s="6">
        <v>83.425086974999999</v>
      </c>
      <c r="AN123" s="6">
        <v>16.254375457999998</v>
      </c>
      <c r="AO123" s="6">
        <v>65.510894774999997</v>
      </c>
      <c r="AP123" s="6">
        <v>0</v>
      </c>
      <c r="AQ123" s="6">
        <v>0</v>
      </c>
      <c r="AR123" s="6">
        <v>3.5079002379999999</v>
      </c>
      <c r="AS123" s="6">
        <v>0.92451190949999995</v>
      </c>
      <c r="AT123" s="6">
        <v>0.27834260459999999</v>
      </c>
      <c r="AU123" s="6">
        <v>31.109329224</v>
      </c>
      <c r="AV123" s="6">
        <v>0.6299449801</v>
      </c>
      <c r="AW123" s="6">
        <v>1.23102488E-2</v>
      </c>
      <c r="AX123" s="6">
        <v>0</v>
      </c>
      <c r="AY123" s="6">
        <v>0</v>
      </c>
      <c r="AZ123" s="6">
        <v>0</v>
      </c>
      <c r="BA123" s="6">
        <v>0</v>
      </c>
      <c r="BB123" s="6">
        <v>0</v>
      </c>
      <c r="BC123" s="6">
        <v>0</v>
      </c>
      <c r="BD123" s="6">
        <v>0</v>
      </c>
      <c r="BE123" s="6">
        <v>0</v>
      </c>
      <c r="BF123" s="6">
        <v>0</v>
      </c>
      <c r="BG123" s="6">
        <v>0</v>
      </c>
      <c r="BH123" s="6">
        <v>6.5730085372999998</v>
      </c>
      <c r="BI123" s="6">
        <v>1.1309546232000001</v>
      </c>
      <c r="BJ123" s="6">
        <v>52.259689330999997</v>
      </c>
      <c r="BK123" s="6">
        <v>1.7530577183</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c r="CE123" s="6">
        <v>0</v>
      </c>
      <c r="CF123" s="6">
        <v>0</v>
      </c>
      <c r="CG123" s="6">
        <v>0</v>
      </c>
      <c r="CH123" s="6">
        <v>0</v>
      </c>
      <c r="CI123" s="6">
        <v>0</v>
      </c>
      <c r="CJ123" s="6">
        <v>0</v>
      </c>
      <c r="CK123" s="6">
        <v>0</v>
      </c>
      <c r="CL123" s="6">
        <v>0</v>
      </c>
      <c r="CM123" s="6">
        <v>0</v>
      </c>
      <c r="CN123" s="6">
        <v>0.2704209387</v>
      </c>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7">
        <v>1.5505403280000001</v>
      </c>
      <c r="DN123" s="7">
        <f t="shared" si="1"/>
        <v>100.00001068149999</v>
      </c>
      <c r="DO123" s="7"/>
      <c r="DP123" s="6">
        <v>1.24300057E-2</v>
      </c>
      <c r="DQ123" s="6">
        <v>3.4980139732</v>
      </c>
      <c r="DR123" s="6">
        <v>6.5544838905000002</v>
      </c>
      <c r="DS123" s="6">
        <v>0.92190635200000004</v>
      </c>
      <c r="DT123" s="6">
        <v>1.1277673243999999</v>
      </c>
      <c r="DU123" s="6">
        <v>0.27755817770000002</v>
      </c>
      <c r="DV123" s="6">
        <v>3.3930842875999998</v>
      </c>
      <c r="DW123" s="6">
        <v>6.0951313972000003</v>
      </c>
      <c r="DX123" s="6">
        <v>26.093280792200002</v>
      </c>
      <c r="DY123" s="6">
        <v>16.530906677200001</v>
      </c>
      <c r="DZ123" s="6">
        <v>31.0216560364</v>
      </c>
      <c r="EA123" s="6">
        <v>1.5848397017</v>
      </c>
      <c r="EB123" s="6">
        <v>0.26965883369999999</v>
      </c>
      <c r="EC123" s="6">
        <v>0.82400751110000003</v>
      </c>
      <c r="ED123" s="6">
        <v>0.92410963769999999</v>
      </c>
      <c r="EE123" s="6">
        <v>0.62816965579999995</v>
      </c>
      <c r="EF123" s="6">
        <v>0.2086687237</v>
      </c>
      <c r="EG123" s="6">
        <v>1.22755552E-2</v>
      </c>
      <c r="EH123" s="6">
        <v>2.2095192199999999E-2</v>
      </c>
      <c r="EI123" s="152"/>
    </row>
    <row r="124" spans="1:139" s="2" customFormat="1">
      <c r="A124" s="4">
        <v>46130</v>
      </c>
      <c r="B124" s="3"/>
      <c r="C124" s="3">
        <v>2</v>
      </c>
      <c r="D124" s="90" t="s">
        <v>416</v>
      </c>
      <c r="E124" s="3">
        <v>230.1</v>
      </c>
      <c r="F124" s="3">
        <v>230.1</v>
      </c>
      <c r="G124" s="3">
        <v>15.005800000000001</v>
      </c>
      <c r="H124" s="3">
        <v>14.9971</v>
      </c>
      <c r="I124" s="3">
        <v>730.62400000000002</v>
      </c>
      <c r="J124" s="3">
        <v>728.91700000000003</v>
      </c>
      <c r="K124" s="3">
        <v>0</v>
      </c>
      <c r="L124" s="3">
        <v>0</v>
      </c>
      <c r="M124" s="3">
        <v>730.51</v>
      </c>
      <c r="N124" s="3">
        <v>728.5</v>
      </c>
      <c r="O124" s="3">
        <v>0</v>
      </c>
      <c r="P124" s="3">
        <v>0</v>
      </c>
      <c r="Q124" s="3">
        <v>0.17191300000000001</v>
      </c>
      <c r="R124" s="3">
        <v>2000.59</v>
      </c>
      <c r="S124" s="3">
        <v>2000.2</v>
      </c>
      <c r="T124" s="3">
        <v>0</v>
      </c>
      <c r="U124" s="3">
        <v>0</v>
      </c>
      <c r="V124" s="3">
        <v>1999.69</v>
      </c>
      <c r="W124" s="3">
        <v>2000.53</v>
      </c>
      <c r="X124" s="3">
        <v>0</v>
      </c>
      <c r="Y124" s="3">
        <v>0</v>
      </c>
      <c r="Z124" s="3">
        <v>220.2</v>
      </c>
      <c r="AA124" s="3">
        <v>1.99837</v>
      </c>
      <c r="AB124" s="3">
        <v>2.0016400000000001</v>
      </c>
      <c r="AC124" s="3">
        <v>-8.0857700000000005E-2</v>
      </c>
      <c r="AD124" s="3">
        <v>-1.21046E-3</v>
      </c>
      <c r="AE124" s="3">
        <v>2.0001500000000001</v>
      </c>
      <c r="AF124" s="3">
        <v>1.9957199999999999</v>
      </c>
      <c r="AG124" s="3">
        <v>-0.27721699999999999</v>
      </c>
      <c r="AH124" s="3">
        <v>-6.7038500000000001E-2</v>
      </c>
      <c r="AI124" s="7">
        <v>19.966421</v>
      </c>
      <c r="AJ124" s="7">
        <v>59.904916</v>
      </c>
      <c r="AK124" s="3"/>
      <c r="AL124" s="6">
        <v>80.975509643999999</v>
      </c>
      <c r="AM124" s="6">
        <v>83.421577454000001</v>
      </c>
      <c r="AN124" s="6">
        <v>16.263763428000001</v>
      </c>
      <c r="AO124" s="6">
        <v>64.429634093999994</v>
      </c>
      <c r="AP124" s="6">
        <v>0</v>
      </c>
      <c r="AQ124" s="6">
        <v>0</v>
      </c>
      <c r="AR124" s="6">
        <v>3.5359447002</v>
      </c>
      <c r="AS124" s="6">
        <v>0.93973255160000002</v>
      </c>
      <c r="AT124" s="6">
        <v>0.31440079209999999</v>
      </c>
      <c r="AU124" s="6">
        <v>33.201625823999997</v>
      </c>
      <c r="AV124" s="6">
        <v>0.69398760800000003</v>
      </c>
      <c r="AW124" s="6">
        <v>1.40065495E-2</v>
      </c>
      <c r="AX124" s="6">
        <v>0</v>
      </c>
      <c r="AY124" s="6">
        <v>0</v>
      </c>
      <c r="AZ124" s="6">
        <v>0</v>
      </c>
      <c r="BA124" s="6">
        <v>0</v>
      </c>
      <c r="BB124" s="6">
        <v>0</v>
      </c>
      <c r="BC124" s="6">
        <v>0</v>
      </c>
      <c r="BD124" s="6">
        <v>0</v>
      </c>
      <c r="BE124" s="6">
        <v>0</v>
      </c>
      <c r="BF124" s="6">
        <v>0</v>
      </c>
      <c r="BG124" s="6">
        <v>0</v>
      </c>
      <c r="BH124" s="6">
        <v>6.7781543731999996</v>
      </c>
      <c r="BI124" s="6">
        <v>1.2581822871999999</v>
      </c>
      <c r="BJ124" s="6">
        <v>49.798885345000002</v>
      </c>
      <c r="BK124" s="6">
        <v>1.7133486271</v>
      </c>
      <c r="BL124" s="6">
        <v>0</v>
      </c>
      <c r="BM124" s="6">
        <v>0</v>
      </c>
      <c r="BN124" s="6">
        <v>0</v>
      </c>
      <c r="BO124" s="6">
        <v>0</v>
      </c>
      <c r="BP124" s="6">
        <v>0</v>
      </c>
      <c r="BQ124" s="6">
        <v>0</v>
      </c>
      <c r="BR124" s="6">
        <v>0</v>
      </c>
      <c r="BS124" s="6">
        <v>0</v>
      </c>
      <c r="BT124" s="6">
        <v>0</v>
      </c>
      <c r="BU124" s="6">
        <v>0</v>
      </c>
      <c r="BV124" s="6">
        <v>0</v>
      </c>
      <c r="BW124" s="6">
        <v>0</v>
      </c>
      <c r="BX124" s="6">
        <v>0</v>
      </c>
      <c r="BY124" s="6">
        <v>0</v>
      </c>
      <c r="BZ124" s="6">
        <v>0</v>
      </c>
      <c r="CA124" s="6">
        <v>0</v>
      </c>
      <c r="CB124" s="6">
        <v>0</v>
      </c>
      <c r="CC124" s="6">
        <v>0</v>
      </c>
      <c r="CD124" s="6">
        <v>0</v>
      </c>
      <c r="CE124" s="6">
        <v>0</v>
      </c>
      <c r="CF124" s="6">
        <v>0</v>
      </c>
      <c r="CG124" s="6">
        <v>0</v>
      </c>
      <c r="CH124" s="6">
        <v>0</v>
      </c>
      <c r="CI124" s="6">
        <v>0</v>
      </c>
      <c r="CJ124" s="6">
        <v>0</v>
      </c>
      <c r="CK124" s="6">
        <v>0</v>
      </c>
      <c r="CL124" s="6">
        <v>0</v>
      </c>
      <c r="CM124" s="6">
        <v>0</v>
      </c>
      <c r="CN124" s="6">
        <v>0.2344185114</v>
      </c>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7">
        <v>1.5173156261</v>
      </c>
      <c r="DN124" s="7">
        <f t="shared" si="1"/>
        <v>100.00000279540001</v>
      </c>
      <c r="DO124" s="7"/>
      <c r="DP124" s="6">
        <v>1.0923426599999999E-2</v>
      </c>
      <c r="DQ124" s="6">
        <v>3.5268859862999999</v>
      </c>
      <c r="DR124" s="6">
        <v>6.7607889175000002</v>
      </c>
      <c r="DS124" s="6">
        <v>0.93732500080000003</v>
      </c>
      <c r="DT124" s="6">
        <v>1.2549588679999999</v>
      </c>
      <c r="DU124" s="6">
        <v>0.313595295</v>
      </c>
      <c r="DV124" s="6">
        <v>3.0341842175</v>
      </c>
      <c r="DW124" s="6">
        <v>5.9211373328999999</v>
      </c>
      <c r="DX124" s="6">
        <v>24.9632148743</v>
      </c>
      <c r="DY124" s="6">
        <v>15.752770423899999</v>
      </c>
      <c r="DZ124" s="6">
        <v>33.116565704300001</v>
      </c>
      <c r="EA124" s="6">
        <v>1.4860011339000001</v>
      </c>
      <c r="EB124" s="6">
        <v>0.233817935</v>
      </c>
      <c r="EC124" s="6">
        <v>0.78692865369999998</v>
      </c>
      <c r="ED124" s="6">
        <v>0.92203050850000001</v>
      </c>
      <c r="EE124" s="6">
        <v>0.69220966100000003</v>
      </c>
      <c r="EF124" s="6">
        <v>0.24163427949999999</v>
      </c>
      <c r="EG124" s="6">
        <v>1.39706656E-2</v>
      </c>
      <c r="EH124" s="6">
        <v>3.10801063E-2</v>
      </c>
      <c r="EI124" s="152"/>
    </row>
    <row r="125" spans="1:139" s="2" customFormat="1">
      <c r="A125" s="4">
        <v>46131</v>
      </c>
      <c r="B125" s="3"/>
      <c r="C125" s="3">
        <v>5</v>
      </c>
      <c r="D125" s="90" t="s">
        <v>417</v>
      </c>
      <c r="E125" s="3">
        <v>230</v>
      </c>
      <c r="F125" s="3">
        <v>230</v>
      </c>
      <c r="G125" s="3">
        <v>15.0116</v>
      </c>
      <c r="H125" s="3">
        <v>15.007199999999999</v>
      </c>
      <c r="I125" s="3">
        <v>795.05499999999995</v>
      </c>
      <c r="J125" s="3">
        <v>797.1</v>
      </c>
      <c r="K125" s="3">
        <v>0</v>
      </c>
      <c r="L125" s="3">
        <v>0</v>
      </c>
      <c r="M125" s="3">
        <v>795.798</v>
      </c>
      <c r="N125" s="3">
        <v>797.36</v>
      </c>
      <c r="O125" s="3">
        <v>0</v>
      </c>
      <c r="P125" s="3">
        <v>0</v>
      </c>
      <c r="Q125" s="3">
        <v>0.289657</v>
      </c>
      <c r="R125" s="3">
        <v>1999.57</v>
      </c>
      <c r="S125" s="3">
        <v>1999.79</v>
      </c>
      <c r="T125" s="3">
        <v>0</v>
      </c>
      <c r="U125" s="3">
        <v>0</v>
      </c>
      <c r="V125" s="3">
        <v>2000.51</v>
      </c>
      <c r="W125" s="3">
        <v>1999.64</v>
      </c>
      <c r="X125" s="3">
        <v>0</v>
      </c>
      <c r="Y125" s="3">
        <v>0</v>
      </c>
      <c r="Z125" s="3">
        <v>220</v>
      </c>
      <c r="AA125" s="3">
        <v>2.00644</v>
      </c>
      <c r="AB125" s="3">
        <v>1.99884</v>
      </c>
      <c r="AC125" s="3">
        <v>-6.0349199999999999E-2</v>
      </c>
      <c r="AD125" s="3">
        <v>-2.1100000000000001E-5</v>
      </c>
      <c r="AE125" s="3">
        <v>2.0026799999999998</v>
      </c>
      <c r="AF125" s="3">
        <v>1.9978</v>
      </c>
      <c r="AG125" s="3">
        <v>-0.175008</v>
      </c>
      <c r="AH125" s="3">
        <v>-8.5374000000000005E-3</v>
      </c>
      <c r="AI125" s="7">
        <v>22.996292</v>
      </c>
      <c r="AJ125" s="7">
        <v>58.212826</v>
      </c>
      <c r="AK125" s="3"/>
      <c r="AL125" s="6">
        <v>88.523315429999997</v>
      </c>
      <c r="AM125" s="6">
        <v>83.614067078000005</v>
      </c>
      <c r="AN125" s="6">
        <v>16.281736374000001</v>
      </c>
      <c r="AO125" s="6">
        <v>23.955171584999999</v>
      </c>
      <c r="AP125" s="6">
        <v>0</v>
      </c>
      <c r="AQ125" s="6">
        <v>0</v>
      </c>
      <c r="AR125" s="6">
        <v>4.4958065000000004E-3</v>
      </c>
      <c r="AS125" s="6">
        <v>1.0138177E-3</v>
      </c>
      <c r="AT125" s="6">
        <v>7.6966250000000001E-4</v>
      </c>
      <c r="AU125" s="280">
        <v>84.006675720000004</v>
      </c>
      <c r="AV125" s="280">
        <v>9.8354501723999999</v>
      </c>
      <c r="AW125" s="280">
        <v>4.9467973708999997</v>
      </c>
      <c r="AX125" s="6">
        <v>0</v>
      </c>
      <c r="AY125" s="6">
        <v>0</v>
      </c>
      <c r="AZ125" s="6">
        <v>0</v>
      </c>
      <c r="BA125" s="6">
        <v>0</v>
      </c>
      <c r="BB125" s="6">
        <v>0</v>
      </c>
      <c r="BC125" s="6">
        <v>0</v>
      </c>
      <c r="BD125" s="6">
        <v>0</v>
      </c>
      <c r="BE125" s="6">
        <v>0</v>
      </c>
      <c r="BF125" s="6">
        <v>0</v>
      </c>
      <c r="BG125" s="6">
        <v>0</v>
      </c>
      <c r="BH125" s="6">
        <v>6.7417631E-3</v>
      </c>
      <c r="BI125" s="6">
        <v>1.3807188E-3</v>
      </c>
      <c r="BJ125" s="6">
        <v>0.44621205330000002</v>
      </c>
      <c r="BK125" s="6">
        <v>0</v>
      </c>
      <c r="BL125" s="6">
        <v>0</v>
      </c>
      <c r="BM125" s="6">
        <v>0</v>
      </c>
      <c r="BN125" s="6">
        <v>0</v>
      </c>
      <c r="BO125" s="6">
        <v>0</v>
      </c>
      <c r="BP125" s="6">
        <v>0</v>
      </c>
      <c r="BQ125" s="6">
        <v>0</v>
      </c>
      <c r="BR125" s="6">
        <v>0</v>
      </c>
      <c r="BS125" s="6">
        <v>0</v>
      </c>
      <c r="BT125" s="6">
        <v>0</v>
      </c>
      <c r="BU125" s="6">
        <v>0</v>
      </c>
      <c r="BV125" s="6">
        <v>0</v>
      </c>
      <c r="BW125" s="6">
        <v>0</v>
      </c>
      <c r="BX125" s="6">
        <v>0</v>
      </c>
      <c r="BY125" s="6">
        <v>0</v>
      </c>
      <c r="BZ125" s="6">
        <v>0</v>
      </c>
      <c r="CA125" s="6">
        <v>0</v>
      </c>
      <c r="CB125" s="6">
        <v>0</v>
      </c>
      <c r="CC125" s="6">
        <v>0</v>
      </c>
      <c r="CD125" s="6">
        <v>0</v>
      </c>
      <c r="CE125" s="6">
        <v>0</v>
      </c>
      <c r="CF125" s="6">
        <v>0</v>
      </c>
      <c r="CG125" s="6">
        <v>0</v>
      </c>
      <c r="CH125" s="6">
        <v>0</v>
      </c>
      <c r="CI125" s="6">
        <v>0</v>
      </c>
      <c r="CJ125" s="6">
        <v>0</v>
      </c>
      <c r="CK125" s="6">
        <v>0</v>
      </c>
      <c r="CL125" s="6">
        <v>0</v>
      </c>
      <c r="CM125" s="6">
        <v>0</v>
      </c>
      <c r="CN125" s="6">
        <v>0.56332701439999999</v>
      </c>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7">
        <v>0.1871481985</v>
      </c>
      <c r="DN125" s="7">
        <f t="shared" si="1"/>
        <v>100.0000122981</v>
      </c>
      <c r="DO125" s="7"/>
      <c r="DP125" s="6">
        <v>4.4967304000000001E-3</v>
      </c>
      <c r="DQ125" s="6">
        <v>6.7431484000000002E-3</v>
      </c>
      <c r="DR125" s="6">
        <v>1.0140259999999999E-3</v>
      </c>
      <c r="DS125" s="6">
        <v>1.3810025000000001E-3</v>
      </c>
      <c r="DT125" s="6">
        <v>7.6982060000000004E-4</v>
      </c>
      <c r="DU125" s="6">
        <v>2.5430075000000001E-3</v>
      </c>
      <c r="DV125" s="6">
        <v>5.4282853000000002E-3</v>
      </c>
      <c r="DW125" s="6">
        <v>5.4114941499999999E-2</v>
      </c>
      <c r="DX125" s="6">
        <v>0.38421750069999999</v>
      </c>
      <c r="DY125" s="6">
        <v>84.023933410599994</v>
      </c>
      <c r="DZ125" s="6">
        <v>0.56344276670000004</v>
      </c>
      <c r="EA125" s="6">
        <v>1.00083975E-2</v>
      </c>
      <c r="EB125" s="6">
        <v>9.8374710082999997</v>
      </c>
      <c r="EC125" s="6">
        <v>0.1373592615</v>
      </c>
      <c r="ED125" s="6">
        <v>4.9478139877</v>
      </c>
      <c r="EE125" s="6">
        <v>1.92384068E-2</v>
      </c>
      <c r="EF125" s="6"/>
      <c r="EG125" s="6"/>
      <c r="EH125" s="6"/>
      <c r="EI125" s="152"/>
    </row>
    <row r="126" spans="1:139" s="2" customFormat="1">
      <c r="A126" s="4">
        <v>46131</v>
      </c>
      <c r="B126" s="3"/>
      <c r="C126" s="3">
        <v>6</v>
      </c>
      <c r="D126" s="90" t="s">
        <v>418</v>
      </c>
      <c r="E126" s="3">
        <v>230.1</v>
      </c>
      <c r="F126" s="3">
        <v>230.1</v>
      </c>
      <c r="G126" s="3">
        <v>14.994199999999999</v>
      </c>
      <c r="H126" s="3">
        <v>15.0014</v>
      </c>
      <c r="I126" s="3">
        <v>708.69799999999998</v>
      </c>
      <c r="J126" s="3">
        <v>706.279</v>
      </c>
      <c r="K126" s="3">
        <v>0</v>
      </c>
      <c r="L126" s="3">
        <v>0</v>
      </c>
      <c r="M126" s="3">
        <v>708.95100000000002</v>
      </c>
      <c r="N126" s="3">
        <v>708.274</v>
      </c>
      <c r="O126" s="3">
        <v>0</v>
      </c>
      <c r="P126" s="3">
        <v>0</v>
      </c>
      <c r="Q126" s="3">
        <v>0.31721500000000002</v>
      </c>
      <c r="R126" s="3">
        <v>1999.96</v>
      </c>
      <c r="S126" s="3">
        <v>2000.09</v>
      </c>
      <c r="T126" s="3">
        <v>0</v>
      </c>
      <c r="U126" s="3">
        <v>0</v>
      </c>
      <c r="V126" s="3">
        <v>1999.67</v>
      </c>
      <c r="W126" s="3">
        <v>2000.33</v>
      </c>
      <c r="X126" s="3">
        <v>0</v>
      </c>
      <c r="Y126" s="3">
        <v>0</v>
      </c>
      <c r="Z126" s="3">
        <v>220</v>
      </c>
      <c r="AA126" s="3">
        <v>1.99857</v>
      </c>
      <c r="AB126" s="3">
        <v>2.0014599999999998</v>
      </c>
      <c r="AC126" s="3">
        <v>-6.0721299999999999E-2</v>
      </c>
      <c r="AD126" s="3">
        <v>3.78749E-4</v>
      </c>
      <c r="AE126" s="3">
        <v>2.00081</v>
      </c>
      <c r="AF126" s="3">
        <v>2.0038999999999998</v>
      </c>
      <c r="AG126" s="3">
        <v>-5.05117E-2</v>
      </c>
      <c r="AH126" s="3">
        <v>2.06497E-2</v>
      </c>
      <c r="AI126" s="7">
        <v>20.890730999999999</v>
      </c>
      <c r="AJ126" s="7">
        <v>58.770685</v>
      </c>
      <c r="AK126" s="3"/>
      <c r="AL126" s="6">
        <v>79.842597960999996</v>
      </c>
      <c r="AM126" s="6">
        <v>83.392623900999993</v>
      </c>
      <c r="AN126" s="6">
        <v>16.362676620999999</v>
      </c>
      <c r="AO126" s="6">
        <v>72.033920288000004</v>
      </c>
      <c r="AP126" s="6">
        <v>0</v>
      </c>
      <c r="AQ126" s="6">
        <v>0</v>
      </c>
      <c r="AR126" s="6">
        <v>4.2660412788000004</v>
      </c>
      <c r="AS126" s="6">
        <v>0.99508696789999995</v>
      </c>
      <c r="AT126" s="6">
        <v>0.35117918250000002</v>
      </c>
      <c r="AU126" s="6">
        <v>22.517833710000001</v>
      </c>
      <c r="AV126" s="6">
        <v>0.27465465659999999</v>
      </c>
      <c r="AW126" s="6">
        <v>4.2975573000000001E-3</v>
      </c>
      <c r="AX126" s="6">
        <v>0</v>
      </c>
      <c r="AY126" s="6">
        <v>0</v>
      </c>
      <c r="AZ126" s="6">
        <v>0</v>
      </c>
      <c r="BA126" s="6">
        <v>0</v>
      </c>
      <c r="BB126" s="6">
        <v>0</v>
      </c>
      <c r="BC126" s="6">
        <v>0</v>
      </c>
      <c r="BD126" s="6">
        <v>0</v>
      </c>
      <c r="BE126" s="6">
        <v>0</v>
      </c>
      <c r="BF126" s="6">
        <v>0</v>
      </c>
      <c r="BG126" s="6">
        <v>0</v>
      </c>
      <c r="BH126" s="6">
        <v>7.6488380431999996</v>
      </c>
      <c r="BI126" s="6">
        <v>1.2424656153</v>
      </c>
      <c r="BJ126" s="6">
        <v>60.457187652999998</v>
      </c>
      <c r="BK126" s="6">
        <v>0.91648757459999997</v>
      </c>
      <c r="BL126" s="6">
        <v>0</v>
      </c>
      <c r="BM126" s="6">
        <v>0</v>
      </c>
      <c r="BN126" s="6">
        <v>0</v>
      </c>
      <c r="BO126" s="6">
        <v>0</v>
      </c>
      <c r="BP126" s="6">
        <v>0</v>
      </c>
      <c r="BQ126" s="6">
        <v>0</v>
      </c>
      <c r="BR126" s="6">
        <v>0</v>
      </c>
      <c r="BS126" s="6">
        <v>0</v>
      </c>
      <c r="BT126" s="6">
        <v>0</v>
      </c>
      <c r="BU126" s="6">
        <v>0</v>
      </c>
      <c r="BV126" s="6">
        <v>0</v>
      </c>
      <c r="BW126" s="6">
        <v>0</v>
      </c>
      <c r="BX126" s="6">
        <v>0</v>
      </c>
      <c r="BY126" s="6">
        <v>0</v>
      </c>
      <c r="BZ126" s="6">
        <v>0</v>
      </c>
      <c r="CA126" s="6">
        <v>0</v>
      </c>
      <c r="CB126" s="6">
        <v>0</v>
      </c>
      <c r="CC126" s="6">
        <v>0</v>
      </c>
      <c r="CD126" s="6">
        <v>0</v>
      </c>
      <c r="CE126" s="6">
        <v>0</v>
      </c>
      <c r="CF126" s="6">
        <v>0</v>
      </c>
      <c r="CG126" s="6">
        <v>0</v>
      </c>
      <c r="CH126" s="6">
        <v>0</v>
      </c>
      <c r="CI126" s="6">
        <v>0</v>
      </c>
      <c r="CJ126" s="6">
        <v>0</v>
      </c>
      <c r="CK126" s="6">
        <v>0</v>
      </c>
      <c r="CL126" s="6">
        <v>0</v>
      </c>
      <c r="CM126" s="6">
        <v>0</v>
      </c>
      <c r="CN126" s="6">
        <v>0.25346344710000002</v>
      </c>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7">
        <v>1.0724616051</v>
      </c>
      <c r="DN126" s="7">
        <f t="shared" si="1"/>
        <v>99.999997291399993</v>
      </c>
      <c r="DO126" s="7"/>
      <c r="DP126" s="6">
        <v>2.0244378600000001E-2</v>
      </c>
      <c r="DQ126" s="6">
        <v>4.2581272124999998</v>
      </c>
      <c r="DR126" s="6">
        <v>7.6346483231000004</v>
      </c>
      <c r="DS126" s="6">
        <v>0.99324089289999995</v>
      </c>
      <c r="DT126" s="6">
        <v>1.2401607037</v>
      </c>
      <c r="DU126" s="6">
        <v>0.35052767400000001</v>
      </c>
      <c r="DV126" s="6">
        <v>4.8407111167999997</v>
      </c>
      <c r="DW126" s="6">
        <v>7.5405955315000002</v>
      </c>
      <c r="DX126" s="6">
        <v>29.319173812900001</v>
      </c>
      <c r="DY126" s="6">
        <v>18.644550323499999</v>
      </c>
      <c r="DZ126" s="6">
        <v>22.47605896</v>
      </c>
      <c r="EA126" s="6">
        <v>1.0624504089</v>
      </c>
      <c r="EB126" s="6">
        <v>0.25299325589999999</v>
      </c>
      <c r="EC126" s="6">
        <v>0.43016687040000001</v>
      </c>
      <c r="ED126" s="6">
        <v>0.48462051150000002</v>
      </c>
      <c r="EE126" s="6">
        <v>0.27414512629999999</v>
      </c>
      <c r="EF126" s="6">
        <v>0.15174414219999999</v>
      </c>
      <c r="EG126" s="6">
        <v>4.2895842E-3</v>
      </c>
      <c r="EH126" s="6">
        <v>2.1524939699999999E-2</v>
      </c>
      <c r="EI126" s="152"/>
    </row>
    <row r="127" spans="1:139" s="2" customFormat="1">
      <c r="A127" s="4">
        <v>46131</v>
      </c>
      <c r="B127" s="3"/>
      <c r="C127" s="3">
        <v>1</v>
      </c>
      <c r="D127" s="90" t="s">
        <v>419</v>
      </c>
      <c r="E127" s="3">
        <v>230</v>
      </c>
      <c r="F127" s="3">
        <v>230.1</v>
      </c>
      <c r="G127" s="3">
        <v>15.0014</v>
      </c>
      <c r="H127" s="3">
        <v>14.9899</v>
      </c>
      <c r="I127" s="3">
        <v>789.39300000000003</v>
      </c>
      <c r="J127" s="3">
        <v>790.178</v>
      </c>
      <c r="K127" s="3">
        <v>0</v>
      </c>
      <c r="L127" s="3">
        <v>0</v>
      </c>
      <c r="M127" s="3">
        <v>789.95699999999999</v>
      </c>
      <c r="N127" s="3">
        <v>789.70899999999995</v>
      </c>
      <c r="O127" s="3">
        <v>0</v>
      </c>
      <c r="P127" s="3">
        <v>0</v>
      </c>
      <c r="Q127" s="3">
        <v>0.29526400000000003</v>
      </c>
      <c r="R127" s="3">
        <v>2000.44</v>
      </c>
      <c r="S127" s="3">
        <v>1999.61</v>
      </c>
      <c r="T127" s="3">
        <v>0</v>
      </c>
      <c r="U127" s="3">
        <v>0</v>
      </c>
      <c r="V127" s="3">
        <v>2000.14</v>
      </c>
      <c r="W127" s="3">
        <v>1999.29</v>
      </c>
      <c r="X127" s="3">
        <v>0</v>
      </c>
      <c r="Y127" s="3">
        <v>0</v>
      </c>
      <c r="Z127" s="3">
        <v>219.9</v>
      </c>
      <c r="AA127" s="3">
        <v>1.9969300000000001</v>
      </c>
      <c r="AB127" s="3">
        <v>1.99488</v>
      </c>
      <c r="AC127" s="3">
        <v>-6.3073699999999996E-2</v>
      </c>
      <c r="AD127" s="3">
        <v>-3.8736600000000001E-3</v>
      </c>
      <c r="AE127" s="3">
        <v>1.9988600000000001</v>
      </c>
      <c r="AF127" s="3">
        <v>1.9951300000000001</v>
      </c>
      <c r="AG127" s="3">
        <v>-0.17958499999999999</v>
      </c>
      <c r="AH127" s="3">
        <v>1.3099299999999999E-2</v>
      </c>
      <c r="AI127" s="7">
        <v>23.108547999999999</v>
      </c>
      <c r="AJ127" s="7">
        <v>58.065655</v>
      </c>
      <c r="AK127" s="3"/>
      <c r="AL127" s="6">
        <v>81.213287352999998</v>
      </c>
      <c r="AM127" s="6">
        <v>83.427864075000002</v>
      </c>
      <c r="AN127" s="6">
        <v>16.248996734999999</v>
      </c>
      <c r="AO127" s="6">
        <v>64.643981933999996</v>
      </c>
      <c r="AP127" s="6">
        <v>0</v>
      </c>
      <c r="AQ127" s="6">
        <v>0</v>
      </c>
      <c r="AR127" s="6">
        <v>3.4466354846999998</v>
      </c>
      <c r="AS127" s="6">
        <v>0.91698300840000002</v>
      </c>
      <c r="AT127" s="6">
        <v>0.2725563943</v>
      </c>
      <c r="AU127" s="6">
        <v>32.423080444</v>
      </c>
      <c r="AV127" s="6">
        <v>0.67750692369999999</v>
      </c>
      <c r="AW127" s="6">
        <v>1.4153891199999999E-2</v>
      </c>
      <c r="AX127" s="6">
        <v>0</v>
      </c>
      <c r="AY127" s="6">
        <v>0</v>
      </c>
      <c r="AZ127" s="6">
        <v>0</v>
      </c>
      <c r="BA127" s="6">
        <v>0</v>
      </c>
      <c r="BB127" s="6">
        <v>0</v>
      </c>
      <c r="BC127" s="6">
        <v>0</v>
      </c>
      <c r="BD127" s="6">
        <v>0</v>
      </c>
      <c r="BE127" s="6">
        <v>0</v>
      </c>
      <c r="BF127" s="6">
        <v>0</v>
      </c>
      <c r="BG127" s="6">
        <v>0</v>
      </c>
      <c r="BH127" s="6">
        <v>6.4682321547999999</v>
      </c>
      <c r="BI127" s="6">
        <v>1.1195924282</v>
      </c>
      <c r="BJ127" s="6">
        <v>51.019569396999998</v>
      </c>
      <c r="BK127" s="6">
        <v>1.8029825687000001</v>
      </c>
      <c r="BL127" s="6">
        <v>0</v>
      </c>
      <c r="BM127" s="6">
        <v>0</v>
      </c>
      <c r="BN127" s="6">
        <v>0</v>
      </c>
      <c r="BO127" s="6">
        <v>0</v>
      </c>
      <c r="BP127" s="6">
        <v>0</v>
      </c>
      <c r="BQ127" s="6">
        <v>0</v>
      </c>
      <c r="BR127" s="6">
        <v>0</v>
      </c>
      <c r="BS127" s="6">
        <v>0</v>
      </c>
      <c r="BT127" s="6">
        <v>0</v>
      </c>
      <c r="BU127" s="6">
        <v>0</v>
      </c>
      <c r="BV127" s="6">
        <v>0</v>
      </c>
      <c r="BW127" s="6">
        <v>0</v>
      </c>
      <c r="BX127" s="6">
        <v>0</v>
      </c>
      <c r="BY127" s="6">
        <v>0</v>
      </c>
      <c r="BZ127" s="6">
        <v>0</v>
      </c>
      <c r="CA127" s="6">
        <v>0</v>
      </c>
      <c r="CB127" s="6">
        <v>0</v>
      </c>
      <c r="CC127" s="6">
        <v>0</v>
      </c>
      <c r="CD127" s="6">
        <v>0</v>
      </c>
      <c r="CE127" s="6">
        <v>0</v>
      </c>
      <c r="CF127" s="6">
        <v>0</v>
      </c>
      <c r="CG127" s="6">
        <v>0</v>
      </c>
      <c r="CH127" s="6">
        <v>0</v>
      </c>
      <c r="CI127" s="6">
        <v>0</v>
      </c>
      <c r="CJ127" s="6">
        <v>0</v>
      </c>
      <c r="CK127" s="6">
        <v>0</v>
      </c>
      <c r="CL127" s="6">
        <v>0</v>
      </c>
      <c r="CM127" s="6">
        <v>0</v>
      </c>
      <c r="CN127" s="6">
        <v>0.27136835459999997</v>
      </c>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7">
        <v>1.5673615932</v>
      </c>
      <c r="DN127" s="7">
        <f t="shared" si="1"/>
        <v>100.0000226428</v>
      </c>
      <c r="DO127" s="7"/>
      <c r="DP127" s="6">
        <v>1.1947843200000001E-2</v>
      </c>
      <c r="DQ127" s="6">
        <v>3.4369101523999999</v>
      </c>
      <c r="DR127" s="6">
        <v>6.4499807357999996</v>
      </c>
      <c r="DS127" s="6">
        <v>0.9143955708</v>
      </c>
      <c r="DT127" s="6">
        <v>1.1164332628</v>
      </c>
      <c r="DU127" s="6">
        <v>0.27178731560000002</v>
      </c>
      <c r="DV127" s="6">
        <v>3.1884424685999999</v>
      </c>
      <c r="DW127" s="6">
        <v>5.9280996323000004</v>
      </c>
      <c r="DX127" s="6">
        <v>25.580274581899999</v>
      </c>
      <c r="DY127" s="6">
        <v>16.178789138799999</v>
      </c>
      <c r="DZ127" s="6">
        <v>32.331592559800001</v>
      </c>
      <c r="EA127" s="6">
        <v>1.5929871797999999</v>
      </c>
      <c r="EB127" s="6">
        <v>0.27060264350000002</v>
      </c>
      <c r="EC127" s="6">
        <v>0.84619188310000004</v>
      </c>
      <c r="ED127" s="6">
        <v>0.95170325040000003</v>
      </c>
      <c r="EE127" s="6">
        <v>0.67559522390000004</v>
      </c>
      <c r="EF127" s="6">
        <v>0.21855607630000001</v>
      </c>
      <c r="EG127" s="6">
        <v>1.4113953300000001E-2</v>
      </c>
      <c r="EH127" s="6">
        <v>2.1611524699999999E-2</v>
      </c>
      <c r="EI127" s="152"/>
    </row>
    <row r="128" spans="1:139" s="2" customFormat="1">
      <c r="A128" s="4">
        <v>46131</v>
      </c>
      <c r="B128" s="3"/>
      <c r="C128" s="3">
        <v>2</v>
      </c>
      <c r="D128" s="90" t="s">
        <v>420</v>
      </c>
      <c r="E128" s="3">
        <v>230</v>
      </c>
      <c r="F128" s="3">
        <v>229.9</v>
      </c>
      <c r="G128" s="3">
        <v>15.0101</v>
      </c>
      <c r="H128" s="3">
        <v>15</v>
      </c>
      <c r="I128" s="3">
        <v>752.04100000000005</v>
      </c>
      <c r="J128" s="3">
        <v>749.96799999999996</v>
      </c>
      <c r="K128" s="3">
        <v>0</v>
      </c>
      <c r="L128" s="3">
        <v>0</v>
      </c>
      <c r="M128" s="3">
        <v>752.16200000000003</v>
      </c>
      <c r="N128" s="3">
        <v>750.79899999999998</v>
      </c>
      <c r="O128" s="3">
        <v>0</v>
      </c>
      <c r="P128" s="3">
        <v>0</v>
      </c>
      <c r="Q128" s="3">
        <v>0.183364</v>
      </c>
      <c r="R128" s="3">
        <v>1999.96</v>
      </c>
      <c r="S128" s="3">
        <v>1999.33</v>
      </c>
      <c r="T128" s="3">
        <v>0</v>
      </c>
      <c r="U128" s="3">
        <v>0</v>
      </c>
      <c r="V128" s="3">
        <v>2000.15</v>
      </c>
      <c r="W128" s="3">
        <v>1999.58</v>
      </c>
      <c r="X128" s="3">
        <v>0</v>
      </c>
      <c r="Y128" s="3">
        <v>0</v>
      </c>
      <c r="Z128" s="3">
        <v>219.9</v>
      </c>
      <c r="AA128" s="3">
        <v>2.0054699999999999</v>
      </c>
      <c r="AB128" s="3">
        <v>2.0036100000000001</v>
      </c>
      <c r="AC128" s="3">
        <v>-5.7632599999999999E-2</v>
      </c>
      <c r="AD128" s="3">
        <v>-5.8696599999999996E-3</v>
      </c>
      <c r="AE128" s="3">
        <v>1.99817</v>
      </c>
      <c r="AF128" s="3">
        <v>2.0143399999999998</v>
      </c>
      <c r="AG128" s="3">
        <v>-8.1330799999999995E-2</v>
      </c>
      <c r="AH128" s="3">
        <v>-9.6758800000000006E-2</v>
      </c>
      <c r="AI128" s="7">
        <v>20.509694</v>
      </c>
      <c r="AJ128" s="7">
        <v>59.532220000000002</v>
      </c>
      <c r="AK128" s="3"/>
      <c r="AL128" s="6">
        <v>80.993789672999995</v>
      </c>
      <c r="AM128" s="6">
        <v>83.422119140999996</v>
      </c>
      <c r="AN128" s="6">
        <v>16.261949539</v>
      </c>
      <c r="AO128" s="6">
        <v>64.064941406000003</v>
      </c>
      <c r="AP128" s="6">
        <v>0</v>
      </c>
      <c r="AQ128" s="6">
        <v>0</v>
      </c>
      <c r="AR128" s="6">
        <v>3.5246369838999998</v>
      </c>
      <c r="AS128" s="6">
        <v>0.94251751900000003</v>
      </c>
      <c r="AT128" s="6">
        <v>0.31361588839999999</v>
      </c>
      <c r="AU128" s="6">
        <v>33.785316467000001</v>
      </c>
      <c r="AV128" s="6">
        <v>0.71761667730000001</v>
      </c>
      <c r="AW128" s="6">
        <v>1.47548253E-2</v>
      </c>
      <c r="AX128" s="6">
        <v>0</v>
      </c>
      <c r="AY128" s="6">
        <v>0</v>
      </c>
      <c r="AZ128" s="6">
        <v>0</v>
      </c>
      <c r="BA128" s="6">
        <v>0</v>
      </c>
      <c r="BB128" s="6">
        <v>0</v>
      </c>
      <c r="BC128" s="6">
        <v>0</v>
      </c>
      <c r="BD128" s="6">
        <v>0</v>
      </c>
      <c r="BE128" s="6">
        <v>0</v>
      </c>
      <c r="BF128" s="6">
        <v>0</v>
      </c>
      <c r="BG128" s="6">
        <v>0</v>
      </c>
      <c r="BH128" s="6">
        <v>6.7669224739000002</v>
      </c>
      <c r="BI128" s="6">
        <v>1.2575217485000001</v>
      </c>
      <c r="BJ128" s="6">
        <v>49.190998077000003</v>
      </c>
      <c r="BK128" s="6">
        <v>1.7256388664</v>
      </c>
      <c r="BL128" s="6">
        <v>0</v>
      </c>
      <c r="BM128" s="6">
        <v>0</v>
      </c>
      <c r="BN128" s="6">
        <v>0</v>
      </c>
      <c r="BO128" s="6">
        <v>0</v>
      </c>
      <c r="BP128" s="6">
        <v>0</v>
      </c>
      <c r="BQ128" s="6">
        <v>0</v>
      </c>
      <c r="BR128" s="6">
        <v>0</v>
      </c>
      <c r="BS128" s="6">
        <v>0</v>
      </c>
      <c r="BT128" s="6">
        <v>0</v>
      </c>
      <c r="BU128" s="6">
        <v>0</v>
      </c>
      <c r="BV128" s="6">
        <v>0</v>
      </c>
      <c r="BW128" s="6">
        <v>0</v>
      </c>
      <c r="BX128" s="6">
        <v>0</v>
      </c>
      <c r="BY128" s="6">
        <v>0</v>
      </c>
      <c r="BZ128" s="6">
        <v>0</v>
      </c>
      <c r="CA128" s="6">
        <v>0</v>
      </c>
      <c r="CB128" s="6">
        <v>0</v>
      </c>
      <c r="CC128" s="6">
        <v>0</v>
      </c>
      <c r="CD128" s="6">
        <v>0</v>
      </c>
      <c r="CE128" s="6">
        <v>0</v>
      </c>
      <c r="CF128" s="6">
        <v>0</v>
      </c>
      <c r="CG128" s="6">
        <v>0</v>
      </c>
      <c r="CH128" s="6">
        <v>0</v>
      </c>
      <c r="CI128" s="6">
        <v>0</v>
      </c>
      <c r="CJ128" s="6">
        <v>0</v>
      </c>
      <c r="CK128" s="6">
        <v>0</v>
      </c>
      <c r="CL128" s="6">
        <v>0</v>
      </c>
      <c r="CM128" s="6">
        <v>0</v>
      </c>
      <c r="CN128" s="6">
        <v>0.23460099100000001</v>
      </c>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7">
        <v>1.5258547067999999</v>
      </c>
      <c r="DN128" s="7">
        <f t="shared" si="1"/>
        <v>99.999995224500012</v>
      </c>
      <c r="DO128" s="7"/>
      <c r="DP128" s="6">
        <v>1.1079877599999999E-2</v>
      </c>
      <c r="DQ128" s="6">
        <v>3.5155847072999999</v>
      </c>
      <c r="DR128" s="6">
        <v>6.7495431899999998</v>
      </c>
      <c r="DS128" s="6">
        <v>0.94009685519999997</v>
      </c>
      <c r="DT128" s="6">
        <v>1.2542921305000001</v>
      </c>
      <c r="DU128" s="6">
        <v>0.31281045079999997</v>
      </c>
      <c r="DV128" s="6">
        <v>2.9542510509</v>
      </c>
      <c r="DW128" s="6">
        <v>5.8437042235999996</v>
      </c>
      <c r="DX128" s="6">
        <v>24.698116302500001</v>
      </c>
      <c r="DY128" s="6">
        <v>15.5685882568</v>
      </c>
      <c r="DZ128" s="6">
        <v>33.698547363300001</v>
      </c>
      <c r="EA128" s="6">
        <v>1.4916596413000001</v>
      </c>
      <c r="EB128" s="6">
        <v>0.2339984775</v>
      </c>
      <c r="EC128" s="6">
        <v>0.7930026054</v>
      </c>
      <c r="ED128" s="6">
        <v>0.92820429800000004</v>
      </c>
      <c r="EE128" s="6">
        <v>0.71577364210000005</v>
      </c>
      <c r="EF128" s="6">
        <v>0.2457466274</v>
      </c>
      <c r="EG128" s="6">
        <v>1.47169307E-2</v>
      </c>
      <c r="EH128" s="6">
        <v>3.0297828799999999E-2</v>
      </c>
      <c r="EI128" s="152"/>
    </row>
    <row r="129" spans="1:139" s="2" customFormat="1">
      <c r="A129" s="4">
        <v>46131</v>
      </c>
      <c r="B129" s="3"/>
      <c r="C129" s="3">
        <v>5</v>
      </c>
      <c r="D129" s="90" t="s">
        <v>421</v>
      </c>
      <c r="E129" s="3">
        <v>229.9</v>
      </c>
      <c r="F129" s="3">
        <v>230</v>
      </c>
      <c r="G129" s="3">
        <v>14.987</v>
      </c>
      <c r="H129" s="3">
        <v>15.0014</v>
      </c>
      <c r="I129" s="3">
        <v>765.56600000000003</v>
      </c>
      <c r="J129" s="3">
        <v>763.41600000000005</v>
      </c>
      <c r="K129" s="3">
        <v>0</v>
      </c>
      <c r="L129" s="3">
        <v>0</v>
      </c>
      <c r="M129" s="3">
        <v>765.35</v>
      </c>
      <c r="N129" s="3">
        <v>764.73199999999997</v>
      </c>
      <c r="O129" s="3">
        <v>0</v>
      </c>
      <c r="P129" s="3">
        <v>0</v>
      </c>
      <c r="Q129" s="3">
        <v>0.19872999999999999</v>
      </c>
      <c r="R129" s="3">
        <v>2001.03</v>
      </c>
      <c r="S129" s="3">
        <v>1999.65</v>
      </c>
      <c r="T129" s="3">
        <v>0</v>
      </c>
      <c r="U129" s="3">
        <v>0</v>
      </c>
      <c r="V129" s="3">
        <v>1999.94</v>
      </c>
      <c r="W129" s="3">
        <v>1999.58</v>
      </c>
      <c r="X129" s="3">
        <v>0</v>
      </c>
      <c r="Y129" s="3">
        <v>0</v>
      </c>
      <c r="Z129" s="3">
        <v>220</v>
      </c>
      <c r="AA129" s="3">
        <v>2.00238</v>
      </c>
      <c r="AB129" s="3">
        <v>1.99855</v>
      </c>
      <c r="AC129" s="3">
        <v>-5.17344E-2</v>
      </c>
      <c r="AD129" s="3">
        <v>-3.2515600000000001E-3</v>
      </c>
      <c r="AE129" s="3">
        <v>2.0028000000000001</v>
      </c>
      <c r="AF129" s="3">
        <v>2.0066299999999999</v>
      </c>
      <c r="AG129" s="3">
        <v>-2.8883499999999999E-2</v>
      </c>
      <c r="AH129" s="3">
        <v>-4.5235400000000002E-2</v>
      </c>
      <c r="AI129" s="7">
        <v>22.860758000000001</v>
      </c>
      <c r="AJ129" s="7">
        <v>58.438696999999998</v>
      </c>
      <c r="AK129" s="3"/>
      <c r="AL129" s="6">
        <v>88.522918700999995</v>
      </c>
      <c r="AM129" s="6">
        <v>83.613502502000003</v>
      </c>
      <c r="AN129" s="6">
        <v>16.282541275</v>
      </c>
      <c r="AO129" s="6">
        <v>23.946298598999999</v>
      </c>
      <c r="AP129" s="6">
        <v>0</v>
      </c>
      <c r="AQ129" s="6">
        <v>0</v>
      </c>
      <c r="AR129" s="6">
        <v>5.0133512999999998E-3</v>
      </c>
      <c r="AS129" s="6">
        <v>1.4114046E-3</v>
      </c>
      <c r="AT129" s="6">
        <v>6.432931E-4</v>
      </c>
      <c r="AU129" s="280">
        <v>84.006813049000002</v>
      </c>
      <c r="AV129" s="280">
        <v>9.8465528488</v>
      </c>
      <c r="AW129" s="280">
        <v>4.9450454712000003</v>
      </c>
      <c r="AX129" s="6">
        <v>0</v>
      </c>
      <c r="AY129" s="6">
        <v>0</v>
      </c>
      <c r="AZ129" s="6">
        <v>0</v>
      </c>
      <c r="BA129" s="6">
        <v>0</v>
      </c>
      <c r="BB129" s="6">
        <v>0</v>
      </c>
      <c r="BC129" s="6">
        <v>0</v>
      </c>
      <c r="BD129" s="6">
        <v>0</v>
      </c>
      <c r="BE129" s="6">
        <v>0</v>
      </c>
      <c r="BF129" s="6">
        <v>0</v>
      </c>
      <c r="BG129" s="6">
        <v>0</v>
      </c>
      <c r="BH129" s="6">
        <v>8.2975737999999993E-3</v>
      </c>
      <c r="BI129" s="6">
        <v>1.5861011E-3</v>
      </c>
      <c r="BJ129" s="6">
        <v>0.45870593189999997</v>
      </c>
      <c r="BK129" s="6">
        <v>1.2910125E-3</v>
      </c>
      <c r="BL129" s="6">
        <v>0</v>
      </c>
      <c r="BM129" s="6">
        <v>0</v>
      </c>
      <c r="BN129" s="6">
        <v>0</v>
      </c>
      <c r="BO129" s="6">
        <v>0</v>
      </c>
      <c r="BP129" s="6">
        <v>0</v>
      </c>
      <c r="BQ129" s="6">
        <v>0</v>
      </c>
      <c r="BR129" s="6">
        <v>0</v>
      </c>
      <c r="BS129" s="6">
        <v>0</v>
      </c>
      <c r="BT129" s="6">
        <v>0</v>
      </c>
      <c r="BU129" s="6">
        <v>0</v>
      </c>
      <c r="BV129" s="6">
        <v>0</v>
      </c>
      <c r="BW129" s="6">
        <v>0</v>
      </c>
      <c r="BX129" s="6">
        <v>0</v>
      </c>
      <c r="BY129" s="6">
        <v>0</v>
      </c>
      <c r="BZ129" s="6">
        <v>0</v>
      </c>
      <c r="CA129" s="6">
        <v>0</v>
      </c>
      <c r="CB129" s="6">
        <v>0</v>
      </c>
      <c r="CC129" s="6">
        <v>0</v>
      </c>
      <c r="CD129" s="6">
        <v>0</v>
      </c>
      <c r="CE129" s="6">
        <v>0</v>
      </c>
      <c r="CF129" s="6">
        <v>0</v>
      </c>
      <c r="CG129" s="6">
        <v>0</v>
      </c>
      <c r="CH129" s="6">
        <v>0</v>
      </c>
      <c r="CI129" s="6">
        <v>0</v>
      </c>
      <c r="CJ129" s="6">
        <v>0</v>
      </c>
      <c r="CK129" s="6">
        <v>0</v>
      </c>
      <c r="CL129" s="6">
        <v>0</v>
      </c>
      <c r="CM129" s="6">
        <v>0</v>
      </c>
      <c r="CN129" s="6">
        <v>0.53948456050000004</v>
      </c>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7">
        <v>0.1851299703</v>
      </c>
      <c r="DN129" s="7">
        <f t="shared" si="1"/>
        <v>99.999974568100001</v>
      </c>
      <c r="DO129" s="7"/>
      <c r="DP129" s="6">
        <v>5.0143693E-3</v>
      </c>
      <c r="DQ129" s="6">
        <v>8.2992576000000002E-3</v>
      </c>
      <c r="DR129" s="6">
        <v>1.4116911000000001E-3</v>
      </c>
      <c r="DS129" s="6">
        <v>1.5864231E-3</v>
      </c>
      <c r="DT129" s="6">
        <v>6.4342369999999998E-4</v>
      </c>
      <c r="DU129" s="6">
        <v>3.1186088E-3</v>
      </c>
      <c r="DV129" s="6">
        <v>6.5723518E-3</v>
      </c>
      <c r="DW129" s="6">
        <v>5.9334412199999999E-2</v>
      </c>
      <c r="DX129" s="6">
        <v>0.38977366689999998</v>
      </c>
      <c r="DY129" s="6">
        <v>84.023864746100003</v>
      </c>
      <c r="DZ129" s="6">
        <v>0.53959405419999995</v>
      </c>
      <c r="EA129" s="6">
        <v>1.2912746E-3</v>
      </c>
      <c r="EB129" s="6">
        <v>1.0094735800000001E-2</v>
      </c>
      <c r="EC129" s="6">
        <v>9.8485507964999996</v>
      </c>
      <c r="ED129" s="6">
        <v>0.1364448667</v>
      </c>
      <c r="EE129" s="6">
        <v>4.9460492134000003</v>
      </c>
      <c r="EF129" s="6">
        <v>1.8327672E-2</v>
      </c>
      <c r="EG129" s="6"/>
      <c r="EH129" s="6"/>
      <c r="EI129" s="152"/>
    </row>
    <row r="130" spans="1:139" s="2" customFormat="1">
      <c r="A130" s="4">
        <v>46131</v>
      </c>
      <c r="B130" s="3"/>
      <c r="C130" s="3">
        <v>6</v>
      </c>
      <c r="D130" s="90" t="s">
        <v>422</v>
      </c>
      <c r="E130" s="3">
        <v>230</v>
      </c>
      <c r="F130" s="3">
        <v>230</v>
      </c>
      <c r="G130" s="3">
        <v>14.992800000000001</v>
      </c>
      <c r="H130" s="3">
        <v>14.9971</v>
      </c>
      <c r="I130" s="3">
        <v>860.649</v>
      </c>
      <c r="J130" s="3">
        <v>862.25</v>
      </c>
      <c r="K130" s="3">
        <v>0</v>
      </c>
      <c r="L130" s="3">
        <v>0</v>
      </c>
      <c r="M130" s="3">
        <v>858.09500000000003</v>
      </c>
      <c r="N130" s="3">
        <v>861.21400000000006</v>
      </c>
      <c r="O130" s="3">
        <v>0</v>
      </c>
      <c r="P130" s="3">
        <v>0</v>
      </c>
      <c r="Q130" s="3">
        <v>0.29488199999999998</v>
      </c>
      <c r="R130" s="3">
        <v>1999.37</v>
      </c>
      <c r="S130" s="3">
        <v>1999.45</v>
      </c>
      <c r="T130" s="3">
        <v>0</v>
      </c>
      <c r="U130" s="3">
        <v>0</v>
      </c>
      <c r="V130" s="3">
        <v>2000.25</v>
      </c>
      <c r="W130" s="3">
        <v>1999.71</v>
      </c>
      <c r="X130" s="3">
        <v>0</v>
      </c>
      <c r="Y130" s="3">
        <v>0</v>
      </c>
      <c r="Z130" s="3">
        <v>220</v>
      </c>
      <c r="AA130" s="3">
        <v>1.9988999999999999</v>
      </c>
      <c r="AB130" s="3">
        <v>2.00163</v>
      </c>
      <c r="AC130" s="3">
        <v>-6.2341399999999998E-2</v>
      </c>
      <c r="AD130" s="3">
        <v>-1.9623599999999998E-3</v>
      </c>
      <c r="AE130" s="3">
        <v>1.9981100000000001</v>
      </c>
      <c r="AF130" s="3">
        <v>1.99634</v>
      </c>
      <c r="AG130" s="3">
        <v>-0.102658</v>
      </c>
      <c r="AH130" s="3">
        <v>-3.7286199999999999E-2</v>
      </c>
      <c r="AI130" s="7">
        <v>20.451695999999998</v>
      </c>
      <c r="AJ130" s="7">
        <v>59.124476999999999</v>
      </c>
      <c r="AK130" s="3"/>
      <c r="AL130" s="6">
        <v>79.798309325999995</v>
      </c>
      <c r="AM130" s="6">
        <v>83.391395568999997</v>
      </c>
      <c r="AN130" s="6">
        <v>16.366466522</v>
      </c>
      <c r="AO130" s="6">
        <v>72.020469665999997</v>
      </c>
      <c r="AP130" s="6">
        <v>0</v>
      </c>
      <c r="AQ130" s="6">
        <v>0</v>
      </c>
      <c r="AR130" s="6">
        <v>4.2876815796000001</v>
      </c>
      <c r="AS130" s="6">
        <v>0.99740189310000005</v>
      </c>
      <c r="AT130" s="6">
        <v>0.35993915799999998</v>
      </c>
      <c r="AU130" s="6">
        <v>22.613409042000001</v>
      </c>
      <c r="AV130" s="6">
        <v>0.27309638260000002</v>
      </c>
      <c r="AW130" s="6">
        <v>4.2539494999999997E-3</v>
      </c>
      <c r="AX130" s="6">
        <v>0</v>
      </c>
      <c r="AY130" s="6">
        <v>0</v>
      </c>
      <c r="AZ130" s="6">
        <v>0</v>
      </c>
      <c r="BA130" s="6">
        <v>0</v>
      </c>
      <c r="BB130" s="6">
        <v>0</v>
      </c>
      <c r="BC130" s="6">
        <v>0</v>
      </c>
      <c r="BD130" s="6">
        <v>0</v>
      </c>
      <c r="BE130" s="6">
        <v>0</v>
      </c>
      <c r="BF130" s="6">
        <v>0</v>
      </c>
      <c r="BG130" s="6">
        <v>0</v>
      </c>
      <c r="BH130" s="6">
        <v>7.6982488631999999</v>
      </c>
      <c r="BI130" s="6">
        <v>1.2631727456999999</v>
      </c>
      <c r="BJ130" s="6">
        <v>60.293022155999999</v>
      </c>
      <c r="BK130" s="6">
        <v>0.90498280529999997</v>
      </c>
      <c r="BL130" s="6">
        <v>0</v>
      </c>
      <c r="BM130" s="6">
        <v>0</v>
      </c>
      <c r="BN130" s="6">
        <v>0</v>
      </c>
      <c r="BO130" s="6">
        <v>0</v>
      </c>
      <c r="BP130" s="6">
        <v>0</v>
      </c>
      <c r="BQ130" s="6">
        <v>0</v>
      </c>
      <c r="BR130" s="6">
        <v>0</v>
      </c>
      <c r="BS130" s="6">
        <v>0</v>
      </c>
      <c r="BT130" s="6">
        <v>0</v>
      </c>
      <c r="BU130" s="6">
        <v>0</v>
      </c>
      <c r="BV130" s="6">
        <v>0</v>
      </c>
      <c r="BW130" s="6">
        <v>0</v>
      </c>
      <c r="BX130" s="6">
        <v>0</v>
      </c>
      <c r="BY130" s="6">
        <v>0</v>
      </c>
      <c r="BZ130" s="6">
        <v>0</v>
      </c>
      <c r="CA130" s="6">
        <v>0</v>
      </c>
      <c r="CB130" s="6">
        <v>0</v>
      </c>
      <c r="CC130" s="6">
        <v>0</v>
      </c>
      <c r="CD130" s="6">
        <v>0</v>
      </c>
      <c r="CE130" s="6">
        <v>0</v>
      </c>
      <c r="CF130" s="6">
        <v>0</v>
      </c>
      <c r="CG130" s="6">
        <v>0</v>
      </c>
      <c r="CH130" s="6">
        <v>0</v>
      </c>
      <c r="CI130" s="6">
        <v>0</v>
      </c>
      <c r="CJ130" s="6">
        <v>0</v>
      </c>
      <c r="CK130" s="6">
        <v>0</v>
      </c>
      <c r="CL130" s="6">
        <v>0</v>
      </c>
      <c r="CM130" s="6">
        <v>0</v>
      </c>
      <c r="CN130" s="6">
        <v>0.2483698577</v>
      </c>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7">
        <v>1.0564054250999999</v>
      </c>
      <c r="DN130" s="7">
        <f t="shared" si="1"/>
        <v>99.999983857799975</v>
      </c>
      <c r="DO130" s="7"/>
      <c r="DP130" s="6">
        <v>1.9728412899999999E-2</v>
      </c>
      <c r="DQ130" s="6">
        <v>4.2799153327999999</v>
      </c>
      <c r="DR130" s="6">
        <v>7.684305191</v>
      </c>
      <c r="DS130" s="6">
        <v>0.99559533600000005</v>
      </c>
      <c r="DT130" s="6">
        <v>1.2608847618000001</v>
      </c>
      <c r="DU130" s="6">
        <v>0.35928720240000001</v>
      </c>
      <c r="DV130" s="6">
        <v>4.8176002501999999</v>
      </c>
      <c r="DW130" s="6">
        <v>7.5263562202000003</v>
      </c>
      <c r="DX130" s="6">
        <v>29.244895935100001</v>
      </c>
      <c r="DY130" s="6">
        <v>18.594959258999999</v>
      </c>
      <c r="DZ130" s="6">
        <v>22.572450637799999</v>
      </c>
      <c r="EA130" s="6">
        <v>1.0413007736</v>
      </c>
      <c r="EB130" s="6">
        <v>0.24791997669999999</v>
      </c>
      <c r="EC130" s="6">
        <v>0.4231866896</v>
      </c>
      <c r="ED130" s="6">
        <v>0.48015689849999998</v>
      </c>
      <c r="EE130" s="6">
        <v>0.27260172370000002</v>
      </c>
      <c r="EF130" s="6">
        <v>0.15279895069999999</v>
      </c>
      <c r="EG130" s="6">
        <v>4.2462447000000004E-3</v>
      </c>
      <c r="EH130" s="6">
        <v>2.1784346600000001E-2</v>
      </c>
      <c r="EI130" s="152"/>
    </row>
    <row r="131" spans="1:139" s="2" customFormat="1">
      <c r="A131" s="4">
        <v>46131</v>
      </c>
      <c r="B131" s="3"/>
      <c r="C131" s="3">
        <v>1</v>
      </c>
      <c r="D131" s="90" t="s">
        <v>423</v>
      </c>
      <c r="E131" s="3">
        <v>229.9</v>
      </c>
      <c r="F131" s="3">
        <v>230</v>
      </c>
      <c r="G131" s="3">
        <v>15.0014</v>
      </c>
      <c r="H131" s="3">
        <v>14.9899</v>
      </c>
      <c r="I131" s="3">
        <v>858.92499999999995</v>
      </c>
      <c r="J131" s="3">
        <v>859.59299999999996</v>
      </c>
      <c r="K131" s="3">
        <v>0</v>
      </c>
      <c r="L131" s="3">
        <v>0</v>
      </c>
      <c r="M131" s="3">
        <v>859.72900000000004</v>
      </c>
      <c r="N131" s="3">
        <v>859.49699999999996</v>
      </c>
      <c r="O131" s="3">
        <v>0</v>
      </c>
      <c r="P131" s="3">
        <v>0</v>
      </c>
      <c r="Q131" s="3">
        <v>0.33266000000000001</v>
      </c>
      <c r="R131" s="3">
        <v>2000.06</v>
      </c>
      <c r="S131" s="3">
        <v>2000.41</v>
      </c>
      <c r="T131" s="3">
        <v>0</v>
      </c>
      <c r="U131" s="3">
        <v>0</v>
      </c>
      <c r="V131" s="3">
        <v>2000.53</v>
      </c>
      <c r="W131" s="3">
        <v>2000.19</v>
      </c>
      <c r="X131" s="3">
        <v>0</v>
      </c>
      <c r="Y131" s="3">
        <v>0</v>
      </c>
      <c r="Z131" s="3">
        <v>220.1</v>
      </c>
      <c r="AA131" s="3">
        <v>1.9973000000000001</v>
      </c>
      <c r="AB131" s="3">
        <v>2.0001500000000001</v>
      </c>
      <c r="AC131" s="3">
        <v>-6.05891E-2</v>
      </c>
      <c r="AD131" s="3">
        <v>1.5466099999999999E-3</v>
      </c>
      <c r="AE131" s="3">
        <v>2.00081</v>
      </c>
      <c r="AF131" s="3">
        <v>2.0095700000000001</v>
      </c>
      <c r="AG131" s="3">
        <v>-5.7132799999999997E-2</v>
      </c>
      <c r="AH131" s="3">
        <v>-1.35549E-2</v>
      </c>
      <c r="AI131" s="7">
        <v>23.073155</v>
      </c>
      <c r="AJ131" s="7">
        <v>57.971386000000003</v>
      </c>
      <c r="AK131" s="3"/>
      <c r="AL131" s="6">
        <v>81.144302367999998</v>
      </c>
      <c r="AM131" s="6">
        <v>83.426086425999998</v>
      </c>
      <c r="AN131" s="6">
        <v>16.253112793</v>
      </c>
      <c r="AO131" s="6">
        <v>64.808815002000003</v>
      </c>
      <c r="AP131" s="6">
        <v>0</v>
      </c>
      <c r="AQ131" s="6">
        <v>0</v>
      </c>
      <c r="AR131" s="6">
        <v>3.4830169677999998</v>
      </c>
      <c r="AS131" s="6">
        <v>0.92764669659999999</v>
      </c>
      <c r="AT131" s="6">
        <v>0.27697783710000001</v>
      </c>
      <c r="AU131" s="6">
        <v>32.256931305000002</v>
      </c>
      <c r="AV131" s="6">
        <v>0.66464328770000003</v>
      </c>
      <c r="AW131" s="6">
        <v>1.35813775E-2</v>
      </c>
      <c r="AX131" s="6">
        <v>0</v>
      </c>
      <c r="AY131" s="6">
        <v>0</v>
      </c>
      <c r="AZ131" s="6">
        <v>0</v>
      </c>
      <c r="BA131" s="6">
        <v>0</v>
      </c>
      <c r="BB131" s="6">
        <v>0</v>
      </c>
      <c r="BC131" s="6">
        <v>0</v>
      </c>
      <c r="BD131" s="6">
        <v>0</v>
      </c>
      <c r="BE131" s="6">
        <v>0</v>
      </c>
      <c r="BF131" s="6">
        <v>0</v>
      </c>
      <c r="BG131" s="6">
        <v>0</v>
      </c>
      <c r="BH131" s="6">
        <v>6.5400023459999996</v>
      </c>
      <c r="BI131" s="6">
        <v>1.133015871</v>
      </c>
      <c r="BJ131" s="6">
        <v>51.108154296999999</v>
      </c>
      <c r="BK131" s="6">
        <v>1.7736349106</v>
      </c>
      <c r="BL131" s="6">
        <v>0</v>
      </c>
      <c r="BM131" s="6">
        <v>0</v>
      </c>
      <c r="BN131" s="6">
        <v>0</v>
      </c>
      <c r="BO131" s="6">
        <v>0</v>
      </c>
      <c r="BP131" s="6">
        <v>0</v>
      </c>
      <c r="BQ131" s="6">
        <v>0</v>
      </c>
      <c r="BR131" s="6">
        <v>0</v>
      </c>
      <c r="BS131" s="6">
        <v>0</v>
      </c>
      <c r="BT131" s="6">
        <v>0</v>
      </c>
      <c r="BU131" s="6">
        <v>0</v>
      </c>
      <c r="BV131" s="6">
        <v>0</v>
      </c>
      <c r="BW131" s="6">
        <v>0</v>
      </c>
      <c r="BX131" s="6">
        <v>0</v>
      </c>
      <c r="BY131" s="6">
        <v>0</v>
      </c>
      <c r="BZ131" s="6">
        <v>0</v>
      </c>
      <c r="CA131" s="6">
        <v>0</v>
      </c>
      <c r="CB131" s="6">
        <v>0</v>
      </c>
      <c r="CC131" s="6">
        <v>0</v>
      </c>
      <c r="CD131" s="6">
        <v>0</v>
      </c>
      <c r="CE131" s="6">
        <v>0</v>
      </c>
      <c r="CF131" s="6">
        <v>0</v>
      </c>
      <c r="CG131" s="6">
        <v>0</v>
      </c>
      <c r="CH131" s="6">
        <v>0</v>
      </c>
      <c r="CI131" s="6">
        <v>0</v>
      </c>
      <c r="CJ131" s="6">
        <v>0</v>
      </c>
      <c r="CK131" s="6">
        <v>0</v>
      </c>
      <c r="CL131" s="6">
        <v>0</v>
      </c>
      <c r="CM131" s="6">
        <v>0</v>
      </c>
      <c r="CN131" s="6">
        <v>0.26970845459999998</v>
      </c>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7">
        <v>1.5526981354</v>
      </c>
      <c r="DN131" s="7">
        <f t="shared" ref="DN131:DN169" si="2">SUM(AP131:DM131)</f>
        <v>100.0000114863</v>
      </c>
      <c r="DO131" s="7"/>
      <c r="DP131" s="6">
        <v>1.22236367E-2</v>
      </c>
      <c r="DQ131" s="6">
        <v>3.4733040332999998</v>
      </c>
      <c r="DR131" s="6">
        <v>6.5217647552000004</v>
      </c>
      <c r="DS131" s="6">
        <v>0.92505979540000005</v>
      </c>
      <c r="DT131" s="6">
        <v>1.1298562288</v>
      </c>
      <c r="DU131" s="6">
        <v>0.27620545029999999</v>
      </c>
      <c r="DV131" s="6">
        <v>3.2126243113999999</v>
      </c>
      <c r="DW131" s="6">
        <v>5.9504599570999996</v>
      </c>
      <c r="DX131" s="6">
        <v>25.607950210599999</v>
      </c>
      <c r="DY131" s="6">
        <v>16.194597244299999</v>
      </c>
      <c r="DZ131" s="6">
        <v>32.166976928700002</v>
      </c>
      <c r="EA131" s="6">
        <v>1.5758615732000001</v>
      </c>
      <c r="EB131" s="6">
        <v>0.26895633340000002</v>
      </c>
      <c r="EC131" s="6">
        <v>0.83311313389999997</v>
      </c>
      <c r="ED131" s="6">
        <v>0.93557572359999996</v>
      </c>
      <c r="EE131" s="6">
        <v>0.6627898216</v>
      </c>
      <c r="EF131" s="6">
        <v>0.21660122279999999</v>
      </c>
      <c r="EG131" s="6">
        <v>1.35435043E-2</v>
      </c>
      <c r="EH131" s="6">
        <v>2.25587711E-2</v>
      </c>
      <c r="EI131" s="152"/>
    </row>
    <row r="132" spans="1:139" s="2" customFormat="1">
      <c r="A132" s="4">
        <v>46131</v>
      </c>
      <c r="B132" s="3"/>
      <c r="C132" s="3">
        <v>2</v>
      </c>
      <c r="D132" s="90" t="s">
        <v>424</v>
      </c>
      <c r="E132" s="3">
        <v>229.9</v>
      </c>
      <c r="F132" s="3">
        <v>230</v>
      </c>
      <c r="G132" s="3">
        <v>15.013</v>
      </c>
      <c r="H132" s="3">
        <v>15.018800000000001</v>
      </c>
      <c r="I132" s="3">
        <v>751.55600000000004</v>
      </c>
      <c r="J132" s="3">
        <v>752.85</v>
      </c>
      <c r="K132" s="3">
        <v>0</v>
      </c>
      <c r="L132" s="3">
        <v>0</v>
      </c>
      <c r="M132" s="3">
        <v>752.75900000000001</v>
      </c>
      <c r="N132" s="3">
        <v>752.88300000000004</v>
      </c>
      <c r="O132" s="3">
        <v>0</v>
      </c>
      <c r="P132" s="3">
        <v>0</v>
      </c>
      <c r="Q132" s="3">
        <v>0.27511600000000003</v>
      </c>
      <c r="R132" s="3">
        <v>2000.8</v>
      </c>
      <c r="S132" s="3">
        <v>2000.38</v>
      </c>
      <c r="T132" s="3">
        <v>0</v>
      </c>
      <c r="U132" s="3">
        <v>0</v>
      </c>
      <c r="V132" s="3">
        <v>2000.46</v>
      </c>
      <c r="W132" s="3">
        <v>2000.38</v>
      </c>
      <c r="X132" s="3">
        <v>0</v>
      </c>
      <c r="Y132" s="3">
        <v>0</v>
      </c>
      <c r="Z132" s="3">
        <v>220</v>
      </c>
      <c r="AA132" s="3">
        <v>1.9990600000000001</v>
      </c>
      <c r="AB132" s="3">
        <v>1.9988699999999999</v>
      </c>
      <c r="AC132" s="3">
        <v>-6.8384299999999995E-2</v>
      </c>
      <c r="AD132" s="3">
        <v>1.6642199999999999E-3</v>
      </c>
      <c r="AE132" s="3">
        <v>2.00088</v>
      </c>
      <c r="AF132" s="3">
        <v>1.99986</v>
      </c>
      <c r="AG132" s="3">
        <v>-6.72962E-2</v>
      </c>
      <c r="AH132" s="3">
        <v>-4.7541600000000003E-2</v>
      </c>
      <c r="AI132" s="7">
        <v>20.391487000000001</v>
      </c>
      <c r="AJ132" s="7">
        <v>59.368715999999999</v>
      </c>
      <c r="AK132" s="3"/>
      <c r="AL132" s="6">
        <v>80.905784607000001</v>
      </c>
      <c r="AM132" s="6">
        <v>83.419929503999995</v>
      </c>
      <c r="AN132" s="6">
        <v>16.268997192</v>
      </c>
      <c r="AO132" s="6">
        <v>64.400054932000003</v>
      </c>
      <c r="AP132" s="6">
        <v>0</v>
      </c>
      <c r="AQ132" s="6">
        <v>0</v>
      </c>
      <c r="AR132" s="6">
        <v>3.5792717933999998</v>
      </c>
      <c r="AS132" s="6">
        <v>0.94153881070000001</v>
      </c>
      <c r="AT132" s="6">
        <v>0.31983464960000002</v>
      </c>
      <c r="AU132" s="6">
        <v>33.399421691999997</v>
      </c>
      <c r="AV132" s="6">
        <v>0.68750280139999997</v>
      </c>
      <c r="AW132" s="6">
        <v>1.4079092099999999E-2</v>
      </c>
      <c r="AX132" s="6">
        <v>0</v>
      </c>
      <c r="AY132" s="6">
        <v>0</v>
      </c>
      <c r="AZ132" s="6">
        <v>0</v>
      </c>
      <c r="BA132" s="6">
        <v>0</v>
      </c>
      <c r="BB132" s="6">
        <v>0</v>
      </c>
      <c r="BC132" s="6">
        <v>0</v>
      </c>
      <c r="BD132" s="6">
        <v>0</v>
      </c>
      <c r="BE132" s="6">
        <v>0</v>
      </c>
      <c r="BF132" s="6">
        <v>0</v>
      </c>
      <c r="BG132" s="6">
        <v>0</v>
      </c>
      <c r="BH132" s="6">
        <v>6.8398680687000004</v>
      </c>
      <c r="BI132" s="6">
        <v>1.2621222733999999</v>
      </c>
      <c r="BJ132" s="6">
        <v>49.560890198000003</v>
      </c>
      <c r="BK132" s="6">
        <v>1.6609213352000001</v>
      </c>
      <c r="BL132" s="6">
        <v>0</v>
      </c>
      <c r="BM132" s="6">
        <v>0</v>
      </c>
      <c r="BN132" s="6">
        <v>0</v>
      </c>
      <c r="BO132" s="6">
        <v>0</v>
      </c>
      <c r="BP132" s="6">
        <v>0</v>
      </c>
      <c r="BQ132" s="6">
        <v>0</v>
      </c>
      <c r="BR132" s="6">
        <v>0</v>
      </c>
      <c r="BS132" s="6">
        <v>0</v>
      </c>
      <c r="BT132" s="6">
        <v>0</v>
      </c>
      <c r="BU132" s="6">
        <v>0</v>
      </c>
      <c r="BV132" s="6">
        <v>0</v>
      </c>
      <c r="BW132" s="6">
        <v>0</v>
      </c>
      <c r="BX132" s="6">
        <v>0</v>
      </c>
      <c r="BY132" s="6">
        <v>0</v>
      </c>
      <c r="BZ132" s="6">
        <v>0</v>
      </c>
      <c r="CA132" s="6">
        <v>0</v>
      </c>
      <c r="CB132" s="6">
        <v>0</v>
      </c>
      <c r="CC132" s="6">
        <v>0</v>
      </c>
      <c r="CD132" s="6">
        <v>0</v>
      </c>
      <c r="CE132" s="6">
        <v>0</v>
      </c>
      <c r="CF132" s="6">
        <v>0</v>
      </c>
      <c r="CG132" s="6">
        <v>0</v>
      </c>
      <c r="CH132" s="6">
        <v>0</v>
      </c>
      <c r="CI132" s="6">
        <v>0</v>
      </c>
      <c r="CJ132" s="6">
        <v>0</v>
      </c>
      <c r="CK132" s="6">
        <v>0</v>
      </c>
      <c r="CL132" s="6">
        <v>0</v>
      </c>
      <c r="CM132" s="6">
        <v>0</v>
      </c>
      <c r="CN132" s="6">
        <v>0.2398484796</v>
      </c>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7">
        <v>1.4946949482</v>
      </c>
      <c r="DN132" s="7">
        <f t="shared" si="2"/>
        <v>99.999994142300011</v>
      </c>
      <c r="DO132" s="7"/>
      <c r="DP132" s="6">
        <v>1.1163885700000001E-2</v>
      </c>
      <c r="DQ132" s="6">
        <v>3.5702276230000001</v>
      </c>
      <c r="DR132" s="6">
        <v>6.8225851059</v>
      </c>
      <c r="DS132" s="6">
        <v>0.93915969129999999</v>
      </c>
      <c r="DT132" s="6">
        <v>1.2589330673000001</v>
      </c>
      <c r="DU132" s="6">
        <v>0.31902647020000002</v>
      </c>
      <c r="DV132" s="6">
        <v>3.0077655315</v>
      </c>
      <c r="DW132" s="6">
        <v>5.9012365340999997</v>
      </c>
      <c r="DX132" s="6">
        <v>24.838809967</v>
      </c>
      <c r="DY132" s="6">
        <v>15.687845230100001</v>
      </c>
      <c r="DZ132" s="6">
        <v>33.315029144299999</v>
      </c>
      <c r="EA132" s="6">
        <v>1.4647171497</v>
      </c>
      <c r="EB132" s="6">
        <v>0.23924241960000001</v>
      </c>
      <c r="EC132" s="6">
        <v>0.76183235650000003</v>
      </c>
      <c r="ED132" s="6">
        <v>0.89489215609999995</v>
      </c>
      <c r="EE132" s="6">
        <v>0.68576562399999996</v>
      </c>
      <c r="EF132" s="6">
        <v>0.2381864041</v>
      </c>
      <c r="EG132" s="6">
        <v>1.40435165E-2</v>
      </c>
      <c r="EH132" s="6">
        <v>2.9523696799999999E-2</v>
      </c>
      <c r="EI132" s="152"/>
    </row>
    <row r="133" spans="1:139" s="2" customFormat="1">
      <c r="A133" s="4">
        <v>46131</v>
      </c>
      <c r="B133" s="3"/>
      <c r="C133" s="3">
        <v>5</v>
      </c>
      <c r="D133" s="90" t="s">
        <v>425</v>
      </c>
      <c r="E133" s="3">
        <v>230.1</v>
      </c>
      <c r="F133" s="3">
        <v>230</v>
      </c>
      <c r="G133" s="3">
        <v>14.981199999999999</v>
      </c>
      <c r="H133" s="3">
        <v>14.994199999999999</v>
      </c>
      <c r="I133" s="3">
        <v>735.63099999999997</v>
      </c>
      <c r="J133" s="3">
        <v>735.32299999999998</v>
      </c>
      <c r="K133" s="3">
        <v>0</v>
      </c>
      <c r="L133" s="3">
        <v>0</v>
      </c>
      <c r="M133" s="3">
        <v>736.55200000000002</v>
      </c>
      <c r="N133" s="3">
        <v>735.19299999999998</v>
      </c>
      <c r="O133" s="3">
        <v>0</v>
      </c>
      <c r="P133" s="3">
        <v>0</v>
      </c>
      <c r="Q133" s="3">
        <v>0.19601499999999999</v>
      </c>
      <c r="R133" s="3">
        <v>2000.53</v>
      </c>
      <c r="S133" s="3">
        <v>1999.8</v>
      </c>
      <c r="T133" s="3">
        <v>0</v>
      </c>
      <c r="U133" s="3">
        <v>0</v>
      </c>
      <c r="V133" s="3">
        <v>1999.99</v>
      </c>
      <c r="W133" s="3">
        <v>1999.5</v>
      </c>
      <c r="X133" s="3">
        <v>0</v>
      </c>
      <c r="Y133" s="3">
        <v>0</v>
      </c>
      <c r="Z133" s="3">
        <v>220</v>
      </c>
      <c r="AA133" s="3">
        <v>2.0038900000000002</v>
      </c>
      <c r="AB133" s="3">
        <v>1.9988699999999999</v>
      </c>
      <c r="AC133" s="3">
        <v>-7.6731900000000006E-2</v>
      </c>
      <c r="AD133" s="3">
        <v>1.56134E-3</v>
      </c>
      <c r="AE133" s="3">
        <v>2.0016400000000001</v>
      </c>
      <c r="AF133" s="3">
        <v>2.0016600000000002</v>
      </c>
      <c r="AG133" s="3">
        <v>-6.39155E-2</v>
      </c>
      <c r="AH133" s="3">
        <v>-5.1518599999999998E-2</v>
      </c>
      <c r="AI133" s="7">
        <v>22.695982999999998</v>
      </c>
      <c r="AJ133" s="7">
        <v>58.218530000000001</v>
      </c>
      <c r="AK133" s="3"/>
      <c r="AL133" s="6">
        <v>88.513977050999998</v>
      </c>
      <c r="AM133" s="6">
        <v>83.613739014000004</v>
      </c>
      <c r="AN133" s="6">
        <v>16.28219223</v>
      </c>
      <c r="AO133" s="6">
        <v>23.977022171000002</v>
      </c>
      <c r="AP133" s="6">
        <v>0</v>
      </c>
      <c r="AQ133" s="6">
        <v>0</v>
      </c>
      <c r="AR133" s="6">
        <v>4.8853624999999996E-3</v>
      </c>
      <c r="AS133" s="6">
        <v>1.4062228E-3</v>
      </c>
      <c r="AT133" s="6">
        <v>8.3003319999999995E-4</v>
      </c>
      <c r="AU133" s="280">
        <v>84.040855407999999</v>
      </c>
      <c r="AV133" s="280">
        <v>9.8142375945999998</v>
      </c>
      <c r="AW133" s="280">
        <v>4.9214930533999999</v>
      </c>
      <c r="AX133" s="6">
        <v>0</v>
      </c>
      <c r="AY133" s="6">
        <v>0</v>
      </c>
      <c r="AZ133" s="6">
        <v>0</v>
      </c>
      <c r="BA133" s="6">
        <v>0</v>
      </c>
      <c r="BB133" s="6">
        <v>0</v>
      </c>
      <c r="BC133" s="6">
        <v>0</v>
      </c>
      <c r="BD133" s="6">
        <v>0</v>
      </c>
      <c r="BE133" s="6">
        <v>0</v>
      </c>
      <c r="BF133" s="6">
        <v>0</v>
      </c>
      <c r="BG133" s="6">
        <v>0</v>
      </c>
      <c r="BH133" s="6">
        <v>7.6853670000000002E-3</v>
      </c>
      <c r="BI133" s="6">
        <v>1.6329732999999999E-3</v>
      </c>
      <c r="BJ133" s="6">
        <v>0.4603937864</v>
      </c>
      <c r="BK133" s="6">
        <v>2.2328328E-3</v>
      </c>
      <c r="BL133" s="6">
        <v>0</v>
      </c>
      <c r="BM133" s="6">
        <v>0</v>
      </c>
      <c r="BN133" s="6">
        <v>0</v>
      </c>
      <c r="BO133" s="6">
        <v>0</v>
      </c>
      <c r="BP133" s="6">
        <v>0</v>
      </c>
      <c r="BQ133" s="6">
        <v>0</v>
      </c>
      <c r="BR133" s="6">
        <v>0</v>
      </c>
      <c r="BS133" s="6">
        <v>0</v>
      </c>
      <c r="BT133" s="6">
        <v>0</v>
      </c>
      <c r="BU133" s="6">
        <v>0</v>
      </c>
      <c r="BV133" s="6">
        <v>0</v>
      </c>
      <c r="BW133" s="6">
        <v>0</v>
      </c>
      <c r="BX133" s="6">
        <v>0</v>
      </c>
      <c r="BY133" s="6">
        <v>0</v>
      </c>
      <c r="BZ133" s="6">
        <v>0</v>
      </c>
      <c r="CA133" s="6">
        <v>0</v>
      </c>
      <c r="CB133" s="6">
        <v>0</v>
      </c>
      <c r="CC133" s="6">
        <v>0</v>
      </c>
      <c r="CD133" s="6">
        <v>0</v>
      </c>
      <c r="CE133" s="6">
        <v>0</v>
      </c>
      <c r="CF133" s="6">
        <v>0</v>
      </c>
      <c r="CG133" s="6">
        <v>0</v>
      </c>
      <c r="CH133" s="6">
        <v>0</v>
      </c>
      <c r="CI133" s="6">
        <v>0</v>
      </c>
      <c r="CJ133" s="6">
        <v>0</v>
      </c>
      <c r="CK133" s="6">
        <v>0</v>
      </c>
      <c r="CL133" s="6">
        <v>0</v>
      </c>
      <c r="CM133" s="6">
        <v>0</v>
      </c>
      <c r="CN133" s="6">
        <v>0.55814725160000001</v>
      </c>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7">
        <v>0.1862095892</v>
      </c>
      <c r="DN133" s="7">
        <f t="shared" si="2"/>
        <v>100.00000947480001</v>
      </c>
      <c r="DO133" s="7"/>
      <c r="DP133" s="6">
        <v>4.8863492E-3</v>
      </c>
      <c r="DQ133" s="6">
        <v>7.6869191E-3</v>
      </c>
      <c r="DR133" s="6">
        <v>1.4065067999999999E-3</v>
      </c>
      <c r="DS133" s="6">
        <v>1.633303E-3</v>
      </c>
      <c r="DT133" s="6">
        <v>8.3020079999999996E-4</v>
      </c>
      <c r="DU133" s="6">
        <v>3.3920336999999998E-3</v>
      </c>
      <c r="DV133" s="6">
        <v>7.1187554999999998E-3</v>
      </c>
      <c r="DW133" s="6">
        <v>6.11400343E-2</v>
      </c>
      <c r="DX133" s="6">
        <v>0.38883590699999998</v>
      </c>
      <c r="DY133" s="6">
        <v>84.057823181200007</v>
      </c>
      <c r="DZ133" s="6">
        <v>0.55825990439999995</v>
      </c>
      <c r="EA133" s="6">
        <v>8.2410070000000005E-4</v>
      </c>
      <c r="EB133" s="6">
        <v>1.4091829E-3</v>
      </c>
      <c r="EC133" s="6">
        <v>1.0935544E-2</v>
      </c>
      <c r="ED133" s="6">
        <v>9.8162183762000002</v>
      </c>
      <c r="EE133" s="6">
        <v>0.13620857889999999</v>
      </c>
      <c r="EF133" s="6">
        <v>4.9224867821</v>
      </c>
      <c r="EG133" s="6">
        <v>1.8919203400000001E-2</v>
      </c>
      <c r="EH133" s="6"/>
      <c r="EI133" s="152"/>
    </row>
    <row r="134" spans="1:139" s="2" customFormat="1">
      <c r="A134" s="4">
        <v>46131</v>
      </c>
      <c r="B134" s="3"/>
      <c r="C134" s="3">
        <v>6</v>
      </c>
      <c r="D134" s="90" t="s">
        <v>426</v>
      </c>
      <c r="E134" s="3">
        <v>230</v>
      </c>
      <c r="F134" s="3">
        <v>230</v>
      </c>
      <c r="G134" s="3">
        <v>14.981199999999999</v>
      </c>
      <c r="H134" s="3">
        <v>14.9899</v>
      </c>
      <c r="I134" s="3">
        <v>738.73599999999999</v>
      </c>
      <c r="J134" s="3">
        <v>738.78899999999999</v>
      </c>
      <c r="K134" s="3">
        <v>0</v>
      </c>
      <c r="L134" s="3">
        <v>0</v>
      </c>
      <c r="M134" s="3">
        <v>738.20899999999995</v>
      </c>
      <c r="N134" s="3">
        <v>737.88499999999999</v>
      </c>
      <c r="O134" s="3">
        <v>0</v>
      </c>
      <c r="P134" s="3">
        <v>0</v>
      </c>
      <c r="Q134" s="3">
        <v>0.33030199999999998</v>
      </c>
      <c r="R134" s="3">
        <v>1999.84</v>
      </c>
      <c r="S134" s="3">
        <v>2000.19</v>
      </c>
      <c r="T134" s="3">
        <v>0</v>
      </c>
      <c r="U134" s="3">
        <v>0</v>
      </c>
      <c r="V134" s="3">
        <v>1999.72</v>
      </c>
      <c r="W134" s="3">
        <v>2000.38</v>
      </c>
      <c r="X134" s="3">
        <v>0</v>
      </c>
      <c r="Y134" s="3">
        <v>0</v>
      </c>
      <c r="Z134" s="3">
        <v>220</v>
      </c>
      <c r="AA134" s="3">
        <v>1.9957100000000001</v>
      </c>
      <c r="AB134" s="3">
        <v>1.99888</v>
      </c>
      <c r="AC134" s="3">
        <v>-6.6053299999999995E-2</v>
      </c>
      <c r="AD134" s="3">
        <v>4.6040600000000001E-3</v>
      </c>
      <c r="AE134" s="3">
        <v>2.0028899999999998</v>
      </c>
      <c r="AF134" s="3">
        <v>1.9955700000000001</v>
      </c>
      <c r="AG134" s="3">
        <v>-9.9970699999999996E-2</v>
      </c>
      <c r="AH134" s="3">
        <v>-3.70517E-2</v>
      </c>
      <c r="AI134" s="7">
        <v>20.169255</v>
      </c>
      <c r="AJ134" s="7">
        <v>59.214830999999997</v>
      </c>
      <c r="AK134" s="3"/>
      <c r="AL134" s="6">
        <v>79.744277953999998</v>
      </c>
      <c r="AM134" s="6">
        <v>83.390022278000004</v>
      </c>
      <c r="AN134" s="6">
        <v>16.368446349999999</v>
      </c>
      <c r="AO134" s="6">
        <v>72.208419800000001</v>
      </c>
      <c r="AP134" s="6">
        <v>0</v>
      </c>
      <c r="AQ134" s="6">
        <v>0</v>
      </c>
      <c r="AR134" s="6">
        <v>4.3162112235999999</v>
      </c>
      <c r="AS134" s="6">
        <v>1.0020399094000001</v>
      </c>
      <c r="AT134" s="6">
        <v>0.36818036440000002</v>
      </c>
      <c r="AU134" s="6">
        <v>22.396554946999998</v>
      </c>
      <c r="AV134" s="6">
        <v>0.2600977719</v>
      </c>
      <c r="AW134" s="6">
        <v>4.7582691000000003E-3</v>
      </c>
      <c r="AX134" s="6">
        <v>0</v>
      </c>
      <c r="AY134" s="6">
        <v>0</v>
      </c>
      <c r="AZ134" s="6">
        <v>0</v>
      </c>
      <c r="BA134" s="6">
        <v>0</v>
      </c>
      <c r="BB134" s="6">
        <v>0</v>
      </c>
      <c r="BC134" s="6">
        <v>0</v>
      </c>
      <c r="BD134" s="6">
        <v>0</v>
      </c>
      <c r="BE134" s="6">
        <v>0</v>
      </c>
      <c r="BF134" s="6">
        <v>0</v>
      </c>
      <c r="BG134" s="6">
        <v>0</v>
      </c>
      <c r="BH134" s="6">
        <v>7.7582564353999999</v>
      </c>
      <c r="BI134" s="6">
        <v>1.2825541495999999</v>
      </c>
      <c r="BJ134" s="6">
        <v>60.448688507</v>
      </c>
      <c r="BK134" s="6">
        <v>0.86053603889999997</v>
      </c>
      <c r="BL134" s="6">
        <v>0</v>
      </c>
      <c r="BM134" s="6">
        <v>0</v>
      </c>
      <c r="BN134" s="6">
        <v>0</v>
      </c>
      <c r="BO134" s="6">
        <v>0</v>
      </c>
      <c r="BP134" s="6">
        <v>0</v>
      </c>
      <c r="BQ134" s="6">
        <v>0</v>
      </c>
      <c r="BR134" s="6">
        <v>0</v>
      </c>
      <c r="BS134" s="6">
        <v>0</v>
      </c>
      <c r="BT134" s="6">
        <v>0</v>
      </c>
      <c r="BU134" s="6">
        <v>0</v>
      </c>
      <c r="BV134" s="6">
        <v>0</v>
      </c>
      <c r="BW134" s="6">
        <v>0</v>
      </c>
      <c r="BX134" s="6">
        <v>0</v>
      </c>
      <c r="BY134" s="6">
        <v>0</v>
      </c>
      <c r="BZ134" s="6">
        <v>0</v>
      </c>
      <c r="CA134" s="6">
        <v>0</v>
      </c>
      <c r="CB134" s="6">
        <v>0</v>
      </c>
      <c r="CC134" s="6">
        <v>0</v>
      </c>
      <c r="CD134" s="6">
        <v>0</v>
      </c>
      <c r="CE134" s="6">
        <v>0</v>
      </c>
      <c r="CF134" s="6">
        <v>0</v>
      </c>
      <c r="CG134" s="6">
        <v>0</v>
      </c>
      <c r="CH134" s="6">
        <v>0</v>
      </c>
      <c r="CI134" s="6">
        <v>0</v>
      </c>
      <c r="CJ134" s="6">
        <v>0</v>
      </c>
      <c r="CK134" s="6">
        <v>0</v>
      </c>
      <c r="CL134" s="6">
        <v>0</v>
      </c>
      <c r="CM134" s="6">
        <v>0</v>
      </c>
      <c r="CN134" s="6">
        <v>0.2490936369</v>
      </c>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7">
        <v>1.0530149937</v>
      </c>
      <c r="DN134" s="7">
        <f t="shared" si="2"/>
        <v>99.999986246899994</v>
      </c>
      <c r="DO134" s="7"/>
      <c r="DP134" s="6">
        <v>1.9952580300000002E-2</v>
      </c>
      <c r="DQ134" s="6">
        <v>4.3085045815000003</v>
      </c>
      <c r="DR134" s="6">
        <v>7.7444043158999998</v>
      </c>
      <c r="DS134" s="6">
        <v>1.0002509356</v>
      </c>
      <c r="DT134" s="6">
        <v>1.2802642583999999</v>
      </c>
      <c r="DU134" s="6">
        <v>0.36752301450000002</v>
      </c>
      <c r="DV134" s="6">
        <v>4.8883180617999997</v>
      </c>
      <c r="DW134" s="6">
        <v>7.5526795386999996</v>
      </c>
      <c r="DX134" s="6">
        <v>29.267877578699999</v>
      </c>
      <c r="DY134" s="6">
        <v>18.6318836212</v>
      </c>
      <c r="DZ134" s="6">
        <v>22.356567382800002</v>
      </c>
      <c r="EA134" s="6">
        <v>1.0312302113</v>
      </c>
      <c r="EB134" s="6">
        <v>0.24864889679999999</v>
      </c>
      <c r="EC134" s="6">
        <v>0.4029710889</v>
      </c>
      <c r="ED134" s="6">
        <v>0.45602852109999997</v>
      </c>
      <c r="EE134" s="6">
        <v>0.25963339210000003</v>
      </c>
      <c r="EF134" s="6">
        <v>0.1555850208</v>
      </c>
      <c r="EG134" s="6">
        <v>4.7497735000000003E-3</v>
      </c>
      <c r="EH134" s="6">
        <v>2.2902296900000001E-2</v>
      </c>
      <c r="EI134" s="152"/>
    </row>
    <row r="135" spans="1:139" s="2" customFormat="1">
      <c r="A135" s="4">
        <v>46131</v>
      </c>
      <c r="B135" s="3"/>
      <c r="C135" s="3">
        <v>1</v>
      </c>
      <c r="D135" s="90" t="s">
        <v>427</v>
      </c>
      <c r="E135" s="3">
        <v>230</v>
      </c>
      <c r="F135" s="3">
        <v>230.1</v>
      </c>
      <c r="G135" s="3">
        <v>15.018800000000001</v>
      </c>
      <c r="H135" s="3">
        <v>15</v>
      </c>
      <c r="I135" s="3">
        <v>815.37099999999998</v>
      </c>
      <c r="J135" s="3">
        <v>816.62</v>
      </c>
      <c r="K135" s="3">
        <v>0</v>
      </c>
      <c r="L135" s="3">
        <v>0</v>
      </c>
      <c r="M135" s="3">
        <v>815.02499999999998</v>
      </c>
      <c r="N135" s="3">
        <v>815.82299999999998</v>
      </c>
      <c r="O135" s="3">
        <v>0</v>
      </c>
      <c r="P135" s="3">
        <v>0</v>
      </c>
      <c r="Q135" s="3">
        <v>0.48361300000000002</v>
      </c>
      <c r="R135" s="3">
        <v>2000.66</v>
      </c>
      <c r="S135" s="3">
        <v>2000.17</v>
      </c>
      <c r="T135" s="3">
        <v>0</v>
      </c>
      <c r="U135" s="3">
        <v>0</v>
      </c>
      <c r="V135" s="3">
        <v>2000.11</v>
      </c>
      <c r="W135" s="3">
        <v>2000.3</v>
      </c>
      <c r="X135" s="3">
        <v>0</v>
      </c>
      <c r="Y135" s="3">
        <v>0</v>
      </c>
      <c r="Z135" s="3">
        <v>219.9</v>
      </c>
      <c r="AA135" s="3">
        <v>1.99932</v>
      </c>
      <c r="AB135" s="3">
        <v>2.0009600000000001</v>
      </c>
      <c r="AC135" s="3">
        <v>-6.5969799999999995E-2</v>
      </c>
      <c r="AD135" s="3">
        <v>8.2829500000000007E-3</v>
      </c>
      <c r="AE135" s="3">
        <v>1.9976100000000001</v>
      </c>
      <c r="AF135" s="3">
        <v>2.0028299999999999</v>
      </c>
      <c r="AG135" s="3">
        <v>-8.3592299999999994E-2</v>
      </c>
      <c r="AH135" s="3">
        <v>-2.1612699999999999E-2</v>
      </c>
      <c r="AI135" s="7">
        <v>22.439675999999999</v>
      </c>
      <c r="AJ135" s="7">
        <v>58.660356</v>
      </c>
      <c r="AK135" s="3"/>
      <c r="AL135" s="6">
        <v>80.988433838000006</v>
      </c>
      <c r="AM135" s="6">
        <v>83.422012328999998</v>
      </c>
      <c r="AN135" s="6">
        <v>16.265853881999998</v>
      </c>
      <c r="AO135" s="6">
        <v>65.469444275000001</v>
      </c>
      <c r="AP135" s="6">
        <v>0</v>
      </c>
      <c r="AQ135" s="6">
        <v>0</v>
      </c>
      <c r="AR135" s="6">
        <v>3.5723872184999999</v>
      </c>
      <c r="AS135" s="6">
        <v>0.93262052539999996</v>
      </c>
      <c r="AT135" s="6">
        <v>0.29018983240000001</v>
      </c>
      <c r="AU135" s="6">
        <v>31.422340392999999</v>
      </c>
      <c r="AV135" s="6">
        <v>0.62273371219999996</v>
      </c>
      <c r="AW135" s="6">
        <v>1.21036228E-2</v>
      </c>
      <c r="AX135" s="6">
        <v>0</v>
      </c>
      <c r="AY135" s="6">
        <v>0</v>
      </c>
      <c r="AZ135" s="6">
        <v>0</v>
      </c>
      <c r="BA135" s="6">
        <v>0</v>
      </c>
      <c r="BB135" s="6">
        <v>0</v>
      </c>
      <c r="BC135" s="6">
        <v>0</v>
      </c>
      <c r="BD135" s="6">
        <v>0</v>
      </c>
      <c r="BE135" s="6">
        <v>0</v>
      </c>
      <c r="BF135" s="6">
        <v>0</v>
      </c>
      <c r="BG135" s="6">
        <v>0</v>
      </c>
      <c r="BH135" s="6">
        <v>6.6817693709999997</v>
      </c>
      <c r="BI135" s="6">
        <v>1.1536786556</v>
      </c>
      <c r="BJ135" s="6">
        <v>51.864536285</v>
      </c>
      <c r="BK135" s="6">
        <v>1.6862666607000001</v>
      </c>
      <c r="BL135" s="6">
        <v>0</v>
      </c>
      <c r="BM135" s="6">
        <v>0</v>
      </c>
      <c r="BN135" s="6">
        <v>0</v>
      </c>
      <c r="BO135" s="6">
        <v>0</v>
      </c>
      <c r="BP135" s="6">
        <v>0</v>
      </c>
      <c r="BQ135" s="6">
        <v>0</v>
      </c>
      <c r="BR135" s="6">
        <v>0</v>
      </c>
      <c r="BS135" s="6">
        <v>0</v>
      </c>
      <c r="BT135" s="6">
        <v>0</v>
      </c>
      <c r="BU135" s="6">
        <v>0</v>
      </c>
      <c r="BV135" s="6">
        <v>0</v>
      </c>
      <c r="BW135" s="6">
        <v>0</v>
      </c>
      <c r="BX135" s="6">
        <v>0</v>
      </c>
      <c r="BY135" s="6">
        <v>0</v>
      </c>
      <c r="BZ135" s="6">
        <v>0</v>
      </c>
      <c r="CA135" s="6">
        <v>0</v>
      </c>
      <c r="CB135" s="6">
        <v>0</v>
      </c>
      <c r="CC135" s="6">
        <v>0</v>
      </c>
      <c r="CD135" s="6">
        <v>0</v>
      </c>
      <c r="CE135" s="6">
        <v>0</v>
      </c>
      <c r="CF135" s="6">
        <v>0</v>
      </c>
      <c r="CG135" s="6">
        <v>0</v>
      </c>
      <c r="CH135" s="6">
        <v>0</v>
      </c>
      <c r="CI135" s="6">
        <v>0</v>
      </c>
      <c r="CJ135" s="6">
        <v>0</v>
      </c>
      <c r="CK135" s="6">
        <v>0</v>
      </c>
      <c r="CL135" s="6">
        <v>0</v>
      </c>
      <c r="CM135" s="6">
        <v>0</v>
      </c>
      <c r="CN135" s="6">
        <v>0.2635748684</v>
      </c>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7">
        <v>1.4977974892000001</v>
      </c>
      <c r="DN135" s="7">
        <f t="shared" si="2"/>
        <v>99.999998634199997</v>
      </c>
      <c r="DO135" s="7"/>
      <c r="DP135" s="6">
        <v>1.26232645E-2</v>
      </c>
      <c r="DQ135" s="6">
        <v>3.5627782345000001</v>
      </c>
      <c r="DR135" s="6">
        <v>6.6637964249000001</v>
      </c>
      <c r="DS135" s="6">
        <v>0.93011194470000003</v>
      </c>
      <c r="DT135" s="6">
        <v>1.1505753994000001</v>
      </c>
      <c r="DU135" s="6">
        <v>0.28940925000000001</v>
      </c>
      <c r="DV135" s="6">
        <v>3.3489766121</v>
      </c>
      <c r="DW135" s="6">
        <v>6.0682744980000001</v>
      </c>
      <c r="DX135" s="6">
        <v>25.906270980799999</v>
      </c>
      <c r="DY135" s="6">
        <v>16.401506424000001</v>
      </c>
      <c r="DZ135" s="6">
        <v>31.3378181458</v>
      </c>
      <c r="EA135" s="6">
        <v>1.5199458599</v>
      </c>
      <c r="EB135" s="6">
        <v>0.26286590100000001</v>
      </c>
      <c r="EC135" s="6">
        <v>0.79306060079999996</v>
      </c>
      <c r="ED135" s="6">
        <v>0.88867026569999996</v>
      </c>
      <c r="EE135" s="6">
        <v>0.62105864290000001</v>
      </c>
      <c r="EF135" s="6">
        <v>0.2059989572</v>
      </c>
      <c r="EG135" s="6">
        <v>1.20710665E-2</v>
      </c>
      <c r="EH135" s="6">
        <v>2.4196008200000001E-2</v>
      </c>
      <c r="EI135" s="152"/>
    </row>
    <row r="136" spans="1:139" s="2" customFormat="1">
      <c r="A136" s="4">
        <v>46132</v>
      </c>
      <c r="B136" s="3"/>
      <c r="C136" s="3">
        <v>2</v>
      </c>
      <c r="D136" s="90" t="s">
        <v>428</v>
      </c>
      <c r="E136" s="3">
        <v>230</v>
      </c>
      <c r="F136" s="3">
        <v>230</v>
      </c>
      <c r="G136" s="3">
        <v>15.018800000000001</v>
      </c>
      <c r="H136" s="3">
        <v>15.004300000000001</v>
      </c>
      <c r="I136" s="3">
        <v>788.53899999999999</v>
      </c>
      <c r="J136" s="3">
        <v>789.03300000000002</v>
      </c>
      <c r="K136" s="3">
        <v>0</v>
      </c>
      <c r="L136" s="3">
        <v>0</v>
      </c>
      <c r="M136" s="3">
        <v>788.59799999999996</v>
      </c>
      <c r="N136" s="3">
        <v>787.97699999999998</v>
      </c>
      <c r="O136" s="3">
        <v>0</v>
      </c>
      <c r="P136" s="3">
        <v>0</v>
      </c>
      <c r="Q136" s="3">
        <v>0.28517199999999998</v>
      </c>
      <c r="R136" s="3">
        <v>2000.9</v>
      </c>
      <c r="S136" s="3">
        <v>2000.43</v>
      </c>
      <c r="T136" s="3">
        <v>0</v>
      </c>
      <c r="U136" s="3">
        <v>0</v>
      </c>
      <c r="V136" s="3">
        <v>1999.9</v>
      </c>
      <c r="W136" s="3">
        <v>2000.42</v>
      </c>
      <c r="X136" s="3">
        <v>0</v>
      </c>
      <c r="Y136" s="3">
        <v>0</v>
      </c>
      <c r="Z136" s="3">
        <v>220</v>
      </c>
      <c r="AA136" s="3">
        <v>1.9977199999999999</v>
      </c>
      <c r="AB136" s="3">
        <v>1.9975400000000001</v>
      </c>
      <c r="AC136" s="3">
        <v>-6.52779E-2</v>
      </c>
      <c r="AD136" s="3">
        <v>4.2227599999999999E-3</v>
      </c>
      <c r="AE136" s="3">
        <v>1.9988999999999999</v>
      </c>
      <c r="AF136" s="3">
        <v>2.0078499999999999</v>
      </c>
      <c r="AG136" s="3">
        <v>-3.3654099999999999E-2</v>
      </c>
      <c r="AH136" s="3">
        <v>-2.5799099999999998E-2</v>
      </c>
      <c r="AI136" s="7">
        <v>20.409821000000001</v>
      </c>
      <c r="AJ136" s="7">
        <v>59.428688999999999</v>
      </c>
      <c r="AK136" s="3"/>
      <c r="AL136" s="6">
        <v>80.847373962000006</v>
      </c>
      <c r="AM136" s="6">
        <v>83.418319702000005</v>
      </c>
      <c r="AN136" s="6">
        <v>16.272945404000001</v>
      </c>
      <c r="AO136" s="6">
        <v>64.435798645000006</v>
      </c>
      <c r="AP136" s="6">
        <v>0</v>
      </c>
      <c r="AQ136" s="6">
        <v>0</v>
      </c>
      <c r="AR136" s="6">
        <v>3.6037240027999999</v>
      </c>
      <c r="AS136" s="6">
        <v>0.95360565190000002</v>
      </c>
      <c r="AT136" s="6">
        <v>0.32637482880000002</v>
      </c>
      <c r="AU136" s="6">
        <v>33.425453185999999</v>
      </c>
      <c r="AV136" s="6">
        <v>0.6885639429</v>
      </c>
      <c r="AW136" s="6">
        <v>1.32581061E-2</v>
      </c>
      <c r="AX136" s="6">
        <v>0</v>
      </c>
      <c r="AY136" s="6">
        <v>0</v>
      </c>
      <c r="AZ136" s="6">
        <v>0</v>
      </c>
      <c r="BA136" s="6">
        <v>0</v>
      </c>
      <c r="BB136" s="6">
        <v>0</v>
      </c>
      <c r="BC136" s="6">
        <v>0</v>
      </c>
      <c r="BD136" s="6">
        <v>0</v>
      </c>
      <c r="BE136" s="6">
        <v>0</v>
      </c>
      <c r="BF136" s="6">
        <v>0</v>
      </c>
      <c r="BG136" s="6">
        <v>0</v>
      </c>
      <c r="BH136" s="6">
        <v>6.9102230071999999</v>
      </c>
      <c r="BI136" s="6">
        <v>1.2862904072000001</v>
      </c>
      <c r="BJ136" s="6">
        <v>49.437473296999997</v>
      </c>
      <c r="BK136" s="6">
        <v>1.6457973719000001</v>
      </c>
      <c r="BL136" s="6">
        <v>0</v>
      </c>
      <c r="BM136" s="6">
        <v>0</v>
      </c>
      <c r="BN136" s="6">
        <v>0</v>
      </c>
      <c r="BO136" s="6">
        <v>0</v>
      </c>
      <c r="BP136" s="6">
        <v>0</v>
      </c>
      <c r="BQ136" s="6">
        <v>0</v>
      </c>
      <c r="BR136" s="6">
        <v>0</v>
      </c>
      <c r="BS136" s="6">
        <v>0</v>
      </c>
      <c r="BT136" s="6">
        <v>0</v>
      </c>
      <c r="BU136" s="6">
        <v>0</v>
      </c>
      <c r="BV136" s="6">
        <v>0</v>
      </c>
      <c r="BW136" s="6">
        <v>0</v>
      </c>
      <c r="BX136" s="6">
        <v>0</v>
      </c>
      <c r="BY136" s="6">
        <v>0</v>
      </c>
      <c r="BZ136" s="6">
        <v>0</v>
      </c>
      <c r="CA136" s="6">
        <v>0</v>
      </c>
      <c r="CB136" s="6">
        <v>0</v>
      </c>
      <c r="CC136" s="6">
        <v>0</v>
      </c>
      <c r="CD136" s="6">
        <v>0</v>
      </c>
      <c r="CE136" s="6">
        <v>0</v>
      </c>
      <c r="CF136" s="6">
        <v>0</v>
      </c>
      <c r="CG136" s="6">
        <v>0</v>
      </c>
      <c r="CH136" s="6">
        <v>0</v>
      </c>
      <c r="CI136" s="6">
        <v>0</v>
      </c>
      <c r="CJ136" s="6">
        <v>0</v>
      </c>
      <c r="CK136" s="6">
        <v>0</v>
      </c>
      <c r="CL136" s="6">
        <v>0</v>
      </c>
      <c r="CM136" s="6">
        <v>0</v>
      </c>
      <c r="CN136" s="6">
        <v>0.22852951290000001</v>
      </c>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7">
        <v>1.4807015657</v>
      </c>
      <c r="DN136" s="7">
        <f t="shared" si="2"/>
        <v>99.999994880399996</v>
      </c>
      <c r="DO136" s="7"/>
      <c r="DP136" s="6">
        <v>1.0958132299999999E-2</v>
      </c>
      <c r="DQ136" s="6">
        <v>3.5948340892999999</v>
      </c>
      <c r="DR136" s="6">
        <v>6.8931765556000002</v>
      </c>
      <c r="DS136" s="6">
        <v>0.95125329489999999</v>
      </c>
      <c r="DT136" s="6">
        <v>1.2831172943</v>
      </c>
      <c r="DU136" s="6">
        <v>0.32556971909999999</v>
      </c>
      <c r="DV136" s="6">
        <v>3.0057525635000002</v>
      </c>
      <c r="DW136" s="6">
        <v>5.9002566337999998</v>
      </c>
      <c r="DX136" s="6">
        <v>24.787780761699999</v>
      </c>
      <c r="DY136" s="6">
        <v>15.6217298508</v>
      </c>
      <c r="DZ136" s="6">
        <v>33.342998504599997</v>
      </c>
      <c r="EA136" s="6">
        <v>1.4390308857</v>
      </c>
      <c r="EB136" s="6">
        <v>0.22796575729999999</v>
      </c>
      <c r="EC136" s="6">
        <v>0.75627648830000005</v>
      </c>
      <c r="ED136" s="6">
        <v>0.88546097280000002</v>
      </c>
      <c r="EE136" s="6">
        <v>0.68686538929999996</v>
      </c>
      <c r="EF136" s="6">
        <v>0.24118193979999999</v>
      </c>
      <c r="EG136" s="6">
        <v>1.32254008E-2</v>
      </c>
      <c r="EH136" s="6">
        <v>3.2572094400000001E-2</v>
      </c>
      <c r="EI136" s="152"/>
    </row>
    <row r="137" spans="1:139" s="2" customFormat="1" ht="12.95" customHeight="1">
      <c r="A137" s="4">
        <v>46132</v>
      </c>
      <c r="B137" s="3"/>
      <c r="C137" s="3">
        <v>5</v>
      </c>
      <c r="D137" s="90" t="s">
        <v>429</v>
      </c>
      <c r="E137" s="3">
        <v>230</v>
      </c>
      <c r="F137" s="3">
        <v>230</v>
      </c>
      <c r="G137" s="3">
        <v>15.005800000000001</v>
      </c>
      <c r="H137" s="3">
        <v>14.9855</v>
      </c>
      <c r="I137" s="3">
        <v>798.39300000000003</v>
      </c>
      <c r="J137" s="3">
        <v>796.82399999999996</v>
      </c>
      <c r="K137" s="3">
        <v>0</v>
      </c>
      <c r="L137" s="3">
        <v>0</v>
      </c>
      <c r="M137" s="3">
        <v>800.67499999999995</v>
      </c>
      <c r="N137" s="3">
        <v>798.95500000000004</v>
      </c>
      <c r="O137" s="3">
        <v>0</v>
      </c>
      <c r="P137" s="3">
        <v>0</v>
      </c>
      <c r="Q137" s="3">
        <v>0.15004000000000001</v>
      </c>
      <c r="R137" s="3">
        <v>2000.35</v>
      </c>
      <c r="S137" s="3">
        <v>1999.61</v>
      </c>
      <c r="T137" s="3">
        <v>0</v>
      </c>
      <c r="U137" s="3">
        <v>0</v>
      </c>
      <c r="V137" s="3">
        <v>1999.95</v>
      </c>
      <c r="W137" s="3">
        <v>1999.89</v>
      </c>
      <c r="X137" s="3">
        <v>0</v>
      </c>
      <c r="Y137" s="3">
        <v>0</v>
      </c>
      <c r="Z137" s="3">
        <v>220</v>
      </c>
      <c r="AA137" s="3">
        <v>2.0011700000000001</v>
      </c>
      <c r="AB137" s="3">
        <v>2.0027599999999999</v>
      </c>
      <c r="AC137" s="3">
        <v>-6.87088E-2</v>
      </c>
      <c r="AD137" s="3">
        <v>1.34666E-3</v>
      </c>
      <c r="AE137" s="3">
        <v>1.99935</v>
      </c>
      <c r="AF137" s="3">
        <v>1.9990399999999999</v>
      </c>
      <c r="AG137" s="3">
        <v>-0.18979399999999999</v>
      </c>
      <c r="AH137" s="3">
        <v>1.1753099999999999E-3</v>
      </c>
      <c r="AI137" s="7">
        <v>22.839597999999999</v>
      </c>
      <c r="AJ137" s="7">
        <v>58.280489000000003</v>
      </c>
      <c r="AK137" s="3"/>
      <c r="AL137" s="6">
        <v>88.518737793</v>
      </c>
      <c r="AM137" s="6">
        <v>83.61390686</v>
      </c>
      <c r="AN137" s="6">
        <v>16.282478332</v>
      </c>
      <c r="AO137" s="6">
        <v>23.967033386000001</v>
      </c>
      <c r="AP137" s="6">
        <v>0</v>
      </c>
      <c r="AQ137" s="6">
        <v>0</v>
      </c>
      <c r="AR137" s="6">
        <v>4.8664859000000001E-3</v>
      </c>
      <c r="AS137" s="6">
        <v>1.1357232E-3</v>
      </c>
      <c r="AT137" s="6">
        <v>9.2538530000000003E-4</v>
      </c>
      <c r="AU137" s="280">
        <v>84.005294800000001</v>
      </c>
      <c r="AV137" s="280">
        <v>9.8384418488000005</v>
      </c>
      <c r="AW137" s="280">
        <v>4.9363532065999998</v>
      </c>
      <c r="AX137" s="6">
        <v>0</v>
      </c>
      <c r="AY137" s="6">
        <v>0</v>
      </c>
      <c r="AZ137" s="6">
        <v>0</v>
      </c>
      <c r="BA137" s="6">
        <v>0</v>
      </c>
      <c r="BB137" s="6">
        <v>0</v>
      </c>
      <c r="BC137" s="6">
        <v>0</v>
      </c>
      <c r="BD137" s="6">
        <v>0</v>
      </c>
      <c r="BE137" s="6">
        <v>0</v>
      </c>
      <c r="BF137" s="6">
        <v>0</v>
      </c>
      <c r="BG137" s="6">
        <v>0</v>
      </c>
      <c r="BH137" s="6">
        <v>8.0492767E-3</v>
      </c>
      <c r="BI137" s="6">
        <v>1.5769675E-3</v>
      </c>
      <c r="BJ137" s="6">
        <v>0.4538517594</v>
      </c>
      <c r="BK137" s="6">
        <v>1.2662973000000001E-3</v>
      </c>
      <c r="BL137" s="6">
        <v>0</v>
      </c>
      <c r="BM137" s="6">
        <v>0</v>
      </c>
      <c r="BN137" s="6">
        <v>0</v>
      </c>
      <c r="BO137" s="6">
        <v>0</v>
      </c>
      <c r="BP137" s="6">
        <v>0</v>
      </c>
      <c r="BQ137" s="6">
        <v>0</v>
      </c>
      <c r="BR137" s="6">
        <v>0</v>
      </c>
      <c r="BS137" s="6">
        <v>0</v>
      </c>
      <c r="BT137" s="6">
        <v>0</v>
      </c>
      <c r="BU137" s="6">
        <v>0</v>
      </c>
      <c r="BV137" s="6">
        <v>0</v>
      </c>
      <c r="BW137" s="6">
        <v>0</v>
      </c>
      <c r="BX137" s="6">
        <v>0</v>
      </c>
      <c r="BY137" s="6">
        <v>0</v>
      </c>
      <c r="BZ137" s="6">
        <v>0</v>
      </c>
      <c r="CA137" s="6">
        <v>0</v>
      </c>
      <c r="CB137" s="6">
        <v>0</v>
      </c>
      <c r="CC137" s="6">
        <v>0</v>
      </c>
      <c r="CD137" s="6">
        <v>0</v>
      </c>
      <c r="CE137" s="6">
        <v>0</v>
      </c>
      <c r="CF137" s="6">
        <v>0</v>
      </c>
      <c r="CG137" s="6">
        <v>0</v>
      </c>
      <c r="CH137" s="6">
        <v>0</v>
      </c>
      <c r="CI137" s="6">
        <v>0</v>
      </c>
      <c r="CJ137" s="6">
        <v>0</v>
      </c>
      <c r="CK137" s="6">
        <v>0</v>
      </c>
      <c r="CL137" s="6">
        <v>0</v>
      </c>
      <c r="CM137" s="6">
        <v>0</v>
      </c>
      <c r="CN137" s="6">
        <v>0.56552916769999995</v>
      </c>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7">
        <v>0.18271550540000001</v>
      </c>
      <c r="DN137" s="7">
        <f t="shared" si="2"/>
        <v>100.00000642380002</v>
      </c>
      <c r="DO137" s="7"/>
      <c r="DP137" s="6">
        <v>4.8674494000000004E-3</v>
      </c>
      <c r="DQ137" s="6">
        <v>8.0508711000000007E-3</v>
      </c>
      <c r="DR137" s="6">
        <v>1.1359480999999999E-3</v>
      </c>
      <c r="DS137" s="6">
        <v>1.5772798000000001E-3</v>
      </c>
      <c r="DT137" s="6">
        <v>9.2556850000000005E-4</v>
      </c>
      <c r="DU137" s="6">
        <v>2.7365847E-3</v>
      </c>
      <c r="DV137" s="6">
        <v>6.3166376000000002E-3</v>
      </c>
      <c r="DW137" s="6">
        <v>5.7984720900000002E-2</v>
      </c>
      <c r="DX137" s="6">
        <v>0.38690367339999998</v>
      </c>
      <c r="DY137" s="6">
        <v>84.021926879899993</v>
      </c>
      <c r="DZ137" s="6">
        <v>0.56564110519999999</v>
      </c>
      <c r="EA137" s="6">
        <v>1.2665478999999999E-3</v>
      </c>
      <c r="EB137" s="6">
        <v>1.0776870900000001E-2</v>
      </c>
      <c r="EC137" s="6">
        <v>9.8403902054000003</v>
      </c>
      <c r="ED137" s="6">
        <v>0.1352211535</v>
      </c>
      <c r="EE137" s="6">
        <v>4.9373307227999996</v>
      </c>
      <c r="EF137" s="6">
        <v>1.69625729E-2</v>
      </c>
      <c r="EG137" s="6"/>
      <c r="EH137" s="6"/>
      <c r="EI137" s="152"/>
    </row>
    <row r="138" spans="1:139" s="2" customFormat="1">
      <c r="A138" s="4">
        <v>46132</v>
      </c>
      <c r="B138" s="3"/>
      <c r="C138" s="3">
        <v>6</v>
      </c>
      <c r="D138" s="90" t="s">
        <v>430</v>
      </c>
      <c r="E138" s="3">
        <v>230</v>
      </c>
      <c r="F138" s="3">
        <v>230</v>
      </c>
      <c r="G138" s="3">
        <v>14.992800000000001</v>
      </c>
      <c r="H138" s="3">
        <v>15.0029</v>
      </c>
      <c r="I138" s="3">
        <v>805.24300000000005</v>
      </c>
      <c r="J138" s="3">
        <v>805.64200000000005</v>
      </c>
      <c r="K138" s="3">
        <v>0</v>
      </c>
      <c r="L138" s="3">
        <v>0</v>
      </c>
      <c r="M138" s="3">
        <v>805.80899999999997</v>
      </c>
      <c r="N138" s="3">
        <v>804.92499999999995</v>
      </c>
      <c r="O138" s="3">
        <v>0</v>
      </c>
      <c r="P138" s="3">
        <v>0</v>
      </c>
      <c r="Q138" s="3">
        <v>0.217305</v>
      </c>
      <c r="R138" s="3">
        <v>2000.68</v>
      </c>
      <c r="S138" s="3">
        <v>1999.66</v>
      </c>
      <c r="T138" s="3">
        <v>0</v>
      </c>
      <c r="U138" s="3">
        <v>0</v>
      </c>
      <c r="V138" s="3">
        <v>2000.11</v>
      </c>
      <c r="W138" s="3">
        <v>2000.86</v>
      </c>
      <c r="X138" s="3">
        <v>0</v>
      </c>
      <c r="Y138" s="3">
        <v>0</v>
      </c>
      <c r="Z138" s="3">
        <v>219.9</v>
      </c>
      <c r="AA138" s="3">
        <v>2.0023599999999999</v>
      </c>
      <c r="AB138" s="3">
        <v>2.00257</v>
      </c>
      <c r="AC138" s="3">
        <v>-6.4590499999999995E-2</v>
      </c>
      <c r="AD138" s="3">
        <v>-4.4083200000000003E-3</v>
      </c>
      <c r="AE138" s="3">
        <v>1.9994000000000001</v>
      </c>
      <c r="AF138" s="3">
        <v>2.0011800000000002</v>
      </c>
      <c r="AG138" s="3">
        <v>-0.12631899999999999</v>
      </c>
      <c r="AH138" s="3">
        <v>4.7989399999999998E-3</v>
      </c>
      <c r="AI138" s="7">
        <v>20.756225000000001</v>
      </c>
      <c r="AJ138" s="7">
        <v>58.890456999999998</v>
      </c>
      <c r="AK138" s="3"/>
      <c r="AL138" s="6">
        <v>79.779228209999999</v>
      </c>
      <c r="AM138" s="6">
        <v>83.390968322999996</v>
      </c>
      <c r="AN138" s="6">
        <v>16.369548798</v>
      </c>
      <c r="AO138" s="6">
        <v>71.926048279</v>
      </c>
      <c r="AP138" s="6">
        <v>0</v>
      </c>
      <c r="AQ138" s="6">
        <v>0</v>
      </c>
      <c r="AR138" s="6">
        <v>4.2972469330000003</v>
      </c>
      <c r="AS138" s="6">
        <v>0.99650961159999996</v>
      </c>
      <c r="AT138" s="6">
        <v>0.36373984809999999</v>
      </c>
      <c r="AU138" s="6">
        <v>22.827127457</v>
      </c>
      <c r="AV138" s="6">
        <v>0.27200984950000001</v>
      </c>
      <c r="AW138" s="6">
        <v>4.7714183999999996E-3</v>
      </c>
      <c r="AX138" s="6">
        <v>0</v>
      </c>
      <c r="AY138" s="6">
        <v>0</v>
      </c>
      <c r="AZ138" s="6">
        <v>0</v>
      </c>
      <c r="BA138" s="6">
        <v>0</v>
      </c>
      <c r="BB138" s="6">
        <v>0</v>
      </c>
      <c r="BC138" s="6">
        <v>0</v>
      </c>
      <c r="BD138" s="6">
        <v>0</v>
      </c>
      <c r="BE138" s="6">
        <v>0</v>
      </c>
      <c r="BF138" s="6">
        <v>0</v>
      </c>
      <c r="BG138" s="6">
        <v>0</v>
      </c>
      <c r="BH138" s="6">
        <v>7.7095775603999996</v>
      </c>
      <c r="BI138" s="6">
        <v>1.2684557437999999</v>
      </c>
      <c r="BJ138" s="6">
        <v>60.091964722</v>
      </c>
      <c r="BK138" s="6">
        <v>0.88270485399999998</v>
      </c>
      <c r="BL138" s="6">
        <v>0</v>
      </c>
      <c r="BM138" s="6">
        <v>0</v>
      </c>
      <c r="BN138" s="6">
        <v>0</v>
      </c>
      <c r="BO138" s="6">
        <v>0</v>
      </c>
      <c r="BP138" s="6">
        <v>0</v>
      </c>
      <c r="BQ138" s="6">
        <v>0</v>
      </c>
      <c r="BR138" s="6">
        <v>0</v>
      </c>
      <c r="BS138" s="6">
        <v>0</v>
      </c>
      <c r="BT138" s="6">
        <v>0</v>
      </c>
      <c r="BU138" s="6">
        <v>0</v>
      </c>
      <c r="BV138" s="6">
        <v>0</v>
      </c>
      <c r="BW138" s="6">
        <v>0</v>
      </c>
      <c r="BX138" s="6">
        <v>0</v>
      </c>
      <c r="BY138" s="6">
        <v>0</v>
      </c>
      <c r="BZ138" s="6">
        <v>0</v>
      </c>
      <c r="CA138" s="6">
        <v>0</v>
      </c>
      <c r="CB138" s="6">
        <v>0</v>
      </c>
      <c r="CC138" s="6">
        <v>0</v>
      </c>
      <c r="CD138" s="6">
        <v>0</v>
      </c>
      <c r="CE138" s="6">
        <v>0</v>
      </c>
      <c r="CF138" s="6">
        <v>0</v>
      </c>
      <c r="CG138" s="6">
        <v>0</v>
      </c>
      <c r="CH138" s="6">
        <v>0</v>
      </c>
      <c r="CI138" s="6">
        <v>0</v>
      </c>
      <c r="CJ138" s="6">
        <v>0</v>
      </c>
      <c r="CK138" s="6">
        <v>0</v>
      </c>
      <c r="CL138" s="6">
        <v>0</v>
      </c>
      <c r="CM138" s="6">
        <v>0</v>
      </c>
      <c r="CN138" s="6">
        <v>0.2456073463</v>
      </c>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7">
        <v>1.0402840376</v>
      </c>
      <c r="DN138" s="7">
        <f t="shared" si="2"/>
        <v>99.999999381700007</v>
      </c>
      <c r="DO138" s="7"/>
      <c r="DP138" s="6">
        <v>1.9974250299999999E-2</v>
      </c>
      <c r="DQ138" s="6">
        <v>4.2897000312999998</v>
      </c>
      <c r="DR138" s="6">
        <v>7.6960377693000002</v>
      </c>
      <c r="DS138" s="6">
        <v>0.99475944039999997</v>
      </c>
      <c r="DT138" s="6">
        <v>1.2662280798000001</v>
      </c>
      <c r="DU138" s="6">
        <v>0.36310100560000003</v>
      </c>
      <c r="DV138" s="6">
        <v>4.7505254744999998</v>
      </c>
      <c r="DW138" s="6">
        <v>7.5136370659000002</v>
      </c>
      <c r="DX138" s="6">
        <v>29.1834278107</v>
      </c>
      <c r="DY138" s="6">
        <v>18.538839340199999</v>
      </c>
      <c r="DZ138" s="6">
        <v>22.7870368958</v>
      </c>
      <c r="EA138" s="6">
        <v>1.0162655115000001</v>
      </c>
      <c r="EB138" s="6">
        <v>0.2451759875</v>
      </c>
      <c r="EC138" s="6">
        <v>0.41267395019999997</v>
      </c>
      <c r="ED138" s="6">
        <v>0.46848067640000002</v>
      </c>
      <c r="EE138" s="6">
        <v>0.27153211830000001</v>
      </c>
      <c r="EF138" s="6">
        <v>0.1555418968</v>
      </c>
      <c r="EG138" s="6">
        <v>4.7630384E-3</v>
      </c>
      <c r="EH138" s="6">
        <v>2.2316349700000002E-2</v>
      </c>
      <c r="EI138" s="152"/>
    </row>
    <row r="139" spans="1:139" s="2" customFormat="1">
      <c r="A139" s="4">
        <v>46132</v>
      </c>
      <c r="B139" s="3"/>
      <c r="C139" s="3">
        <v>1</v>
      </c>
      <c r="D139" s="90" t="s">
        <v>431</v>
      </c>
      <c r="E139" s="3">
        <v>230</v>
      </c>
      <c r="F139" s="3">
        <v>230</v>
      </c>
      <c r="G139" s="3">
        <v>14.9884</v>
      </c>
      <c r="H139" s="3">
        <v>15.007199999999999</v>
      </c>
      <c r="I139" s="3">
        <v>863.904</v>
      </c>
      <c r="J139" s="3">
        <v>862.07399999999996</v>
      </c>
      <c r="K139" s="3">
        <v>0</v>
      </c>
      <c r="L139" s="3">
        <v>0</v>
      </c>
      <c r="M139" s="3">
        <v>863.89700000000005</v>
      </c>
      <c r="N139" s="3">
        <v>862.43899999999996</v>
      </c>
      <c r="O139" s="3">
        <v>0</v>
      </c>
      <c r="P139" s="3">
        <v>0</v>
      </c>
      <c r="Q139" s="3">
        <v>0.17105500000000001</v>
      </c>
      <c r="R139" s="3">
        <v>1999.36</v>
      </c>
      <c r="S139" s="3">
        <v>2000.37</v>
      </c>
      <c r="T139" s="3">
        <v>0</v>
      </c>
      <c r="U139" s="3">
        <v>0</v>
      </c>
      <c r="V139" s="3">
        <v>1999.9</v>
      </c>
      <c r="W139" s="3">
        <v>2000.33</v>
      </c>
      <c r="X139" s="3">
        <v>0</v>
      </c>
      <c r="Y139" s="3">
        <v>0</v>
      </c>
      <c r="Z139" s="3">
        <v>219.9</v>
      </c>
      <c r="AA139" s="3">
        <v>2.0036200000000002</v>
      </c>
      <c r="AB139" s="3">
        <v>1.99993</v>
      </c>
      <c r="AC139" s="3">
        <v>-6.0183100000000003E-2</v>
      </c>
      <c r="AD139" s="3">
        <v>1.03731E-4</v>
      </c>
      <c r="AE139" s="3">
        <v>2.0008300000000001</v>
      </c>
      <c r="AF139" s="3">
        <v>1.99722</v>
      </c>
      <c r="AG139" s="3">
        <v>-8.6957599999999996E-2</v>
      </c>
      <c r="AH139" s="3">
        <v>-1.7002199999999999E-2</v>
      </c>
      <c r="AI139" s="7">
        <v>22.569676000000001</v>
      </c>
      <c r="AJ139" s="7">
        <v>58.351961000000003</v>
      </c>
      <c r="AK139" s="3"/>
      <c r="AL139" s="6">
        <v>81.056297302000004</v>
      </c>
      <c r="AM139" s="6">
        <v>83.423835753999995</v>
      </c>
      <c r="AN139" s="6">
        <v>16.262140274</v>
      </c>
      <c r="AO139" s="6">
        <v>64.954284668</v>
      </c>
      <c r="AP139" s="6">
        <v>0</v>
      </c>
      <c r="AQ139" s="6">
        <v>0</v>
      </c>
      <c r="AR139" s="6">
        <v>3.5268650054999999</v>
      </c>
      <c r="AS139" s="6">
        <v>0.92607349159999997</v>
      </c>
      <c r="AT139" s="6">
        <v>0.2885473073</v>
      </c>
      <c r="AU139" s="6">
        <v>32.199977875000002</v>
      </c>
      <c r="AV139" s="6">
        <v>0.65144628289999995</v>
      </c>
      <c r="AW139" s="6">
        <v>1.29780313E-2</v>
      </c>
      <c r="AX139" s="6">
        <v>0</v>
      </c>
      <c r="AY139" s="6">
        <v>0</v>
      </c>
      <c r="AZ139" s="6">
        <v>0</v>
      </c>
      <c r="BA139" s="6">
        <v>0</v>
      </c>
      <c r="BB139" s="6">
        <v>0</v>
      </c>
      <c r="BC139" s="6">
        <v>0</v>
      </c>
      <c r="BD139" s="6">
        <v>0</v>
      </c>
      <c r="BE139" s="6">
        <v>0</v>
      </c>
      <c r="BF139" s="6">
        <v>0</v>
      </c>
      <c r="BG139" s="6">
        <v>0</v>
      </c>
      <c r="BH139" s="6">
        <v>6.6232838631000002</v>
      </c>
      <c r="BI139" s="6">
        <v>1.1546823978</v>
      </c>
      <c r="BJ139" s="6">
        <v>51.124794006000002</v>
      </c>
      <c r="BK139" s="6">
        <v>1.7181868552999999</v>
      </c>
      <c r="BL139" s="6">
        <v>0</v>
      </c>
      <c r="BM139" s="6">
        <v>0</v>
      </c>
      <c r="BN139" s="6">
        <v>0</v>
      </c>
      <c r="BO139" s="6">
        <v>0</v>
      </c>
      <c r="BP139" s="6">
        <v>0</v>
      </c>
      <c r="BQ139" s="6">
        <v>0</v>
      </c>
      <c r="BR139" s="6">
        <v>0</v>
      </c>
      <c r="BS139" s="6">
        <v>0</v>
      </c>
      <c r="BT139" s="6">
        <v>0</v>
      </c>
      <c r="BU139" s="6">
        <v>0</v>
      </c>
      <c r="BV139" s="6">
        <v>0</v>
      </c>
      <c r="BW139" s="6">
        <v>0</v>
      </c>
      <c r="BX139" s="6">
        <v>0</v>
      </c>
      <c r="BY139" s="6">
        <v>0</v>
      </c>
      <c r="BZ139" s="6">
        <v>0</v>
      </c>
      <c r="CA139" s="6">
        <v>0</v>
      </c>
      <c r="CB139" s="6">
        <v>0</v>
      </c>
      <c r="CC139" s="6">
        <v>0</v>
      </c>
      <c r="CD139" s="6">
        <v>0</v>
      </c>
      <c r="CE139" s="6">
        <v>0</v>
      </c>
      <c r="CF139" s="6">
        <v>0</v>
      </c>
      <c r="CG139" s="6">
        <v>0</v>
      </c>
      <c r="CH139" s="6">
        <v>0</v>
      </c>
      <c r="CI139" s="6">
        <v>0</v>
      </c>
      <c r="CJ139" s="6">
        <v>0</v>
      </c>
      <c r="CK139" s="6">
        <v>0</v>
      </c>
      <c r="CL139" s="6">
        <v>0</v>
      </c>
      <c r="CM139" s="6">
        <v>0</v>
      </c>
      <c r="CN139" s="6">
        <v>0.26283088329999998</v>
      </c>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7">
        <v>1.5103393793</v>
      </c>
      <c r="DN139" s="7">
        <f t="shared" si="2"/>
        <v>100.0000053784</v>
      </c>
      <c r="DO139" s="7"/>
      <c r="DP139" s="6">
        <v>1.24324625E-2</v>
      </c>
      <c r="DQ139" s="6">
        <v>3.5173449516000002</v>
      </c>
      <c r="DR139" s="6">
        <v>6.6054062842999999</v>
      </c>
      <c r="DS139" s="6">
        <v>0.923573792</v>
      </c>
      <c r="DT139" s="6">
        <v>1.1515655518000001</v>
      </c>
      <c r="DU139" s="6">
        <v>0.28776842359999999</v>
      </c>
      <c r="DV139" s="6">
        <v>3.2397155762000001</v>
      </c>
      <c r="DW139" s="6">
        <v>5.9712705611999999</v>
      </c>
      <c r="DX139" s="6">
        <v>25.5920028687</v>
      </c>
      <c r="DY139" s="6">
        <v>16.183805465700001</v>
      </c>
      <c r="DZ139" s="6">
        <v>32.113063812299998</v>
      </c>
      <c r="EA139" s="6">
        <v>1.5283254385</v>
      </c>
      <c r="EB139" s="6">
        <v>0.26212143900000001</v>
      </c>
      <c r="EC139" s="6">
        <v>0.80579048399999997</v>
      </c>
      <c r="ED139" s="6">
        <v>0.9077585936</v>
      </c>
      <c r="EE139" s="6">
        <v>0.64968782660000002</v>
      </c>
      <c r="EF139" s="6">
        <v>0.21123582120000001</v>
      </c>
      <c r="EG139" s="6">
        <v>1.2943000499999999E-2</v>
      </c>
      <c r="EH139" s="6">
        <v>2.4192890200000001E-2</v>
      </c>
      <c r="EI139" s="152"/>
    </row>
    <row r="140" spans="1:139" s="2" customFormat="1">
      <c r="A140" s="4">
        <v>46132</v>
      </c>
      <c r="B140" s="3"/>
      <c r="C140" s="3">
        <v>2</v>
      </c>
      <c r="D140" s="90" t="s">
        <v>432</v>
      </c>
      <c r="E140" s="3">
        <v>229.9</v>
      </c>
      <c r="F140" s="3">
        <v>229.9</v>
      </c>
      <c r="G140" s="3">
        <v>15.013</v>
      </c>
      <c r="H140" s="3">
        <v>14.994199999999999</v>
      </c>
      <c r="I140" s="3">
        <v>757.495</v>
      </c>
      <c r="J140" s="3">
        <v>754.83299999999997</v>
      </c>
      <c r="K140" s="3">
        <v>0</v>
      </c>
      <c r="L140" s="3">
        <v>0</v>
      </c>
      <c r="M140" s="3">
        <v>757.04</v>
      </c>
      <c r="N140" s="3">
        <v>756.46900000000005</v>
      </c>
      <c r="O140" s="3">
        <v>0</v>
      </c>
      <c r="P140" s="3">
        <v>0</v>
      </c>
      <c r="Q140" s="3">
        <v>0.19153100000000001</v>
      </c>
      <c r="R140" s="3">
        <v>2000.06</v>
      </c>
      <c r="S140" s="3">
        <v>1999.78</v>
      </c>
      <c r="T140" s="3">
        <v>0</v>
      </c>
      <c r="U140" s="3">
        <v>0</v>
      </c>
      <c r="V140" s="3">
        <v>1999.79</v>
      </c>
      <c r="W140" s="3">
        <v>2000.36</v>
      </c>
      <c r="X140" s="3">
        <v>0</v>
      </c>
      <c r="Y140" s="3">
        <v>0</v>
      </c>
      <c r="Z140" s="3">
        <v>220</v>
      </c>
      <c r="AA140" s="3">
        <v>2.0019999999999998</v>
      </c>
      <c r="AB140" s="3">
        <v>2.0012799999999999</v>
      </c>
      <c r="AC140" s="3">
        <v>-6.3112500000000002E-2</v>
      </c>
      <c r="AD140" s="3">
        <v>-5.3029499999999999E-3</v>
      </c>
      <c r="AE140" s="3">
        <v>1.9983</v>
      </c>
      <c r="AF140" s="3">
        <v>2.0003099999999998</v>
      </c>
      <c r="AG140" s="3">
        <v>-0.123755</v>
      </c>
      <c r="AH140" s="3">
        <v>-2.88565E-2</v>
      </c>
      <c r="AI140" s="7">
        <v>20.100019</v>
      </c>
      <c r="AJ140" s="7">
        <v>59.878447000000001</v>
      </c>
      <c r="AK140" s="3"/>
      <c r="AL140" s="6">
        <v>80.794723511000001</v>
      </c>
      <c r="AM140" s="6">
        <v>83.416900635000005</v>
      </c>
      <c r="AN140" s="6">
        <v>16.276260376</v>
      </c>
      <c r="AO140" s="6">
        <v>64.551506042</v>
      </c>
      <c r="AP140" s="6">
        <v>0</v>
      </c>
      <c r="AQ140" s="6">
        <v>0</v>
      </c>
      <c r="AR140" s="6">
        <v>3.6379296779999999</v>
      </c>
      <c r="AS140" s="6">
        <v>0.95362544059999999</v>
      </c>
      <c r="AT140" s="6">
        <v>0.33232364060000003</v>
      </c>
      <c r="AU140" s="6">
        <v>33.312026977000002</v>
      </c>
      <c r="AV140" s="6">
        <v>0.68271124360000002</v>
      </c>
      <c r="AW140" s="6">
        <v>1.3281529800000001E-2</v>
      </c>
      <c r="AX140" s="6">
        <v>0</v>
      </c>
      <c r="AY140" s="6">
        <v>0</v>
      </c>
      <c r="AZ140" s="6">
        <v>0</v>
      </c>
      <c r="BA140" s="6">
        <v>0</v>
      </c>
      <c r="BB140" s="6">
        <v>0</v>
      </c>
      <c r="BC140" s="6">
        <v>0</v>
      </c>
      <c r="BD140" s="6">
        <v>0</v>
      </c>
      <c r="BE140" s="6">
        <v>0</v>
      </c>
      <c r="BF140" s="6">
        <v>0</v>
      </c>
      <c r="BG140" s="6">
        <v>0</v>
      </c>
      <c r="BH140" s="6">
        <v>6.9603571891999998</v>
      </c>
      <c r="BI140" s="6">
        <v>1.2987840176000001</v>
      </c>
      <c r="BJ140" s="6">
        <v>49.491264342999997</v>
      </c>
      <c r="BK140" s="6">
        <v>1.6231822968</v>
      </c>
      <c r="BL140" s="6">
        <v>0</v>
      </c>
      <c r="BM140" s="6">
        <v>0</v>
      </c>
      <c r="BN140" s="6">
        <v>0</v>
      </c>
      <c r="BO140" s="6">
        <v>0</v>
      </c>
      <c r="BP140" s="6">
        <v>0</v>
      </c>
      <c r="BQ140" s="6">
        <v>0</v>
      </c>
      <c r="BR140" s="6">
        <v>0</v>
      </c>
      <c r="BS140" s="6">
        <v>0</v>
      </c>
      <c r="BT140" s="6">
        <v>0</v>
      </c>
      <c r="BU140" s="6">
        <v>0</v>
      </c>
      <c r="BV140" s="6">
        <v>0</v>
      </c>
      <c r="BW140" s="6">
        <v>0</v>
      </c>
      <c r="BX140" s="6">
        <v>0</v>
      </c>
      <c r="BY140" s="6">
        <v>0</v>
      </c>
      <c r="BZ140" s="6">
        <v>0</v>
      </c>
      <c r="CA140" s="6">
        <v>0</v>
      </c>
      <c r="CB140" s="6">
        <v>0</v>
      </c>
      <c r="CC140" s="6">
        <v>0</v>
      </c>
      <c r="CD140" s="6">
        <v>0</v>
      </c>
      <c r="CE140" s="6">
        <v>0</v>
      </c>
      <c r="CF140" s="6">
        <v>0</v>
      </c>
      <c r="CG140" s="6">
        <v>0</v>
      </c>
      <c r="CH140" s="6">
        <v>0</v>
      </c>
      <c r="CI140" s="6">
        <v>0</v>
      </c>
      <c r="CJ140" s="6">
        <v>0</v>
      </c>
      <c r="CK140" s="6">
        <v>0</v>
      </c>
      <c r="CL140" s="6">
        <v>0</v>
      </c>
      <c r="CM140" s="6">
        <v>0</v>
      </c>
      <c r="CN140" s="6">
        <v>0.22583706680000001</v>
      </c>
      <c r="DM140" s="7">
        <v>1.4686704874000001</v>
      </c>
      <c r="DN140" s="7">
        <f t="shared" si="2"/>
        <v>99.999993910399994</v>
      </c>
      <c r="DO140" s="7"/>
      <c r="DP140" s="6">
        <v>1.10844206E-2</v>
      </c>
      <c r="DQ140" s="6">
        <v>3.6291167735999998</v>
      </c>
      <c r="DR140" s="6">
        <v>6.9434962272999998</v>
      </c>
      <c r="DS140" s="6">
        <v>0.95131528379999997</v>
      </c>
      <c r="DT140" s="6">
        <v>1.295637846</v>
      </c>
      <c r="DU140" s="6">
        <v>0.33151859049999999</v>
      </c>
      <c r="DV140" s="6">
        <v>3.0212888717999999</v>
      </c>
      <c r="DW140" s="6">
        <v>5.9183712006000002</v>
      </c>
      <c r="DX140" s="6">
        <v>24.805500030499999</v>
      </c>
      <c r="DY140" s="6">
        <v>15.626215934799999</v>
      </c>
      <c r="DZ140" s="6">
        <v>33.231330871600001</v>
      </c>
      <c r="EA140" s="6">
        <v>1.4192359447</v>
      </c>
      <c r="EB140" s="6">
        <v>0.2252899706</v>
      </c>
      <c r="EC140" s="6">
        <v>0.74654722210000002</v>
      </c>
      <c r="ED140" s="6">
        <v>0.8727028966</v>
      </c>
      <c r="EE140" s="6">
        <v>0.68105739359999995</v>
      </c>
      <c r="EF140" s="6">
        <v>0.2439413071</v>
      </c>
      <c r="EG140" s="6">
        <v>1.3249355399999999E-2</v>
      </c>
      <c r="EH140" s="6">
        <v>3.3114716400000001E-2</v>
      </c>
      <c r="EI140" s="152"/>
    </row>
    <row r="141" spans="1:139" s="2" customFormat="1">
      <c r="A141" s="4">
        <v>46132</v>
      </c>
      <c r="B141" s="3"/>
      <c r="C141" s="3">
        <v>5</v>
      </c>
      <c r="D141" s="90" t="s">
        <v>433</v>
      </c>
      <c r="E141" s="3">
        <v>230.1</v>
      </c>
      <c r="F141" s="3">
        <v>230</v>
      </c>
      <c r="G141" s="3">
        <v>15.0101</v>
      </c>
      <c r="H141" s="3">
        <v>15</v>
      </c>
      <c r="I141" s="3">
        <v>767.85</v>
      </c>
      <c r="J141" s="3">
        <v>765.49599999999998</v>
      </c>
      <c r="K141" s="3">
        <v>0</v>
      </c>
      <c r="L141" s="3">
        <v>0</v>
      </c>
      <c r="M141" s="3">
        <v>766.98699999999997</v>
      </c>
      <c r="N141" s="3">
        <v>767.52300000000002</v>
      </c>
      <c r="O141" s="3">
        <v>0</v>
      </c>
      <c r="P141" s="3">
        <v>0</v>
      </c>
      <c r="Q141" s="3">
        <v>0.271818</v>
      </c>
      <c r="R141" s="3">
        <v>1998.82</v>
      </c>
      <c r="S141" s="3">
        <v>1999.51</v>
      </c>
      <c r="T141" s="3">
        <v>0</v>
      </c>
      <c r="U141" s="3">
        <v>0</v>
      </c>
      <c r="V141" s="3">
        <v>2000.34</v>
      </c>
      <c r="W141" s="3">
        <v>1999.65</v>
      </c>
      <c r="X141" s="3">
        <v>0</v>
      </c>
      <c r="Y141" s="3">
        <v>0</v>
      </c>
      <c r="Z141" s="3">
        <v>219.9</v>
      </c>
      <c r="AA141" s="3">
        <v>1.9974700000000001</v>
      </c>
      <c r="AB141" s="3">
        <v>2.0007700000000002</v>
      </c>
      <c r="AC141" s="3">
        <v>-6.66437E-2</v>
      </c>
      <c r="AD141" s="3">
        <v>-2.5603800000000001E-3</v>
      </c>
      <c r="AE141" s="3">
        <v>2.0006900000000001</v>
      </c>
      <c r="AF141" s="3">
        <v>1.99918</v>
      </c>
      <c r="AG141" s="3">
        <v>-9.0229599999999993E-2</v>
      </c>
      <c r="AH141" s="3">
        <v>-6.7432099999999995E-2</v>
      </c>
      <c r="AI141" s="7">
        <v>22.728777000000001</v>
      </c>
      <c r="AJ141" s="7">
        <v>58.531373000000002</v>
      </c>
      <c r="AK141" s="3"/>
      <c r="AL141" s="6">
        <v>88.517562866000006</v>
      </c>
      <c r="AM141" s="6">
        <v>83.614006042</v>
      </c>
      <c r="AN141" s="6">
        <v>16.282394408999998</v>
      </c>
      <c r="AO141" s="6">
        <v>23.971340178999998</v>
      </c>
      <c r="AP141" s="6">
        <v>0</v>
      </c>
      <c r="AQ141" s="6">
        <v>0</v>
      </c>
      <c r="AR141" s="6">
        <v>4.9842250999999997E-3</v>
      </c>
      <c r="AS141" s="6">
        <v>1.2900685000000001E-3</v>
      </c>
      <c r="AT141" s="6">
        <v>5.5998880000000003E-4</v>
      </c>
      <c r="AU141" s="280">
        <v>84.015693665000001</v>
      </c>
      <c r="AV141" s="280">
        <v>9.8192901610999996</v>
      </c>
      <c r="AW141" s="280">
        <v>4.9423818588000001</v>
      </c>
      <c r="AX141" s="6">
        <v>0</v>
      </c>
      <c r="AY141" s="6">
        <v>0</v>
      </c>
      <c r="AZ141" s="6">
        <v>0</v>
      </c>
      <c r="BA141" s="6">
        <v>0</v>
      </c>
      <c r="BB141" s="6">
        <v>0</v>
      </c>
      <c r="BC141" s="6">
        <v>0</v>
      </c>
      <c r="BD141" s="6">
        <v>0</v>
      </c>
      <c r="BE141" s="6">
        <v>0</v>
      </c>
      <c r="BF141" s="6">
        <v>0</v>
      </c>
      <c r="BG141" s="6">
        <v>0</v>
      </c>
      <c r="BH141" s="6">
        <v>7.9766838000000003E-3</v>
      </c>
      <c r="BI141" s="6">
        <v>1.6444741E-3</v>
      </c>
      <c r="BJ141" s="6">
        <v>0.45362284780000001</v>
      </c>
      <c r="BK141" s="6">
        <v>8.9493519999999998E-4</v>
      </c>
      <c r="BL141" s="6">
        <v>0</v>
      </c>
      <c r="BM141" s="6">
        <v>0</v>
      </c>
      <c r="BN141" s="6">
        <v>0</v>
      </c>
      <c r="BO141" s="6">
        <v>0</v>
      </c>
      <c r="BP141" s="6">
        <v>0</v>
      </c>
      <c r="BQ141" s="6">
        <v>0</v>
      </c>
      <c r="BR141" s="6">
        <v>0</v>
      </c>
      <c r="BS141" s="6">
        <v>0</v>
      </c>
      <c r="BT141" s="6">
        <v>0</v>
      </c>
      <c r="BU141" s="6">
        <v>0</v>
      </c>
      <c r="BV141" s="6">
        <v>0</v>
      </c>
      <c r="BW141" s="6">
        <v>0</v>
      </c>
      <c r="BX141" s="6">
        <v>0</v>
      </c>
      <c r="BY141" s="6">
        <v>0</v>
      </c>
      <c r="BZ141" s="6">
        <v>0</v>
      </c>
      <c r="CA141" s="6">
        <v>0</v>
      </c>
      <c r="CB141" s="6">
        <v>0</v>
      </c>
      <c r="CC141" s="6">
        <v>0</v>
      </c>
      <c r="CD141" s="6">
        <v>0</v>
      </c>
      <c r="CE141" s="6">
        <v>0</v>
      </c>
      <c r="CF141" s="6">
        <v>0</v>
      </c>
      <c r="CG141" s="6">
        <v>0</v>
      </c>
      <c r="CH141" s="6">
        <v>0</v>
      </c>
      <c r="CI141" s="6">
        <v>0</v>
      </c>
      <c r="CJ141" s="6">
        <v>0</v>
      </c>
      <c r="CK141" s="6">
        <v>0</v>
      </c>
      <c r="CL141" s="6">
        <v>0</v>
      </c>
      <c r="CM141" s="6">
        <v>0</v>
      </c>
      <c r="CN141" s="6">
        <v>0.56866514680000002</v>
      </c>
      <c r="DM141" s="7">
        <v>0.1830129325</v>
      </c>
      <c r="DN141" s="7">
        <f t="shared" si="2"/>
        <v>100.00001698750002</v>
      </c>
      <c r="DO141" s="7"/>
      <c r="DP141" s="6">
        <v>4.9852189000000003E-3</v>
      </c>
      <c r="DQ141" s="6">
        <v>7.9782745000000002E-3</v>
      </c>
      <c r="DR141" s="6">
        <v>1.2903258E-3</v>
      </c>
      <c r="DS141" s="6">
        <v>1.6448019000000001E-3</v>
      </c>
      <c r="DT141" s="6">
        <v>5.6010049999999996E-4</v>
      </c>
      <c r="DU141" s="6">
        <v>2.8979201E-3</v>
      </c>
      <c r="DV141" s="6">
        <v>6.7416788000000004E-3</v>
      </c>
      <c r="DW141" s="6">
        <v>5.7776209000000002E-2</v>
      </c>
      <c r="DX141" s="6">
        <v>0.38629749419999998</v>
      </c>
      <c r="DY141" s="6">
        <v>84.032447814899996</v>
      </c>
      <c r="DZ141" s="6">
        <v>0.56877851489999998</v>
      </c>
      <c r="EA141" s="6">
        <v>8.9511359999999999E-4</v>
      </c>
      <c r="EB141" s="6">
        <v>1.0343967000000001E-2</v>
      </c>
      <c r="EC141" s="6">
        <v>9.8212480544999998</v>
      </c>
      <c r="ED141" s="6">
        <v>0.13485297560000001</v>
      </c>
      <c r="EE141" s="6">
        <v>4.9433674812000001</v>
      </c>
      <c r="EF141" s="6">
        <v>1.7893975600000001E-2</v>
      </c>
      <c r="EG141" s="6"/>
      <c r="EH141" s="6"/>
      <c r="EI141" s="152"/>
    </row>
    <row r="142" spans="1:139" s="2" customFormat="1">
      <c r="A142" s="4"/>
      <c r="B142" s="3"/>
      <c r="C142" s="3"/>
      <c r="D142" s="90"/>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7"/>
      <c r="AJ142" s="7"/>
      <c r="AK142" s="3"/>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c r="BU142" s="6"/>
      <c r="BV142" s="6"/>
      <c r="BW142" s="6"/>
      <c r="BX142" s="6"/>
      <c r="BY142" s="6"/>
      <c r="BZ142" s="6"/>
      <c r="CA142" s="6"/>
      <c r="CB142" s="6"/>
      <c r="CC142" s="6"/>
      <c r="CD142" s="6"/>
      <c r="CE142" s="6"/>
      <c r="CF142" s="6"/>
      <c r="CG142" s="6"/>
      <c r="CH142" s="6"/>
      <c r="CI142" s="6"/>
      <c r="CJ142" s="6"/>
      <c r="CK142" s="6"/>
      <c r="CL142" s="6"/>
      <c r="CM142" s="6"/>
      <c r="CN142" s="6"/>
      <c r="DM142" s="7"/>
      <c r="DN142" s="7"/>
      <c r="DO142" s="7"/>
      <c r="EI142" s="152"/>
    </row>
    <row r="143" spans="1:139" s="2" customFormat="1">
      <c r="A143" s="4"/>
      <c r="B143" s="3"/>
      <c r="C143" s="3"/>
      <c r="D143" s="90"/>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7"/>
      <c r="AJ143" s="7"/>
      <c r="AK143" s="3"/>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c r="BU143" s="6"/>
      <c r="BV143" s="6"/>
      <c r="BW143" s="6"/>
      <c r="BX143" s="6"/>
      <c r="BY143" s="6"/>
      <c r="BZ143" s="6"/>
      <c r="CA143" s="6"/>
      <c r="CB143" s="6"/>
      <c r="CC143" s="6"/>
      <c r="CD143" s="6"/>
      <c r="CE143" s="6"/>
      <c r="CF143" s="6"/>
      <c r="CG143" s="6"/>
      <c r="CH143" s="6"/>
      <c r="CI143" s="6"/>
      <c r="CJ143" s="6"/>
      <c r="CK143" s="6"/>
      <c r="CL143" s="6"/>
      <c r="CM143" s="6"/>
      <c r="CN143" s="6"/>
      <c r="DM143" s="7"/>
      <c r="DN143" s="7"/>
      <c r="DO143" s="7"/>
      <c r="EI143" s="152"/>
    </row>
    <row r="144" spans="1:139" s="2" customFormat="1">
      <c r="A144" s="4"/>
      <c r="B144" s="3"/>
      <c r="C144" s="3"/>
      <c r="D144" s="90"/>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7"/>
      <c r="AJ144" s="7"/>
      <c r="AK144" s="3"/>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c r="BU144" s="6"/>
      <c r="BV144" s="6"/>
      <c r="BW144" s="6"/>
      <c r="BX144" s="6"/>
      <c r="BY144" s="6"/>
      <c r="BZ144" s="6"/>
      <c r="CA144" s="6"/>
      <c r="CB144" s="6"/>
      <c r="CC144" s="6"/>
      <c r="CD144" s="6"/>
      <c r="CE144" s="6"/>
      <c r="CF144" s="6"/>
      <c r="CG144" s="6"/>
      <c r="CH144" s="6"/>
      <c r="CI144" s="6"/>
      <c r="CJ144" s="6"/>
      <c r="CK144" s="6"/>
      <c r="CL144" s="6"/>
      <c r="CM144" s="6"/>
      <c r="CN144" s="6"/>
      <c r="DM144" s="7"/>
      <c r="DN144" s="7"/>
      <c r="DO144" s="7"/>
      <c r="EI144" s="152"/>
    </row>
    <row r="145" spans="1:139" s="2" customFormat="1">
      <c r="A145" s="4"/>
      <c r="B145" s="3"/>
      <c r="C145" s="3"/>
      <c r="D145" s="90"/>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7"/>
      <c r="AJ145" s="7"/>
      <c r="AK145" s="3"/>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c r="BU145" s="6"/>
      <c r="BV145" s="6"/>
      <c r="BW145" s="6"/>
      <c r="BX145" s="6"/>
      <c r="BY145" s="6"/>
      <c r="BZ145" s="6"/>
      <c r="CA145" s="6"/>
      <c r="CB145" s="6"/>
      <c r="CC145" s="6"/>
      <c r="CD145" s="6"/>
      <c r="CE145" s="6"/>
      <c r="CF145" s="6"/>
      <c r="CG145" s="6"/>
      <c r="CH145" s="6"/>
      <c r="CI145" s="6"/>
      <c r="CJ145" s="6"/>
      <c r="CK145" s="6"/>
      <c r="CL145" s="6"/>
      <c r="CM145" s="6"/>
      <c r="CN145" s="6"/>
      <c r="DM145" s="7"/>
      <c r="DN145" s="7"/>
      <c r="DO145" s="7"/>
      <c r="EI145" s="152"/>
    </row>
    <row r="146" spans="1:139" s="2" customFormat="1">
      <c r="A146" s="4">
        <v>46132</v>
      </c>
      <c r="B146" s="3"/>
      <c r="C146" s="3">
        <v>6</v>
      </c>
      <c r="D146" s="90" t="s">
        <v>434</v>
      </c>
      <c r="E146" s="3">
        <v>150.6</v>
      </c>
      <c r="F146" s="3">
        <v>150</v>
      </c>
      <c r="G146" s="3">
        <v>24.0032</v>
      </c>
      <c r="H146" s="3">
        <v>24.0017</v>
      </c>
      <c r="I146" s="3">
        <v>783.93399999999997</v>
      </c>
      <c r="J146" s="3">
        <v>788.95699999999999</v>
      </c>
      <c r="K146" s="3">
        <v>0</v>
      </c>
      <c r="L146" s="3">
        <v>0</v>
      </c>
      <c r="M146" s="3">
        <v>787.11900000000003</v>
      </c>
      <c r="N146" s="3">
        <v>783.37599999999998</v>
      </c>
      <c r="O146" s="3">
        <v>0</v>
      </c>
      <c r="P146" s="3">
        <v>0</v>
      </c>
      <c r="Q146" s="3">
        <v>0.20960200000000001</v>
      </c>
      <c r="R146" s="3">
        <v>2000.12</v>
      </c>
      <c r="S146" s="3">
        <v>2000.22</v>
      </c>
      <c r="T146" s="3">
        <v>0</v>
      </c>
      <c r="U146" s="3">
        <v>0</v>
      </c>
      <c r="V146" s="3">
        <v>2000.46</v>
      </c>
      <c r="W146" s="3">
        <v>1999.96</v>
      </c>
      <c r="X146" s="3">
        <v>0</v>
      </c>
      <c r="Y146" s="3">
        <v>0</v>
      </c>
      <c r="Z146" s="3">
        <v>219.9</v>
      </c>
      <c r="AA146" s="3">
        <v>2.0022899999999999</v>
      </c>
      <c r="AB146" s="3">
        <v>1.9973799999999999</v>
      </c>
      <c r="AC146" s="3">
        <v>-5.9745899999999998E-2</v>
      </c>
      <c r="AD146" s="3">
        <v>1.0097099999999999E-2</v>
      </c>
      <c r="AE146" s="3">
        <v>2.0000599999999999</v>
      </c>
      <c r="AF146" s="3">
        <v>1.99746</v>
      </c>
      <c r="AG146" s="3">
        <v>-0.10328900000000001</v>
      </c>
      <c r="AH146" s="3">
        <v>-1.55602E-2</v>
      </c>
      <c r="AI146" s="7">
        <v>22.328329</v>
      </c>
      <c r="AJ146" s="7">
        <v>58.547564000000001</v>
      </c>
      <c r="AK146" s="3"/>
      <c r="AL146" s="6">
        <v>88.426147460999999</v>
      </c>
      <c r="AM146" s="6">
        <v>83.609283446999996</v>
      </c>
      <c r="AN146" s="6">
        <v>16.267547607000001</v>
      </c>
      <c r="AO146" s="6">
        <v>24.216629028</v>
      </c>
      <c r="AP146" s="6">
        <v>0</v>
      </c>
      <c r="AQ146" s="6">
        <v>0</v>
      </c>
      <c r="AR146" s="6">
        <v>2.1214752999999999E-3</v>
      </c>
      <c r="AS146" s="6">
        <v>1.028845E-3</v>
      </c>
      <c r="AT146" s="6">
        <v>7.7121290000000005E-4</v>
      </c>
      <c r="AU146" s="6">
        <v>84.595031738000003</v>
      </c>
      <c r="AV146" s="6">
        <v>9.5965080261000004</v>
      </c>
      <c r="AW146" s="6">
        <v>4.4381680488999997</v>
      </c>
      <c r="AX146" s="6">
        <v>0</v>
      </c>
      <c r="AY146" s="6">
        <v>0</v>
      </c>
      <c r="AZ146" s="6">
        <v>0</v>
      </c>
      <c r="BA146" s="6">
        <v>0</v>
      </c>
      <c r="BB146" s="6">
        <v>0</v>
      </c>
      <c r="BC146" s="6">
        <v>0</v>
      </c>
      <c r="BD146" s="6">
        <v>0</v>
      </c>
      <c r="BE146" s="6">
        <v>0</v>
      </c>
      <c r="BF146" s="6">
        <v>0</v>
      </c>
      <c r="BG146" s="6">
        <v>0</v>
      </c>
      <c r="BH146" s="6">
        <v>5.6285568999999997E-3</v>
      </c>
      <c r="BI146" s="6">
        <v>2.5354879999999998E-3</v>
      </c>
      <c r="BJ146" s="6">
        <v>0.4937072992</v>
      </c>
      <c r="BK146" s="6">
        <v>2.11645458E-2</v>
      </c>
      <c r="BL146" s="6">
        <v>0</v>
      </c>
      <c r="BM146" s="6">
        <v>0</v>
      </c>
      <c r="BN146" s="6">
        <v>0</v>
      </c>
      <c r="BO146" s="6">
        <v>0</v>
      </c>
      <c r="BP146" s="6">
        <v>0</v>
      </c>
      <c r="BQ146" s="6">
        <v>0</v>
      </c>
      <c r="BR146" s="6">
        <v>0</v>
      </c>
      <c r="BS146" s="6">
        <v>0</v>
      </c>
      <c r="BT146" s="6">
        <v>0</v>
      </c>
      <c r="BU146" s="6">
        <v>0</v>
      </c>
      <c r="BV146" s="6">
        <v>0</v>
      </c>
      <c r="BW146" s="6">
        <v>0</v>
      </c>
      <c r="BX146" s="6">
        <v>0</v>
      </c>
      <c r="BY146" s="6">
        <v>0</v>
      </c>
      <c r="BZ146" s="6">
        <v>0</v>
      </c>
      <c r="CA146" s="6">
        <v>0</v>
      </c>
      <c r="CB146" s="6">
        <v>0</v>
      </c>
      <c r="CC146" s="6">
        <v>0</v>
      </c>
      <c r="CD146" s="6">
        <v>0</v>
      </c>
      <c r="CE146" s="6">
        <v>0</v>
      </c>
      <c r="CF146" s="6">
        <v>0</v>
      </c>
      <c r="CG146" s="6">
        <v>0</v>
      </c>
      <c r="CH146" s="6">
        <v>0</v>
      </c>
      <c r="CI146" s="6">
        <v>0</v>
      </c>
      <c r="CJ146" s="6">
        <v>0</v>
      </c>
      <c r="CK146" s="6">
        <v>0</v>
      </c>
      <c r="CL146" s="6">
        <v>0</v>
      </c>
      <c r="CM146" s="6">
        <v>0</v>
      </c>
      <c r="CN146" s="6">
        <v>0.54911935329999995</v>
      </c>
      <c r="DM146" s="7">
        <v>0.2942067981</v>
      </c>
      <c r="DN146" s="7">
        <f t="shared" si="2"/>
        <v>99.999991387500017</v>
      </c>
      <c r="DO146" s="7"/>
      <c r="DP146" s="6">
        <v>7.1301586900000005E-2</v>
      </c>
      <c r="DQ146" s="6">
        <v>2.1218455E-3</v>
      </c>
      <c r="DR146" s="6">
        <v>5.6295395E-3</v>
      </c>
      <c r="DS146" s="6">
        <v>1.0290245999999999E-3</v>
      </c>
      <c r="DT146" s="6">
        <v>2.5359305999999998E-3</v>
      </c>
      <c r="DU146" s="6">
        <v>7.7134749999999998E-4</v>
      </c>
      <c r="DV146" s="6">
        <v>1.7785380999999999E-3</v>
      </c>
      <c r="DW146" s="6">
        <v>7.7233524000000003E-3</v>
      </c>
      <c r="DX146" s="6">
        <v>8.8354386399999998E-2</v>
      </c>
      <c r="DY146" s="6">
        <v>0.3959371746</v>
      </c>
      <c r="DZ146" s="6">
        <v>84.6097946167</v>
      </c>
      <c r="EA146" s="6">
        <v>0.54921519760000004</v>
      </c>
      <c r="EB146" s="6">
        <v>4.9147579800000001E-2</v>
      </c>
      <c r="EC146" s="6">
        <v>1.4322008000000001E-2</v>
      </c>
      <c r="ED146" s="6">
        <v>6.8462319000000002E-3</v>
      </c>
      <c r="EE146" s="6">
        <v>9.5981826782000006</v>
      </c>
      <c r="EF146" s="6">
        <v>0.1422791481</v>
      </c>
      <c r="EG146" s="6">
        <v>4.4389424324000002</v>
      </c>
      <c r="EH146" s="6">
        <v>1.4074342300000001E-2</v>
      </c>
      <c r="EI146" s="152"/>
    </row>
    <row r="147" spans="1:139" s="2" customFormat="1">
      <c r="A147" s="4">
        <v>46132</v>
      </c>
      <c r="B147" s="3"/>
      <c r="C147" s="3">
        <v>1</v>
      </c>
      <c r="D147" s="90" t="s">
        <v>435</v>
      </c>
      <c r="E147" s="3">
        <v>154.6</v>
      </c>
      <c r="F147" s="3">
        <v>152.9</v>
      </c>
      <c r="G147" s="3">
        <v>24.0046</v>
      </c>
      <c r="H147" s="3">
        <v>24.0017</v>
      </c>
      <c r="I147" s="3">
        <v>831.79700000000003</v>
      </c>
      <c r="J147" s="3">
        <v>834.14800000000002</v>
      </c>
      <c r="K147" s="3">
        <v>0</v>
      </c>
      <c r="L147" s="3">
        <v>0</v>
      </c>
      <c r="M147" s="3">
        <v>832.95399999999995</v>
      </c>
      <c r="N147" s="3">
        <v>830.87099999999998</v>
      </c>
      <c r="O147" s="3">
        <v>0</v>
      </c>
      <c r="P147" s="3">
        <v>0</v>
      </c>
      <c r="Q147" s="3">
        <v>0.27671699999999999</v>
      </c>
      <c r="R147" s="3">
        <v>2000.04</v>
      </c>
      <c r="S147" s="3">
        <v>2000.07</v>
      </c>
      <c r="T147" s="3">
        <v>0</v>
      </c>
      <c r="U147" s="3">
        <v>0</v>
      </c>
      <c r="V147" s="3">
        <v>1999.68</v>
      </c>
      <c r="W147" s="3">
        <v>2000.16</v>
      </c>
      <c r="X147" s="3">
        <v>0</v>
      </c>
      <c r="Y147" s="3">
        <v>0</v>
      </c>
      <c r="Z147" s="3">
        <v>219.9</v>
      </c>
      <c r="AA147" s="3">
        <v>2.0038299999999998</v>
      </c>
      <c r="AB147" s="3">
        <v>2.0021100000000001</v>
      </c>
      <c r="AC147" s="3">
        <v>-6.6957000000000003E-2</v>
      </c>
      <c r="AD147" s="3">
        <v>8.5077E-3</v>
      </c>
      <c r="AE147" s="3">
        <v>2.00142</v>
      </c>
      <c r="AF147" s="3">
        <v>2.0097999999999998</v>
      </c>
      <c r="AG147" s="3">
        <v>-0.31422499999999998</v>
      </c>
      <c r="AH147" s="3">
        <v>-5.5721100000000003E-2</v>
      </c>
      <c r="AI147" s="7">
        <v>23.749099999999999</v>
      </c>
      <c r="AJ147" s="7">
        <v>58.126559999999998</v>
      </c>
      <c r="AK147" s="3"/>
      <c r="AL147" s="6">
        <v>88.603958129999995</v>
      </c>
      <c r="AM147" s="6">
        <v>83.615280150999993</v>
      </c>
      <c r="AN147" s="6">
        <v>16.260820388999999</v>
      </c>
      <c r="AO147" s="6">
        <v>23.897415161000001</v>
      </c>
      <c r="AP147" s="6">
        <v>0</v>
      </c>
      <c r="AQ147" s="6">
        <v>0</v>
      </c>
      <c r="AR147" s="6">
        <v>2.0045663999999999E-3</v>
      </c>
      <c r="AS147" s="6">
        <v>1.3321750999999999E-3</v>
      </c>
      <c r="AT147" s="6">
        <v>9.7891959999999996E-4</v>
      </c>
      <c r="AU147" s="6">
        <v>83.607612610000004</v>
      </c>
      <c r="AV147" s="6">
        <v>9.975851059</v>
      </c>
      <c r="AW147" s="6">
        <v>4.9710416793999999</v>
      </c>
      <c r="AX147" s="6">
        <v>0</v>
      </c>
      <c r="AY147" s="6">
        <v>0</v>
      </c>
      <c r="AZ147" s="6">
        <v>0</v>
      </c>
      <c r="BA147" s="6">
        <v>0</v>
      </c>
      <c r="BB147" s="6">
        <v>0</v>
      </c>
      <c r="BC147" s="6">
        <v>0</v>
      </c>
      <c r="BD147" s="6">
        <v>0</v>
      </c>
      <c r="BE147" s="6">
        <v>0</v>
      </c>
      <c r="BF147" s="6">
        <v>0</v>
      </c>
      <c r="BG147" s="6">
        <v>0</v>
      </c>
      <c r="BH147" s="6">
        <v>7.1028899000000001E-3</v>
      </c>
      <c r="BI147" s="6">
        <v>2.6429305000000001E-3</v>
      </c>
      <c r="BJ147" s="6">
        <v>0.52816665169999999</v>
      </c>
      <c r="BK147" s="6">
        <v>4.9740616199999997E-2</v>
      </c>
      <c r="BL147" s="6">
        <v>0</v>
      </c>
      <c r="BM147" s="6">
        <v>0</v>
      </c>
      <c r="BN147" s="6">
        <v>0</v>
      </c>
      <c r="BO147" s="6">
        <v>0</v>
      </c>
      <c r="BP147" s="6">
        <v>0</v>
      </c>
      <c r="BQ147" s="6">
        <v>0</v>
      </c>
      <c r="BR147" s="6">
        <v>0</v>
      </c>
      <c r="BS147" s="6">
        <v>0</v>
      </c>
      <c r="BT147" s="6">
        <v>0</v>
      </c>
      <c r="BU147" s="6">
        <v>0</v>
      </c>
      <c r="BV147" s="6">
        <v>0</v>
      </c>
      <c r="BW147" s="6">
        <v>0</v>
      </c>
      <c r="BX147" s="6">
        <v>0</v>
      </c>
      <c r="BY147" s="6">
        <v>0</v>
      </c>
      <c r="BZ147" s="6">
        <v>0</v>
      </c>
      <c r="CA147" s="6">
        <v>0</v>
      </c>
      <c r="CB147" s="6">
        <v>0</v>
      </c>
      <c r="CC147" s="6">
        <v>0</v>
      </c>
      <c r="CD147" s="6">
        <v>0</v>
      </c>
      <c r="CE147" s="6">
        <v>0</v>
      </c>
      <c r="CF147" s="6">
        <v>0</v>
      </c>
      <c r="CG147" s="6">
        <v>0</v>
      </c>
      <c r="CH147" s="6">
        <v>0</v>
      </c>
      <c r="CI147" s="6">
        <v>0</v>
      </c>
      <c r="CJ147" s="6">
        <v>0</v>
      </c>
      <c r="CK147" s="6">
        <v>0</v>
      </c>
      <c r="CL147" s="6">
        <v>0</v>
      </c>
      <c r="CM147" s="6">
        <v>0</v>
      </c>
      <c r="CN147" s="6">
        <v>0.54001665119999998</v>
      </c>
      <c r="DM147" s="7">
        <v>0.31347861890000001</v>
      </c>
      <c r="DN147" s="7">
        <f t="shared" si="2"/>
        <v>99.999969367900022</v>
      </c>
      <c r="DO147" s="7"/>
      <c r="DP147" s="6">
        <v>1.8551879E-3</v>
      </c>
      <c r="DQ147" s="6">
        <v>2.0048485999999998E-3</v>
      </c>
      <c r="DR147" s="6">
        <v>7.1038897000000002E-3</v>
      </c>
      <c r="DS147" s="6">
        <v>1.3323625999999999E-3</v>
      </c>
      <c r="DT147" s="6">
        <v>2.6433024999999999E-3</v>
      </c>
      <c r="DU147" s="6">
        <v>9.7905739999999989E-4</v>
      </c>
      <c r="DV147" s="6">
        <v>1.3912254E-3</v>
      </c>
      <c r="DW147" s="6">
        <v>9.2760156999999992E-3</v>
      </c>
      <c r="DX147" s="6">
        <v>0.1131386831</v>
      </c>
      <c r="DY147" s="6">
        <v>0.40443506839999999</v>
      </c>
      <c r="DZ147" s="6">
        <v>83.619384765600003</v>
      </c>
      <c r="EA147" s="6">
        <v>8.4352858399999994E-2</v>
      </c>
      <c r="EB147" s="6">
        <v>0.54009270669999998</v>
      </c>
      <c r="EC147" s="6">
        <v>3.0737280799999999E-2</v>
      </c>
      <c r="ED147" s="6">
        <v>1.90103389E-2</v>
      </c>
      <c r="EE147" s="6">
        <v>9.9772548675999992</v>
      </c>
      <c r="EF147" s="6">
        <v>0.19794732330000001</v>
      </c>
      <c r="EG147" s="6">
        <v>4.9717416762999997</v>
      </c>
      <c r="EH147" s="6">
        <v>1.5316236800000001E-2</v>
      </c>
      <c r="EI147" s="152"/>
    </row>
    <row r="148" spans="1:139" s="2" customFormat="1">
      <c r="A148" s="4">
        <v>46133</v>
      </c>
      <c r="B148" s="3"/>
      <c r="C148" s="3">
        <v>2</v>
      </c>
      <c r="D148" s="90" t="s">
        <v>436</v>
      </c>
      <c r="E148" s="3">
        <v>157.1</v>
      </c>
      <c r="F148" s="3">
        <v>155.5</v>
      </c>
      <c r="G148" s="3">
        <v>24.0017</v>
      </c>
      <c r="H148" s="3">
        <v>23.998799999999999</v>
      </c>
      <c r="I148" s="3">
        <v>802.721</v>
      </c>
      <c r="J148" s="3">
        <v>800.64099999999996</v>
      </c>
      <c r="K148" s="3">
        <v>0</v>
      </c>
      <c r="L148" s="3">
        <v>0</v>
      </c>
      <c r="M148" s="3">
        <v>800.84400000000005</v>
      </c>
      <c r="N148" s="3">
        <v>803.50599999999997</v>
      </c>
      <c r="O148" s="3">
        <v>0</v>
      </c>
      <c r="P148" s="3">
        <v>0</v>
      </c>
      <c r="Q148" s="3">
        <v>0.38159199999999999</v>
      </c>
      <c r="R148" s="3">
        <v>2000.51</v>
      </c>
      <c r="S148" s="3">
        <v>1999.92</v>
      </c>
      <c r="T148" s="3">
        <v>0</v>
      </c>
      <c r="U148" s="3">
        <v>0</v>
      </c>
      <c r="V148" s="3">
        <v>1999.57</v>
      </c>
      <c r="W148" s="3">
        <v>1999.72</v>
      </c>
      <c r="X148" s="3">
        <v>0</v>
      </c>
      <c r="Y148" s="3">
        <v>0</v>
      </c>
      <c r="Z148" s="3">
        <v>220</v>
      </c>
      <c r="AA148" s="3">
        <v>1.99831</v>
      </c>
      <c r="AB148" s="3">
        <v>1.99871</v>
      </c>
      <c r="AC148" s="3">
        <v>-5.9688600000000001E-2</v>
      </c>
      <c r="AD148" s="3">
        <v>2.8593099999999999E-3</v>
      </c>
      <c r="AE148" s="3">
        <v>1.99817</v>
      </c>
      <c r="AF148" s="3">
        <v>1.99868</v>
      </c>
      <c r="AG148" s="3">
        <v>-5.7471899999999999E-2</v>
      </c>
      <c r="AH148" s="3">
        <v>-4.2856400000000003E-2</v>
      </c>
      <c r="AI148" s="7">
        <v>21.762654999999999</v>
      </c>
      <c r="AJ148" s="7">
        <v>59.250779000000001</v>
      </c>
      <c r="AK148" s="3"/>
      <c r="AL148" s="6">
        <v>88.568969726999995</v>
      </c>
      <c r="AM148" s="6">
        <v>83.614151000999996</v>
      </c>
      <c r="AN148" s="6">
        <v>16.265550612999998</v>
      </c>
      <c r="AO148" s="6">
        <v>23.949588775999999</v>
      </c>
      <c r="AP148" s="6">
        <v>0</v>
      </c>
      <c r="AQ148" s="6">
        <v>0</v>
      </c>
      <c r="AR148" s="6">
        <v>2.4296526999999998E-3</v>
      </c>
      <c r="AS148" s="6">
        <v>1.4185999000000001E-3</v>
      </c>
      <c r="AT148" s="6">
        <v>7.6540110000000001E-4</v>
      </c>
      <c r="AU148" s="6">
        <v>83.817573546999995</v>
      </c>
      <c r="AV148" s="6">
        <v>9.8141355514999997</v>
      </c>
      <c r="AW148" s="6">
        <v>4.9475016594000003</v>
      </c>
      <c r="AX148" s="6">
        <v>0</v>
      </c>
      <c r="AY148" s="6">
        <v>0</v>
      </c>
      <c r="AZ148" s="6">
        <v>0</v>
      </c>
      <c r="BA148" s="6">
        <v>0</v>
      </c>
      <c r="BB148" s="6">
        <v>0</v>
      </c>
      <c r="BC148" s="6">
        <v>0</v>
      </c>
      <c r="BD148" s="6">
        <v>0</v>
      </c>
      <c r="BE148" s="6">
        <v>0</v>
      </c>
      <c r="BF148" s="6">
        <v>0</v>
      </c>
      <c r="BG148" s="6">
        <v>0</v>
      </c>
      <c r="BH148" s="6">
        <v>8.1883799000000007E-3</v>
      </c>
      <c r="BI148" s="6">
        <v>2.5994935999999998E-3</v>
      </c>
      <c r="BJ148" s="6">
        <v>0.54695355889999997</v>
      </c>
      <c r="BK148" s="6">
        <v>4.9535140399999997E-2</v>
      </c>
      <c r="BL148" s="6">
        <v>0</v>
      </c>
      <c r="BM148" s="6">
        <v>0</v>
      </c>
      <c r="BN148" s="6">
        <v>0</v>
      </c>
      <c r="BO148" s="6">
        <v>0</v>
      </c>
      <c r="BP148" s="6">
        <v>0</v>
      </c>
      <c r="BQ148" s="6">
        <v>0</v>
      </c>
      <c r="BR148" s="6">
        <v>0</v>
      </c>
      <c r="BS148" s="6">
        <v>0</v>
      </c>
      <c r="BT148" s="6">
        <v>0</v>
      </c>
      <c r="BU148" s="6">
        <v>0</v>
      </c>
      <c r="BV148" s="6">
        <v>0</v>
      </c>
      <c r="BW148" s="6">
        <v>0</v>
      </c>
      <c r="BX148" s="6">
        <v>0</v>
      </c>
      <c r="BY148" s="6">
        <v>0</v>
      </c>
      <c r="BZ148" s="6">
        <v>0</v>
      </c>
      <c r="CA148" s="6">
        <v>0</v>
      </c>
      <c r="CB148" s="6">
        <v>0</v>
      </c>
      <c r="CC148" s="6">
        <v>0</v>
      </c>
      <c r="CD148" s="6">
        <v>0</v>
      </c>
      <c r="CE148" s="6">
        <v>0</v>
      </c>
      <c r="CF148" s="6">
        <v>0</v>
      </c>
      <c r="CG148" s="6">
        <v>0</v>
      </c>
      <c r="CH148" s="6">
        <v>0</v>
      </c>
      <c r="CI148" s="6">
        <v>0</v>
      </c>
      <c r="CJ148" s="6">
        <v>0</v>
      </c>
      <c r="CK148" s="6">
        <v>0</v>
      </c>
      <c r="CL148" s="6">
        <v>0</v>
      </c>
      <c r="CM148" s="6">
        <v>0</v>
      </c>
      <c r="CN148" s="6">
        <v>0.51798188690000002</v>
      </c>
      <c r="DM148" s="7">
        <v>0.29093071819999999</v>
      </c>
      <c r="DN148" s="7">
        <f t="shared" si="2"/>
        <v>100.00001358950001</v>
      </c>
      <c r="DO148" s="7"/>
      <c r="DP148" s="6">
        <v>3.8117353999999998E-3</v>
      </c>
      <c r="DQ148" s="6">
        <v>2.4301165000000001E-3</v>
      </c>
      <c r="DR148" s="6">
        <v>8.1899435999999992E-3</v>
      </c>
      <c r="DS148" s="6">
        <v>1.4188708000000001E-3</v>
      </c>
      <c r="DT148" s="6">
        <v>2.5999899999999999E-3</v>
      </c>
      <c r="DU148" s="6">
        <v>7.6554719999999995E-4</v>
      </c>
      <c r="DV148" s="6">
        <v>1.7752171E-3</v>
      </c>
      <c r="DW148" s="6">
        <v>1.1307537600000001E-2</v>
      </c>
      <c r="DX148" s="6">
        <v>0.12460833039999999</v>
      </c>
      <c r="DY148" s="6">
        <v>0.4093669653</v>
      </c>
      <c r="DZ148" s="6">
        <v>83.833580017100005</v>
      </c>
      <c r="EA148" s="6">
        <v>0.51808077100000005</v>
      </c>
      <c r="EB148" s="6">
        <v>5.7641319900000001E-2</v>
      </c>
      <c r="EC148" s="6">
        <v>3.1289748800000003E-2</v>
      </c>
      <c r="ED148" s="6">
        <v>1.8254846299999999E-2</v>
      </c>
      <c r="EE148" s="6">
        <v>9.8160095214999998</v>
      </c>
      <c r="EF148" s="6">
        <v>0.1953649968</v>
      </c>
      <c r="EG148" s="6">
        <v>4.9484462738000001</v>
      </c>
      <c r="EH148" s="6">
        <v>1.50702558E-2</v>
      </c>
      <c r="EI148" s="152"/>
    </row>
    <row r="149" spans="1:139" s="2" customFormat="1">
      <c r="A149" s="4">
        <v>46133</v>
      </c>
      <c r="B149" s="3"/>
      <c r="C149" s="3">
        <v>5</v>
      </c>
      <c r="D149" s="90" t="s">
        <v>437</v>
      </c>
      <c r="E149" s="3">
        <v>158.9</v>
      </c>
      <c r="F149" s="3">
        <v>157.4</v>
      </c>
      <c r="G149" s="3">
        <v>23.994499999999999</v>
      </c>
      <c r="H149" s="3">
        <v>24.0017</v>
      </c>
      <c r="I149" s="3">
        <v>790.07</v>
      </c>
      <c r="J149" s="3">
        <v>792.20500000000004</v>
      </c>
      <c r="K149" s="3">
        <v>0</v>
      </c>
      <c r="L149" s="3">
        <v>0</v>
      </c>
      <c r="M149" s="3">
        <v>791.57899999999995</v>
      </c>
      <c r="N149" s="3">
        <v>788.94500000000005</v>
      </c>
      <c r="O149" s="3">
        <v>0</v>
      </c>
      <c r="P149" s="3">
        <v>0</v>
      </c>
      <c r="Q149" s="3">
        <v>0.30150700000000002</v>
      </c>
      <c r="R149" s="3">
        <v>1999.9</v>
      </c>
      <c r="S149" s="3">
        <v>2000.22</v>
      </c>
      <c r="T149" s="3">
        <v>0</v>
      </c>
      <c r="U149" s="3">
        <v>0</v>
      </c>
      <c r="V149" s="3">
        <v>1999.72</v>
      </c>
      <c r="W149" s="3">
        <v>1999.55</v>
      </c>
      <c r="X149" s="3">
        <v>0</v>
      </c>
      <c r="Y149" s="3">
        <v>0</v>
      </c>
      <c r="Z149" s="3">
        <v>219.9</v>
      </c>
      <c r="AA149" s="3">
        <v>1.99655</v>
      </c>
      <c r="AB149" s="3">
        <v>2.00116</v>
      </c>
      <c r="AC149" s="3">
        <v>-6.5945699999999996E-2</v>
      </c>
      <c r="AD149" s="3">
        <v>4.1204400000000004E-3</v>
      </c>
      <c r="AE149" s="3">
        <v>2.00183</v>
      </c>
      <c r="AF149" s="3">
        <v>2.0004599999999999</v>
      </c>
      <c r="AG149" s="3">
        <v>-6.4624500000000001E-2</v>
      </c>
      <c r="AH149" s="3">
        <v>-6.6940999999999997E-3</v>
      </c>
      <c r="AI149" s="7">
        <v>23.365417999999998</v>
      </c>
      <c r="AJ149" s="7">
        <v>57.912018000000003</v>
      </c>
      <c r="AK149" s="3"/>
      <c r="AL149" s="6">
        <v>88.525154114000003</v>
      </c>
      <c r="AM149" s="6">
        <v>83.613540649000001</v>
      </c>
      <c r="AN149" s="6">
        <v>16.282724380000001</v>
      </c>
      <c r="AO149" s="6">
        <v>23.921840668000002</v>
      </c>
      <c r="AP149" s="6">
        <v>0</v>
      </c>
      <c r="AQ149" s="6">
        <v>0</v>
      </c>
      <c r="AR149" s="6">
        <v>6.1172009999999998E-4</v>
      </c>
      <c r="AS149" s="6">
        <v>0</v>
      </c>
      <c r="AT149" s="6">
        <v>4.2865429999999999E-4</v>
      </c>
      <c r="AU149" s="280">
        <v>84.045722960999996</v>
      </c>
      <c r="AV149" s="280">
        <v>9.9448928832999997</v>
      </c>
      <c r="AW149" s="280">
        <v>4.8672962189</v>
      </c>
      <c r="AX149" s="6">
        <v>0</v>
      </c>
      <c r="AY149" s="6">
        <v>0</v>
      </c>
      <c r="AZ149" s="6">
        <v>0</v>
      </c>
      <c r="BA149" s="6">
        <v>0</v>
      </c>
      <c r="BB149" s="6">
        <v>0</v>
      </c>
      <c r="BC149" s="6">
        <v>0</v>
      </c>
      <c r="BD149" s="6">
        <v>0</v>
      </c>
      <c r="BE149" s="6">
        <v>0</v>
      </c>
      <c r="BF149" s="6">
        <v>0</v>
      </c>
      <c r="BG149" s="6">
        <v>0</v>
      </c>
      <c r="BH149" s="6">
        <v>1.3107901999999999E-3</v>
      </c>
      <c r="BI149" s="6">
        <v>0</v>
      </c>
      <c r="BJ149" s="6">
        <v>0.41653198000000002</v>
      </c>
      <c r="BK149" s="6">
        <v>0</v>
      </c>
      <c r="BL149" s="6">
        <v>0</v>
      </c>
      <c r="BM149" s="6">
        <v>0</v>
      </c>
      <c r="BN149" s="6">
        <v>0</v>
      </c>
      <c r="BO149" s="6">
        <v>0</v>
      </c>
      <c r="BP149" s="6">
        <v>0</v>
      </c>
      <c r="BQ149" s="6">
        <v>0</v>
      </c>
      <c r="BR149" s="6">
        <v>0</v>
      </c>
      <c r="BS149" s="6">
        <v>0</v>
      </c>
      <c r="BT149" s="6">
        <v>0</v>
      </c>
      <c r="BU149" s="6">
        <v>0</v>
      </c>
      <c r="BV149" s="6">
        <v>0</v>
      </c>
      <c r="BW149" s="6">
        <v>0</v>
      </c>
      <c r="BX149" s="6">
        <v>0</v>
      </c>
      <c r="BY149" s="6">
        <v>0</v>
      </c>
      <c r="BZ149" s="6">
        <v>0</v>
      </c>
      <c r="CA149" s="6">
        <v>0</v>
      </c>
      <c r="CB149" s="6">
        <v>0</v>
      </c>
      <c r="CC149" s="6">
        <v>0</v>
      </c>
      <c r="CD149" s="6">
        <v>0</v>
      </c>
      <c r="CE149" s="6">
        <v>0</v>
      </c>
      <c r="CF149" s="6">
        <v>0</v>
      </c>
      <c r="CG149" s="6">
        <v>0</v>
      </c>
      <c r="CH149" s="6">
        <v>0</v>
      </c>
      <c r="CI149" s="6">
        <v>0</v>
      </c>
      <c r="CJ149" s="6">
        <v>0</v>
      </c>
      <c r="CK149" s="6">
        <v>0</v>
      </c>
      <c r="CL149" s="6">
        <v>0</v>
      </c>
      <c r="CM149" s="6">
        <v>0</v>
      </c>
      <c r="CN149" s="6">
        <v>0.53956162929999996</v>
      </c>
      <c r="DM149" s="7">
        <v>0.18364743889999999</v>
      </c>
      <c r="DN149" s="7">
        <f t="shared" si="2"/>
        <v>100.00000427599998</v>
      </c>
      <c r="DO149" s="7"/>
      <c r="DP149" s="6">
        <v>6.1184260000000002E-4</v>
      </c>
      <c r="DQ149" s="6">
        <v>1.3110525E-3</v>
      </c>
      <c r="DR149" s="6">
        <v>4.2874010000000003E-4</v>
      </c>
      <c r="DS149" s="6">
        <v>1.6919501E-3</v>
      </c>
      <c r="DT149" s="6">
        <v>3.9497744299999998E-2</v>
      </c>
      <c r="DU149" s="6">
        <v>0.37542563680000002</v>
      </c>
      <c r="DV149" s="6">
        <v>84.062538146999998</v>
      </c>
      <c r="DW149" s="6">
        <v>0.53966957329999998</v>
      </c>
      <c r="DX149" s="6">
        <v>1.0402450299999999E-2</v>
      </c>
      <c r="DY149" s="6">
        <v>9.9468832016000004</v>
      </c>
      <c r="DZ149" s="6">
        <v>0.13529223200000001</v>
      </c>
      <c r="EA149" s="6">
        <v>4.8682699203000004</v>
      </c>
      <c r="EB149" s="6">
        <v>1.7968518700000002E-2</v>
      </c>
      <c r="EC149" s="6"/>
      <c r="ED149" s="6"/>
      <c r="EE149" s="6"/>
      <c r="EF149" s="6"/>
      <c r="EG149" s="6"/>
      <c r="EH149" s="6"/>
      <c r="EI149" s="152"/>
    </row>
    <row r="150" spans="1:139" s="2" customFormat="1">
      <c r="A150" s="4">
        <v>46133</v>
      </c>
      <c r="B150" s="3"/>
      <c r="C150" s="3">
        <v>6</v>
      </c>
      <c r="D150" s="90" t="s">
        <v>438</v>
      </c>
      <c r="E150" s="3">
        <v>160.1</v>
      </c>
      <c r="F150" s="3">
        <v>158.69999999999999</v>
      </c>
      <c r="G150" s="3">
        <v>24.0046</v>
      </c>
      <c r="H150" s="3">
        <v>24.0075</v>
      </c>
      <c r="I150" s="3">
        <v>759.43499999999995</v>
      </c>
      <c r="J150" s="3">
        <v>757.27099999999996</v>
      </c>
      <c r="K150" s="3">
        <v>0</v>
      </c>
      <c r="L150" s="3">
        <v>0</v>
      </c>
      <c r="M150" s="3">
        <v>757.50400000000002</v>
      </c>
      <c r="N150" s="3">
        <v>759.53599999999994</v>
      </c>
      <c r="O150" s="3">
        <v>0</v>
      </c>
      <c r="P150" s="3">
        <v>0</v>
      </c>
      <c r="Q150" s="3">
        <v>0.351468</v>
      </c>
      <c r="R150" s="3">
        <v>2000.74</v>
      </c>
      <c r="S150" s="3">
        <v>2000.09</v>
      </c>
      <c r="T150" s="3">
        <v>0</v>
      </c>
      <c r="U150" s="3">
        <v>0</v>
      </c>
      <c r="V150" s="3">
        <v>1999.89</v>
      </c>
      <c r="W150" s="3">
        <v>2000.15</v>
      </c>
      <c r="X150" s="3">
        <v>0</v>
      </c>
      <c r="Y150" s="3">
        <v>0</v>
      </c>
      <c r="Z150" s="3">
        <v>220</v>
      </c>
      <c r="AA150" s="3">
        <v>1.99681</v>
      </c>
      <c r="AB150" s="3">
        <v>1.99857</v>
      </c>
      <c r="AC150" s="3">
        <v>-5.8551100000000002E-2</v>
      </c>
      <c r="AD150" s="3">
        <v>-4.7713399999999998E-3</v>
      </c>
      <c r="AE150" s="3">
        <v>2.0008400000000002</v>
      </c>
      <c r="AF150" s="3">
        <v>1.9970699999999999</v>
      </c>
      <c r="AG150" s="3">
        <v>-8.7216600000000005E-2</v>
      </c>
      <c r="AH150" s="3">
        <v>-2.2201100000000001E-2</v>
      </c>
      <c r="AI150" s="7">
        <v>22.307782</v>
      </c>
      <c r="AJ150" s="7">
        <v>59.148435999999997</v>
      </c>
      <c r="AK150" s="3"/>
      <c r="AL150" s="6">
        <v>88.574668884000005</v>
      </c>
      <c r="AM150" s="6">
        <v>83.614341736</v>
      </c>
      <c r="AN150" s="6">
        <v>16.248796463000001</v>
      </c>
      <c r="AO150" s="6">
        <v>24.046730041</v>
      </c>
      <c r="AP150" s="6">
        <v>0</v>
      </c>
      <c r="AQ150" s="6">
        <v>0</v>
      </c>
      <c r="AR150" s="6">
        <v>4.4126486999999997E-3</v>
      </c>
      <c r="AS150" s="6">
        <v>2.9329072999999999E-3</v>
      </c>
      <c r="AT150" s="6">
        <v>6.7885560000000001E-4</v>
      </c>
      <c r="AU150" s="6">
        <v>83.730728149000001</v>
      </c>
      <c r="AV150" s="6">
        <v>9.7730960846000006</v>
      </c>
      <c r="AW150" s="6">
        <v>4.8248472213999998</v>
      </c>
      <c r="AX150" s="6">
        <v>0</v>
      </c>
      <c r="AY150" s="6">
        <v>0</v>
      </c>
      <c r="AZ150" s="6">
        <v>0</v>
      </c>
      <c r="BA150" s="6">
        <v>0</v>
      </c>
      <c r="BB150" s="6">
        <v>0</v>
      </c>
      <c r="BC150" s="6">
        <v>0</v>
      </c>
      <c r="BD150" s="6">
        <v>0</v>
      </c>
      <c r="BE150" s="6">
        <v>0</v>
      </c>
      <c r="BF150" s="6">
        <v>0</v>
      </c>
      <c r="BG150" s="6">
        <v>0</v>
      </c>
      <c r="BH150" s="6">
        <v>1.6279235499999999E-2</v>
      </c>
      <c r="BI150" s="6">
        <v>4.4238678999999996E-3</v>
      </c>
      <c r="BJ150" s="6">
        <v>0.63454836609999998</v>
      </c>
      <c r="BK150" s="6">
        <v>8.1172689800000003E-2</v>
      </c>
      <c r="BL150" s="6">
        <v>0</v>
      </c>
      <c r="BM150" s="6">
        <v>0</v>
      </c>
      <c r="BN150" s="6">
        <v>0</v>
      </c>
      <c r="BO150" s="6">
        <v>0</v>
      </c>
      <c r="BP150" s="6">
        <v>0</v>
      </c>
      <c r="BQ150" s="6">
        <v>0</v>
      </c>
      <c r="BR150" s="6">
        <v>0</v>
      </c>
      <c r="BS150" s="6">
        <v>0</v>
      </c>
      <c r="BT150" s="6">
        <v>0</v>
      </c>
      <c r="BU150" s="6">
        <v>0</v>
      </c>
      <c r="BV150" s="6">
        <v>0</v>
      </c>
      <c r="BW150" s="6">
        <v>0</v>
      </c>
      <c r="BX150" s="6">
        <v>0</v>
      </c>
      <c r="BY150" s="6">
        <v>0</v>
      </c>
      <c r="BZ150" s="6">
        <v>0</v>
      </c>
      <c r="CA150" s="6">
        <v>0</v>
      </c>
      <c r="CB150" s="6">
        <v>0</v>
      </c>
      <c r="CC150" s="6">
        <v>0</v>
      </c>
      <c r="CD150" s="6">
        <v>0</v>
      </c>
      <c r="CE150" s="6">
        <v>0</v>
      </c>
      <c r="CF150" s="6">
        <v>0</v>
      </c>
      <c r="CG150" s="6">
        <v>0</v>
      </c>
      <c r="CH150" s="6">
        <v>0</v>
      </c>
      <c r="CI150" s="6">
        <v>0</v>
      </c>
      <c r="CJ150" s="6">
        <v>0</v>
      </c>
      <c r="CK150" s="6">
        <v>0</v>
      </c>
      <c r="CL150" s="6">
        <v>0</v>
      </c>
      <c r="CM150" s="6">
        <v>0</v>
      </c>
      <c r="CN150" s="6">
        <v>0.53050082919999997</v>
      </c>
      <c r="DM150" s="7">
        <v>0.39637783170000002</v>
      </c>
      <c r="DN150" s="7">
        <f t="shared" si="2"/>
        <v>99.999998686799998</v>
      </c>
      <c r="DO150" s="7"/>
      <c r="DP150" s="6">
        <v>6.4678508999999997E-3</v>
      </c>
      <c r="DQ150" s="6">
        <v>4.4130905999999999E-3</v>
      </c>
      <c r="DR150" s="6">
        <v>1.6280865299999999E-2</v>
      </c>
      <c r="DS150" s="6">
        <v>2.9332010999999999E-3</v>
      </c>
      <c r="DT150" s="6">
        <v>4.4243112000000003E-3</v>
      </c>
      <c r="DU150" s="6">
        <v>6.7892370000000003E-4</v>
      </c>
      <c r="DV150" s="6">
        <v>2.9646746999999998E-3</v>
      </c>
      <c r="DW150" s="6">
        <v>1.90801211E-2</v>
      </c>
      <c r="DX150" s="6">
        <v>0.17995566130000001</v>
      </c>
      <c r="DY150" s="6">
        <v>0.43261149529999998</v>
      </c>
      <c r="DZ150" s="6">
        <v>83.739120483400001</v>
      </c>
      <c r="EA150" s="6">
        <v>0.1316027045</v>
      </c>
      <c r="EB150" s="6">
        <v>0.53055399660000002</v>
      </c>
      <c r="EC150" s="6">
        <v>5.1883705000000002E-2</v>
      </c>
      <c r="ED150" s="6">
        <v>2.9297117099999999E-2</v>
      </c>
      <c r="EE150" s="6">
        <v>9.7740755080999993</v>
      </c>
      <c r="EF150" s="6">
        <v>0.2358247936</v>
      </c>
      <c r="EG150" s="6">
        <v>4.8253302574000001</v>
      </c>
      <c r="EH150" s="6">
        <v>1.25273243E-2</v>
      </c>
      <c r="EI150" s="152"/>
    </row>
    <row r="151" spans="1:139" s="2" customFormat="1">
      <c r="A151" s="4">
        <v>46133</v>
      </c>
      <c r="B151" s="3"/>
      <c r="C151" s="3">
        <v>1</v>
      </c>
      <c r="D151" s="90" t="s">
        <v>439</v>
      </c>
      <c r="E151" s="3">
        <v>160.9</v>
      </c>
      <c r="F151" s="3">
        <v>159.5</v>
      </c>
      <c r="G151" s="3">
        <v>23.990200000000002</v>
      </c>
      <c r="H151" s="3">
        <v>24.0061</v>
      </c>
      <c r="I151" s="3">
        <v>892.36400000000003</v>
      </c>
      <c r="J151" s="3">
        <v>891.68200000000002</v>
      </c>
      <c r="K151" s="3">
        <v>0</v>
      </c>
      <c r="L151" s="3">
        <v>0</v>
      </c>
      <c r="M151" s="3">
        <v>891.70600000000002</v>
      </c>
      <c r="N151" s="3">
        <v>892.28599999999994</v>
      </c>
      <c r="O151" s="3">
        <v>0</v>
      </c>
      <c r="P151" s="3">
        <v>0</v>
      </c>
      <c r="Q151" s="3">
        <v>0.267291</v>
      </c>
      <c r="R151" s="3">
        <v>1999.64</v>
      </c>
      <c r="S151" s="3">
        <v>1999.78</v>
      </c>
      <c r="T151" s="3">
        <v>0</v>
      </c>
      <c r="U151" s="3">
        <v>0</v>
      </c>
      <c r="V151" s="3">
        <v>2000.43</v>
      </c>
      <c r="W151" s="3">
        <v>1999.57</v>
      </c>
      <c r="X151" s="3">
        <v>0</v>
      </c>
      <c r="Y151" s="3">
        <v>0</v>
      </c>
      <c r="Z151" s="3">
        <v>220</v>
      </c>
      <c r="AA151" s="3">
        <v>1.99916</v>
      </c>
      <c r="AB151" s="3">
        <v>2.0005299999999999</v>
      </c>
      <c r="AC151" s="3">
        <v>-5.29933E-2</v>
      </c>
      <c r="AD151" s="3">
        <v>2.3441400000000002E-3</v>
      </c>
      <c r="AE151" s="3">
        <v>2.0009199999999998</v>
      </c>
      <c r="AF151" s="3">
        <v>1.99482</v>
      </c>
      <c r="AG151" s="3">
        <v>-0.13528299999999999</v>
      </c>
      <c r="AH151" s="3">
        <v>3.3316999999999999E-2</v>
      </c>
      <c r="AI151" s="7">
        <v>24.328447000000001</v>
      </c>
      <c r="AJ151" s="7">
        <v>58.306013999999998</v>
      </c>
      <c r="AK151" s="3"/>
      <c r="AL151" s="6">
        <v>88.597640991000006</v>
      </c>
      <c r="AM151" s="6">
        <v>83.614662170000003</v>
      </c>
      <c r="AN151" s="6">
        <v>16.26496315</v>
      </c>
      <c r="AO151" s="6">
        <v>23.885753632</v>
      </c>
      <c r="AP151" s="6">
        <v>0</v>
      </c>
      <c r="AQ151" s="6">
        <v>0</v>
      </c>
      <c r="AR151" s="6">
        <v>2.2001166E-3</v>
      </c>
      <c r="AS151" s="6">
        <v>1.7608616000000001E-3</v>
      </c>
      <c r="AT151" s="6">
        <v>6.9823469999999996E-4</v>
      </c>
      <c r="AU151" s="6">
        <v>83.662216186999999</v>
      </c>
      <c r="AV151" s="6">
        <v>9.9130249023000001</v>
      </c>
      <c r="AW151" s="6">
        <v>5.0216202736</v>
      </c>
      <c r="AX151" s="6">
        <v>0</v>
      </c>
      <c r="AY151" s="6">
        <v>0</v>
      </c>
      <c r="AZ151" s="6">
        <v>0</v>
      </c>
      <c r="BA151" s="6">
        <v>0</v>
      </c>
      <c r="BB151" s="6">
        <v>0</v>
      </c>
      <c r="BC151" s="6">
        <v>0</v>
      </c>
      <c r="BD151" s="6">
        <v>0</v>
      </c>
      <c r="BE151" s="6">
        <v>0</v>
      </c>
      <c r="BF151" s="6">
        <v>0</v>
      </c>
      <c r="BG151" s="6">
        <v>0</v>
      </c>
      <c r="BH151" s="6">
        <v>8.3035324000000008E-3</v>
      </c>
      <c r="BI151" s="6">
        <v>2.8007663999999998E-3</v>
      </c>
      <c r="BJ151" s="6">
        <v>0.5285177231</v>
      </c>
      <c r="BK151" s="6">
        <v>4.8036560399999997E-2</v>
      </c>
      <c r="BL151" s="6">
        <v>0</v>
      </c>
      <c r="BM151" s="6">
        <v>0</v>
      </c>
      <c r="BN151" s="6">
        <v>0</v>
      </c>
      <c r="BO151" s="6">
        <v>0</v>
      </c>
      <c r="BP151" s="6">
        <v>0</v>
      </c>
      <c r="BQ151" s="6">
        <v>0</v>
      </c>
      <c r="BR151" s="6">
        <v>0</v>
      </c>
      <c r="BS151" s="6">
        <v>0</v>
      </c>
      <c r="BT151" s="6">
        <v>0</v>
      </c>
      <c r="BU151" s="6">
        <v>0</v>
      </c>
      <c r="BV151" s="6">
        <v>0</v>
      </c>
      <c r="BW151" s="6">
        <v>0</v>
      </c>
      <c r="BX151" s="6">
        <v>0</v>
      </c>
      <c r="BY151" s="6">
        <v>0</v>
      </c>
      <c r="BZ151" s="6">
        <v>0</v>
      </c>
      <c r="CA151" s="6">
        <v>0</v>
      </c>
      <c r="CB151" s="6">
        <v>0</v>
      </c>
      <c r="CC151" s="6">
        <v>0</v>
      </c>
      <c r="CD151" s="6">
        <v>0</v>
      </c>
      <c r="CE151" s="6">
        <v>0</v>
      </c>
      <c r="CF151" s="6">
        <v>0</v>
      </c>
      <c r="CG151" s="6">
        <v>0</v>
      </c>
      <c r="CH151" s="6">
        <v>0</v>
      </c>
      <c r="CI151" s="6">
        <v>0</v>
      </c>
      <c r="CJ151" s="6">
        <v>0</v>
      </c>
      <c r="CK151" s="6">
        <v>0</v>
      </c>
      <c r="CL151" s="6">
        <v>0</v>
      </c>
      <c r="CM151" s="6">
        <v>0</v>
      </c>
      <c r="CN151" s="6">
        <v>0.52052158120000003</v>
      </c>
      <c r="DM151" s="7">
        <v>0.29031166429999999</v>
      </c>
      <c r="DN151" s="7">
        <f t="shared" si="2"/>
        <v>100.0000124036</v>
      </c>
      <c r="DO151" s="7"/>
      <c r="DP151" s="2">
        <v>0</v>
      </c>
      <c r="DQ151" s="6">
        <v>2.2005778999999999E-3</v>
      </c>
      <c r="DR151" s="6">
        <v>8.3052730000000002E-3</v>
      </c>
      <c r="DS151" s="6">
        <v>1.7612308E-3</v>
      </c>
      <c r="DT151" s="6">
        <v>2.8013536000000001E-3</v>
      </c>
      <c r="DU151" s="6">
        <v>6.9838099999999998E-4</v>
      </c>
      <c r="DV151" s="6">
        <v>1.4879184999999999E-3</v>
      </c>
      <c r="DW151" s="6">
        <v>9.25868E-3</v>
      </c>
      <c r="DX151" s="6">
        <v>0.1125541255</v>
      </c>
      <c r="DY151" s="6">
        <v>0.4053278267</v>
      </c>
      <c r="DZ151" s="6">
        <v>83.679748535200005</v>
      </c>
      <c r="EA151" s="6">
        <v>0.52063065770000005</v>
      </c>
      <c r="EB151" s="6">
        <v>5.1942601800000002E-2</v>
      </c>
      <c r="EC151" s="6">
        <v>2.9789459000000001E-2</v>
      </c>
      <c r="ED151" s="6">
        <v>1.8257170900000001E-2</v>
      </c>
      <c r="EE151" s="6">
        <v>9.9151029587000004</v>
      </c>
      <c r="EF151" s="6">
        <v>0.20297770200000001</v>
      </c>
      <c r="EG151" s="6">
        <v>5.0226726531999999</v>
      </c>
      <c r="EH151" s="6">
        <v>1.4460505E-2</v>
      </c>
      <c r="EI151" s="152"/>
    </row>
    <row r="152" spans="1:139" s="2" customFormat="1">
      <c r="A152" s="4">
        <v>46133</v>
      </c>
      <c r="B152" s="3"/>
      <c r="C152" s="3">
        <v>2</v>
      </c>
      <c r="D152" s="90" t="s">
        <v>440</v>
      </c>
      <c r="E152" s="3">
        <v>161.30000000000001</v>
      </c>
      <c r="F152" s="3">
        <v>160</v>
      </c>
      <c r="G152" s="3">
        <v>23.984400000000001</v>
      </c>
      <c r="H152" s="3">
        <v>23.998799999999999</v>
      </c>
      <c r="I152" s="3">
        <v>750.17600000000004</v>
      </c>
      <c r="J152" s="3">
        <v>747.99099999999999</v>
      </c>
      <c r="K152" s="3">
        <v>0</v>
      </c>
      <c r="L152" s="3">
        <v>0</v>
      </c>
      <c r="M152" s="3">
        <v>748.68399999999997</v>
      </c>
      <c r="N152" s="3">
        <v>750.20799999999997</v>
      </c>
      <c r="O152" s="3">
        <v>0</v>
      </c>
      <c r="P152" s="3">
        <v>0</v>
      </c>
      <c r="Q152" s="3">
        <v>0.29263499999999998</v>
      </c>
      <c r="R152" s="3">
        <v>2000.28</v>
      </c>
      <c r="S152" s="3">
        <v>2000.05</v>
      </c>
      <c r="T152" s="3">
        <v>0</v>
      </c>
      <c r="U152" s="3">
        <v>0</v>
      </c>
      <c r="V152" s="3">
        <v>2000.28</v>
      </c>
      <c r="W152" s="3">
        <v>1999.7</v>
      </c>
      <c r="X152" s="3">
        <v>0</v>
      </c>
      <c r="Y152" s="3">
        <v>0</v>
      </c>
      <c r="Z152" s="3">
        <v>220</v>
      </c>
      <c r="AA152" s="3">
        <v>1.9975099999999999</v>
      </c>
      <c r="AB152" s="3">
        <v>2.0052599999999998</v>
      </c>
      <c r="AC152" s="3">
        <v>-5.9202299999999999E-2</v>
      </c>
      <c r="AD152" s="3">
        <v>2.0250799999999998E-3</v>
      </c>
      <c r="AE152" s="3">
        <v>2.0029400000000002</v>
      </c>
      <c r="AF152" s="3">
        <v>2.0038999999999998</v>
      </c>
      <c r="AG152" s="3">
        <v>-0.14857000000000001</v>
      </c>
      <c r="AH152" s="3">
        <v>-3.24915E-2</v>
      </c>
      <c r="AI152" s="7">
        <v>21.979536</v>
      </c>
      <c r="AJ152" s="7">
        <v>59.537624999999998</v>
      </c>
      <c r="AK152" s="3"/>
      <c r="AL152" s="6">
        <v>88.542358398000005</v>
      </c>
      <c r="AM152" s="6">
        <v>83.613754272999998</v>
      </c>
      <c r="AN152" s="6">
        <v>16.263473511000001</v>
      </c>
      <c r="AO152" s="6">
        <v>24.011133193999999</v>
      </c>
      <c r="AP152" s="6">
        <v>0</v>
      </c>
      <c r="AQ152" s="6">
        <v>0</v>
      </c>
      <c r="AR152" s="6">
        <v>2.5607767000000001E-3</v>
      </c>
      <c r="AS152" s="6">
        <v>1.5624526E-3</v>
      </c>
      <c r="AT152" s="6">
        <v>4.928237E-4</v>
      </c>
      <c r="AU152" s="6">
        <v>83.949851989999999</v>
      </c>
      <c r="AV152" s="6">
        <v>9.7888364792000004</v>
      </c>
      <c r="AW152" s="6">
        <v>4.8235816955999997</v>
      </c>
      <c r="AX152" s="6">
        <v>0</v>
      </c>
      <c r="AY152" s="6">
        <v>0</v>
      </c>
      <c r="AZ152" s="6">
        <v>0</v>
      </c>
      <c r="BA152" s="6">
        <v>0</v>
      </c>
      <c r="BB152" s="6">
        <v>0</v>
      </c>
      <c r="BC152" s="6">
        <v>0</v>
      </c>
      <c r="BD152" s="6">
        <v>0</v>
      </c>
      <c r="BE152" s="6">
        <v>0</v>
      </c>
      <c r="BF152" s="6">
        <v>0</v>
      </c>
      <c r="BG152" s="6">
        <v>0</v>
      </c>
      <c r="BH152" s="6">
        <v>9.8752985000000008E-3</v>
      </c>
      <c r="BI152" s="6">
        <v>3.1067032999999998E-3</v>
      </c>
      <c r="BJ152" s="6">
        <v>0.53728276490000004</v>
      </c>
      <c r="BK152" s="6">
        <v>4.6082608400000002E-2</v>
      </c>
      <c r="BL152" s="6">
        <v>0</v>
      </c>
      <c r="BM152" s="6">
        <v>0</v>
      </c>
      <c r="BN152" s="6">
        <v>0</v>
      </c>
      <c r="BO152" s="6">
        <v>0</v>
      </c>
      <c r="BP152" s="6">
        <v>0</v>
      </c>
      <c r="BQ152" s="6">
        <v>0</v>
      </c>
      <c r="BR152" s="6">
        <v>0</v>
      </c>
      <c r="BS152" s="6">
        <v>0</v>
      </c>
      <c r="BT152" s="6">
        <v>0</v>
      </c>
      <c r="BU152" s="6">
        <v>0</v>
      </c>
      <c r="BV152" s="6">
        <v>0</v>
      </c>
      <c r="BW152" s="6">
        <v>0</v>
      </c>
      <c r="BX152" s="6">
        <v>0</v>
      </c>
      <c r="BY152" s="6">
        <v>0</v>
      </c>
      <c r="BZ152" s="6">
        <v>0</v>
      </c>
      <c r="CA152" s="6">
        <v>0</v>
      </c>
      <c r="CB152" s="6">
        <v>0</v>
      </c>
      <c r="CC152" s="6">
        <v>0</v>
      </c>
      <c r="CD152" s="6">
        <v>0</v>
      </c>
      <c r="CE152" s="6">
        <v>0</v>
      </c>
      <c r="CF152" s="6">
        <v>0</v>
      </c>
      <c r="CG152" s="6">
        <v>0</v>
      </c>
      <c r="CH152" s="6">
        <v>0</v>
      </c>
      <c r="CI152" s="6">
        <v>0</v>
      </c>
      <c r="CJ152" s="6">
        <v>0</v>
      </c>
      <c r="CK152" s="6">
        <v>0</v>
      </c>
      <c r="CL152" s="6">
        <v>0</v>
      </c>
      <c r="CM152" s="6">
        <v>0</v>
      </c>
      <c r="CN152" s="6">
        <v>0.53033083680000004</v>
      </c>
      <c r="DM152" s="7">
        <v>0.3064083755</v>
      </c>
      <c r="DN152" s="7">
        <f t="shared" si="2"/>
        <v>99.999972805200017</v>
      </c>
      <c r="DO152" s="7"/>
      <c r="DP152" s="6">
        <v>1.3892064E-3</v>
      </c>
      <c r="DQ152" s="6">
        <v>2.5610785999999998E-3</v>
      </c>
      <c r="DR152" s="6">
        <v>9.8764626000000001E-3</v>
      </c>
      <c r="DS152" s="6">
        <v>1.5626367999999999E-3</v>
      </c>
      <c r="DT152" s="6">
        <v>3.1070697999999999E-3</v>
      </c>
      <c r="DU152" s="6">
        <v>4.9288190000000001E-4</v>
      </c>
      <c r="DV152" s="6">
        <v>1.825482E-3</v>
      </c>
      <c r="DW152" s="6">
        <v>1.14862379E-2</v>
      </c>
      <c r="DX152" s="6">
        <v>0.11866252870000001</v>
      </c>
      <c r="DY152" s="6">
        <v>0.40537187460000002</v>
      </c>
      <c r="DZ152" s="6">
        <v>83.959754943799993</v>
      </c>
      <c r="EA152" s="6">
        <v>8.90605748E-2</v>
      </c>
      <c r="EB152" s="6">
        <v>0.53039336199999998</v>
      </c>
      <c r="EC152" s="6">
        <v>2.95034107E-2</v>
      </c>
      <c r="ED152" s="6">
        <v>1.65846311E-2</v>
      </c>
      <c r="EE152" s="6">
        <v>9.7899904250999992</v>
      </c>
      <c r="EF152" s="6">
        <v>0.1895588785</v>
      </c>
      <c r="EG152" s="6">
        <v>4.8241505622999998</v>
      </c>
      <c r="EH152" s="6">
        <v>1.46581596E-2</v>
      </c>
      <c r="EI152" s="152"/>
    </row>
    <row r="153" spans="1:139" s="2" customFormat="1">
      <c r="A153" s="4">
        <v>46133</v>
      </c>
      <c r="B153" s="3"/>
      <c r="C153" s="3">
        <v>5</v>
      </c>
      <c r="D153" s="90" t="s">
        <v>441</v>
      </c>
      <c r="E153" s="3">
        <v>161.6</v>
      </c>
      <c r="F153" s="3">
        <v>160.30000000000001</v>
      </c>
      <c r="G153" s="3">
        <v>23.9771</v>
      </c>
      <c r="H153" s="3">
        <v>23.994499999999999</v>
      </c>
      <c r="I153" s="3">
        <v>700.90599999999995</v>
      </c>
      <c r="J153" s="3">
        <v>700.54200000000003</v>
      </c>
      <c r="K153" s="3">
        <v>0</v>
      </c>
      <c r="L153" s="3">
        <v>0</v>
      </c>
      <c r="M153" s="3">
        <v>700.32500000000005</v>
      </c>
      <c r="N153" s="3">
        <v>700.52599999999995</v>
      </c>
      <c r="O153" s="3">
        <v>0</v>
      </c>
      <c r="P153" s="3">
        <v>0</v>
      </c>
      <c r="Q153" s="3">
        <v>0.25631900000000002</v>
      </c>
      <c r="R153" s="3">
        <v>1999.85</v>
      </c>
      <c r="S153" s="3">
        <v>2000.25</v>
      </c>
      <c r="T153" s="3">
        <v>0</v>
      </c>
      <c r="U153" s="3">
        <v>0</v>
      </c>
      <c r="V153" s="3">
        <v>2000.27</v>
      </c>
      <c r="W153" s="3">
        <v>1999.86</v>
      </c>
      <c r="X153" s="3">
        <v>0</v>
      </c>
      <c r="Y153" s="3">
        <v>0</v>
      </c>
      <c r="Z153" s="3">
        <v>219.9</v>
      </c>
      <c r="AA153" s="3">
        <v>2.0060199999999999</v>
      </c>
      <c r="AB153" s="3">
        <v>2.0031400000000001</v>
      </c>
      <c r="AC153" s="3">
        <v>-6.5526799999999996E-2</v>
      </c>
      <c r="AD153" s="3">
        <v>3.5054399999999999E-3</v>
      </c>
      <c r="AE153" s="3">
        <v>2.00291</v>
      </c>
      <c r="AF153" s="3">
        <v>1.99834</v>
      </c>
      <c r="AG153" s="3">
        <v>-0.16608300000000001</v>
      </c>
      <c r="AH153" s="3">
        <v>-1.7311699999999999E-2</v>
      </c>
      <c r="AI153" s="7">
        <v>23.040638000000001</v>
      </c>
      <c r="AJ153" s="7">
        <v>58.154350999999998</v>
      </c>
      <c r="AK153" s="3"/>
      <c r="AL153" s="6">
        <v>88.535461425999998</v>
      </c>
      <c r="AM153" s="6">
        <v>83.614135742000002</v>
      </c>
      <c r="AN153" s="6">
        <v>16.281785965000001</v>
      </c>
      <c r="AO153" s="6">
        <v>23.922420502000001</v>
      </c>
      <c r="AP153" s="6">
        <v>0</v>
      </c>
      <c r="AQ153" s="6">
        <v>0</v>
      </c>
      <c r="AR153" s="6">
        <v>4.0371629999999998E-4</v>
      </c>
      <c r="AS153" s="6">
        <v>0</v>
      </c>
      <c r="AT153" s="6">
        <v>0</v>
      </c>
      <c r="AU153" s="280">
        <v>83.996368407999995</v>
      </c>
      <c r="AV153" s="280">
        <v>9.9309253693000006</v>
      </c>
      <c r="AW153" s="280">
        <v>4.9168572425999999</v>
      </c>
      <c r="AX153" s="6">
        <v>0</v>
      </c>
      <c r="AY153" s="6">
        <v>0</v>
      </c>
      <c r="AZ153" s="6">
        <v>0</v>
      </c>
      <c r="BA153" s="6">
        <v>0</v>
      </c>
      <c r="BB153" s="6">
        <v>0</v>
      </c>
      <c r="BC153" s="6">
        <v>0</v>
      </c>
      <c r="BD153" s="6">
        <v>0</v>
      </c>
      <c r="BE153" s="6">
        <v>0</v>
      </c>
      <c r="BF153" s="6">
        <v>0</v>
      </c>
      <c r="BG153" s="6">
        <v>0</v>
      </c>
      <c r="BH153" s="6">
        <v>1.1207041E-3</v>
      </c>
      <c r="BI153" s="6">
        <v>0</v>
      </c>
      <c r="BJ153" s="6">
        <v>0.41369953749999999</v>
      </c>
      <c r="BK153" s="6">
        <v>0</v>
      </c>
      <c r="BL153" s="6">
        <v>0</v>
      </c>
      <c r="BM153" s="6">
        <v>0</v>
      </c>
      <c r="BN153" s="6">
        <v>0</v>
      </c>
      <c r="BO153" s="6">
        <v>0</v>
      </c>
      <c r="BP153" s="6">
        <v>0</v>
      </c>
      <c r="BQ153" s="6">
        <v>0</v>
      </c>
      <c r="BR153" s="6">
        <v>0</v>
      </c>
      <c r="BS153" s="6">
        <v>0</v>
      </c>
      <c r="BT153" s="6">
        <v>0</v>
      </c>
      <c r="BU153" s="6">
        <v>0</v>
      </c>
      <c r="BV153" s="6">
        <v>0</v>
      </c>
      <c r="BW153" s="6">
        <v>0</v>
      </c>
      <c r="BX153" s="6">
        <v>0</v>
      </c>
      <c r="BY153" s="6">
        <v>0</v>
      </c>
      <c r="BZ153" s="6">
        <v>0</v>
      </c>
      <c r="CA153" s="6">
        <v>0</v>
      </c>
      <c r="CB153" s="6">
        <v>0</v>
      </c>
      <c r="CC153" s="6">
        <v>0</v>
      </c>
      <c r="CD153" s="6">
        <v>0</v>
      </c>
      <c r="CE153" s="6">
        <v>0</v>
      </c>
      <c r="CF153" s="6">
        <v>0</v>
      </c>
      <c r="CG153" s="6">
        <v>0</v>
      </c>
      <c r="CH153" s="6">
        <v>0</v>
      </c>
      <c r="CI153" s="6">
        <v>0</v>
      </c>
      <c r="CJ153" s="6">
        <v>0</v>
      </c>
      <c r="CK153" s="6">
        <v>0</v>
      </c>
      <c r="CL153" s="6">
        <v>0</v>
      </c>
      <c r="CM153" s="6">
        <v>0</v>
      </c>
      <c r="CN153" s="6">
        <v>0.55435609819999998</v>
      </c>
      <c r="DM153" s="7">
        <v>0.18629160519999999</v>
      </c>
      <c r="DN153" s="7">
        <f t="shared" si="2"/>
        <v>100.00002268119999</v>
      </c>
      <c r="DO153" s="7"/>
      <c r="DP153" s="6">
        <v>4.0379830000000002E-4</v>
      </c>
      <c r="DQ153" s="6">
        <v>1.1209315999999999E-3</v>
      </c>
      <c r="DR153" s="6">
        <v>1.6127762999999999E-3</v>
      </c>
      <c r="DS153" s="6">
        <v>3.8772735699999998E-2</v>
      </c>
      <c r="DT153" s="6">
        <v>0.37501078840000002</v>
      </c>
      <c r="DU153" s="6">
        <v>84.013420104999994</v>
      </c>
      <c r="DV153" s="6">
        <v>0.55446863170000005</v>
      </c>
      <c r="DW153" s="6">
        <v>1.0361544800000001E-2</v>
      </c>
      <c r="DX153" s="6">
        <v>9.9329414368000002</v>
      </c>
      <c r="DY153" s="6">
        <v>0.13617047669999999</v>
      </c>
      <c r="DZ153" s="6">
        <v>4.9178557396000002</v>
      </c>
      <c r="EA153" s="6">
        <v>1.78570077E-2</v>
      </c>
      <c r="EB153" s="6"/>
      <c r="EC153" s="6"/>
      <c r="ED153" s="6"/>
      <c r="EE153" s="6"/>
      <c r="EF153" s="6"/>
      <c r="EG153" s="6"/>
      <c r="EH153" s="6"/>
      <c r="EI153" s="152"/>
    </row>
    <row r="154" spans="1:139" s="2" customFormat="1">
      <c r="A154" s="4">
        <v>46133</v>
      </c>
      <c r="B154" s="3"/>
      <c r="C154" s="3">
        <v>6</v>
      </c>
      <c r="D154" s="90" t="s">
        <v>442</v>
      </c>
      <c r="E154" s="3">
        <v>161.6</v>
      </c>
      <c r="F154" s="3">
        <v>160.4</v>
      </c>
      <c r="G154" s="3">
        <v>23.994499999999999</v>
      </c>
      <c r="H154" s="3">
        <v>24.000299999999999</v>
      </c>
      <c r="I154" s="3">
        <v>806.91099999999994</v>
      </c>
      <c r="J154" s="3">
        <v>804.47299999999996</v>
      </c>
      <c r="K154" s="3">
        <v>0</v>
      </c>
      <c r="L154" s="3">
        <v>0</v>
      </c>
      <c r="M154" s="3">
        <v>806.08699999999999</v>
      </c>
      <c r="N154" s="3">
        <v>807.86</v>
      </c>
      <c r="O154" s="3">
        <v>0</v>
      </c>
      <c r="P154" s="3">
        <v>0</v>
      </c>
      <c r="Q154" s="3">
        <v>0.26541100000000001</v>
      </c>
      <c r="R154" s="3">
        <v>2000.02</v>
      </c>
      <c r="S154" s="3">
        <v>1999.95</v>
      </c>
      <c r="T154" s="3">
        <v>0</v>
      </c>
      <c r="U154" s="3">
        <v>0</v>
      </c>
      <c r="V154" s="3">
        <v>1999.67</v>
      </c>
      <c r="W154" s="3">
        <v>2000.85</v>
      </c>
      <c r="X154" s="3">
        <v>0</v>
      </c>
      <c r="Y154" s="3">
        <v>0</v>
      </c>
      <c r="Z154" s="3">
        <v>220.1</v>
      </c>
      <c r="AA154" s="3">
        <v>1.9951000000000001</v>
      </c>
      <c r="AB154" s="3">
        <v>1.9989600000000001</v>
      </c>
      <c r="AC154" s="3">
        <v>-7.0619600000000005E-2</v>
      </c>
      <c r="AD154" s="3">
        <v>-3.8774899999999999E-3</v>
      </c>
      <c r="AE154" s="3">
        <v>1.99848</v>
      </c>
      <c r="AF154" s="3">
        <v>2.0019</v>
      </c>
      <c r="AG154" s="3">
        <v>-9.7166000000000002E-2</v>
      </c>
      <c r="AH154" s="3">
        <v>-2.3682000000000002E-2</v>
      </c>
      <c r="AI154" s="7">
        <v>22.541488999999999</v>
      </c>
      <c r="AJ154" s="7">
        <v>58.682012</v>
      </c>
      <c r="AK154" s="3"/>
      <c r="AL154" s="6">
        <v>88.579368591000005</v>
      </c>
      <c r="AM154" s="6">
        <v>83.614608765</v>
      </c>
      <c r="AN154" s="6">
        <v>16.254545212</v>
      </c>
      <c r="AO154" s="6">
        <v>23.994028091000001</v>
      </c>
      <c r="AP154" s="6">
        <v>0</v>
      </c>
      <c r="AQ154" s="6">
        <v>0</v>
      </c>
      <c r="AR154" s="6">
        <v>3.5869558E-3</v>
      </c>
      <c r="AS154" s="6">
        <v>2.1724260999999999E-3</v>
      </c>
      <c r="AT154" s="6">
        <v>5.4343800000000004E-4</v>
      </c>
      <c r="AU154" s="6">
        <v>83.745933532999999</v>
      </c>
      <c r="AV154" s="6">
        <v>9.7903261184999995</v>
      </c>
      <c r="AW154" s="6">
        <v>4.8970079422000001</v>
      </c>
      <c r="AX154" s="6">
        <v>0</v>
      </c>
      <c r="AY154" s="6">
        <v>0</v>
      </c>
      <c r="AZ154" s="6">
        <v>0</v>
      </c>
      <c r="BA154" s="6">
        <v>0</v>
      </c>
      <c r="BB154" s="6">
        <v>0</v>
      </c>
      <c r="BC154" s="6">
        <v>0</v>
      </c>
      <c r="BD154" s="6">
        <v>0</v>
      </c>
      <c r="BE154" s="6">
        <v>0</v>
      </c>
      <c r="BF154" s="6">
        <v>0</v>
      </c>
      <c r="BG154" s="6">
        <v>0</v>
      </c>
      <c r="BH154" s="6">
        <v>1.2522601499999999E-2</v>
      </c>
      <c r="BI154" s="6">
        <v>3.7465082E-3</v>
      </c>
      <c r="BJ154" s="6">
        <v>0.58848756550000003</v>
      </c>
      <c r="BK154" s="6">
        <v>6.6345676800000003E-2</v>
      </c>
      <c r="BL154" s="6">
        <v>0</v>
      </c>
      <c r="BM154" s="6">
        <v>0</v>
      </c>
      <c r="BN154" s="6">
        <v>0</v>
      </c>
      <c r="BO154" s="6">
        <v>0</v>
      </c>
      <c r="BP154" s="6">
        <v>0</v>
      </c>
      <c r="BQ154" s="6">
        <v>0</v>
      </c>
      <c r="BR154" s="6">
        <v>0</v>
      </c>
      <c r="BS154" s="6">
        <v>0</v>
      </c>
      <c r="BT154" s="6">
        <v>0</v>
      </c>
      <c r="BU154" s="6">
        <v>0</v>
      </c>
      <c r="BV154" s="6">
        <v>0</v>
      </c>
      <c r="BW154" s="6">
        <v>0</v>
      </c>
      <c r="BX154" s="6">
        <v>0</v>
      </c>
      <c r="BY154" s="6">
        <v>0</v>
      </c>
      <c r="BZ154" s="6">
        <v>0</v>
      </c>
      <c r="CA154" s="6">
        <v>0</v>
      </c>
      <c r="CB154" s="6">
        <v>0</v>
      </c>
      <c r="CC154" s="6">
        <v>0</v>
      </c>
      <c r="CD154" s="6">
        <v>0</v>
      </c>
      <c r="CE154" s="6">
        <v>0</v>
      </c>
      <c r="CF154" s="6">
        <v>0</v>
      </c>
      <c r="CG154" s="6">
        <v>0</v>
      </c>
      <c r="CH154" s="6">
        <v>0</v>
      </c>
      <c r="CI154" s="6">
        <v>0</v>
      </c>
      <c r="CJ154" s="6">
        <v>0</v>
      </c>
      <c r="CK154" s="6">
        <v>0</v>
      </c>
      <c r="CL154" s="6">
        <v>0</v>
      </c>
      <c r="CM154" s="6">
        <v>0</v>
      </c>
      <c r="CN154" s="6">
        <v>0.53067171570000005</v>
      </c>
      <c r="DM154" s="7">
        <v>0.35866498949999998</v>
      </c>
      <c r="DN154" s="7">
        <f t="shared" si="2"/>
        <v>100.00000947079999</v>
      </c>
      <c r="DO154" s="7"/>
      <c r="DP154" s="6">
        <v>3.2771804999999999E-3</v>
      </c>
      <c r="DQ154" s="6">
        <v>3.5874295999999998E-3</v>
      </c>
      <c r="DR154" s="6">
        <v>1.2524256500000001E-2</v>
      </c>
      <c r="DS154" s="6">
        <v>2.1727131999999998E-3</v>
      </c>
      <c r="DT154" s="6">
        <v>3.7470032000000001E-3</v>
      </c>
      <c r="DU154" s="6">
        <v>5.4350980000000002E-4</v>
      </c>
      <c r="DV154" s="6">
        <v>2.4325047000000001E-3</v>
      </c>
      <c r="DW154" s="6">
        <v>1.47570046E-2</v>
      </c>
      <c r="DX154" s="6">
        <v>0.1491778493</v>
      </c>
      <c r="DY154" s="6">
        <v>0.42219796780000002</v>
      </c>
      <c r="DZ154" s="6">
        <v>83.757003784199995</v>
      </c>
      <c r="EA154" s="6">
        <v>0.1058187932</v>
      </c>
      <c r="EB154" s="6">
        <v>0.53074181080000005</v>
      </c>
      <c r="EC154" s="6">
        <v>4.1589967899999997E-2</v>
      </c>
      <c r="ED154" s="6">
        <v>2.4764476300000001E-2</v>
      </c>
      <c r="EE154" s="6">
        <v>9.7916193008000008</v>
      </c>
      <c r="EF154" s="6">
        <v>0.2219073027</v>
      </c>
      <c r="EG154" s="6">
        <v>4.8976550102000003</v>
      </c>
      <c r="EH154" s="6">
        <v>1.4506008500000001E-2</v>
      </c>
      <c r="EI154" s="152"/>
    </row>
    <row r="155" spans="1:139" s="2" customFormat="1">
      <c r="A155" s="4">
        <v>46133</v>
      </c>
      <c r="B155" s="3"/>
      <c r="C155" s="3">
        <v>1</v>
      </c>
      <c r="D155" s="90" t="s">
        <v>443</v>
      </c>
      <c r="E155" s="3">
        <v>161.69999999999999</v>
      </c>
      <c r="F155" s="3">
        <v>160.4</v>
      </c>
      <c r="G155" s="3">
        <v>23.984400000000001</v>
      </c>
      <c r="H155" s="3">
        <v>24.0017</v>
      </c>
      <c r="I155" s="3">
        <v>793.91099999999994</v>
      </c>
      <c r="J155" s="3">
        <v>798.89099999999996</v>
      </c>
      <c r="K155" s="3">
        <v>0</v>
      </c>
      <c r="L155" s="3">
        <v>0</v>
      </c>
      <c r="M155" s="3">
        <v>797.149</v>
      </c>
      <c r="N155" s="3">
        <v>793.73800000000006</v>
      </c>
      <c r="O155" s="3">
        <v>0</v>
      </c>
      <c r="P155" s="3">
        <v>0</v>
      </c>
      <c r="Q155" s="3">
        <v>0.27642699999999998</v>
      </c>
      <c r="R155" s="3">
        <v>1999.22</v>
      </c>
      <c r="S155" s="3">
        <v>1999.37</v>
      </c>
      <c r="T155" s="3">
        <v>0</v>
      </c>
      <c r="U155" s="3">
        <v>0</v>
      </c>
      <c r="V155" s="3">
        <v>1999.6</v>
      </c>
      <c r="W155" s="3">
        <v>1999.56</v>
      </c>
      <c r="X155" s="3">
        <v>0</v>
      </c>
      <c r="Y155" s="3">
        <v>0</v>
      </c>
      <c r="Z155" s="3">
        <v>220</v>
      </c>
      <c r="AA155" s="3">
        <v>2.00238</v>
      </c>
      <c r="AB155" s="3">
        <v>2.0002900000000001</v>
      </c>
      <c r="AC155" s="3">
        <v>-7.38568E-2</v>
      </c>
      <c r="AD155" s="3">
        <v>7.0993599999999999E-3</v>
      </c>
      <c r="AE155" s="3">
        <v>2.0007199999999998</v>
      </c>
      <c r="AF155" s="3">
        <v>1.9997400000000001</v>
      </c>
      <c r="AG155" s="3">
        <v>-0.19264999999999999</v>
      </c>
      <c r="AH155" s="3">
        <v>-4.8886499999999999E-2</v>
      </c>
      <c r="AI155" s="7">
        <v>24.307794999999999</v>
      </c>
      <c r="AJ155" s="7">
        <v>57.864677999999998</v>
      </c>
      <c r="AK155" s="3"/>
      <c r="AL155" s="6">
        <v>88.555633545000006</v>
      </c>
      <c r="AM155" s="6">
        <v>83.614402771000002</v>
      </c>
      <c r="AN155" s="6">
        <v>16.265069961999998</v>
      </c>
      <c r="AO155" s="6">
        <v>23.982986449999999</v>
      </c>
      <c r="AP155" s="6">
        <v>0</v>
      </c>
      <c r="AQ155" s="6">
        <v>0</v>
      </c>
      <c r="AR155" s="6">
        <v>2.3031619000000001E-3</v>
      </c>
      <c r="AS155" s="6">
        <v>1.5863194E-3</v>
      </c>
      <c r="AT155" s="6">
        <v>4.619728E-4</v>
      </c>
      <c r="AU155" s="6">
        <v>83.859375</v>
      </c>
      <c r="AV155" s="6">
        <v>9.8327074051000007</v>
      </c>
      <c r="AW155" s="6">
        <v>4.8762974739000002</v>
      </c>
      <c r="AX155" s="6">
        <v>0</v>
      </c>
      <c r="AY155" s="6">
        <v>0</v>
      </c>
      <c r="AZ155" s="6">
        <v>0</v>
      </c>
      <c r="BA155" s="6">
        <v>0</v>
      </c>
      <c r="BB155" s="6">
        <v>0</v>
      </c>
      <c r="BC155" s="6">
        <v>0</v>
      </c>
      <c r="BD155" s="6">
        <v>0</v>
      </c>
      <c r="BE155" s="6">
        <v>0</v>
      </c>
      <c r="BF155" s="6">
        <v>0</v>
      </c>
      <c r="BG155" s="6">
        <v>0</v>
      </c>
      <c r="BH155" s="6">
        <v>8.5206516E-3</v>
      </c>
      <c r="BI155" s="6">
        <v>2.8839561000000001E-3</v>
      </c>
      <c r="BJ155" s="6">
        <v>0.53365439179999996</v>
      </c>
      <c r="BK155" s="6">
        <v>4.9466706800000003E-2</v>
      </c>
      <c r="BL155" s="6">
        <v>0</v>
      </c>
      <c r="BM155" s="6">
        <v>0</v>
      </c>
      <c r="BN155" s="6">
        <v>0</v>
      </c>
      <c r="BO155" s="6">
        <v>0</v>
      </c>
      <c r="BP155" s="6">
        <v>0</v>
      </c>
      <c r="BQ155" s="6">
        <v>0</v>
      </c>
      <c r="BR155" s="6">
        <v>0</v>
      </c>
      <c r="BS155" s="6">
        <v>0</v>
      </c>
      <c r="BT155" s="6">
        <v>0</v>
      </c>
      <c r="BU155" s="6">
        <v>0</v>
      </c>
      <c r="BV155" s="6">
        <v>0</v>
      </c>
      <c r="BW155" s="6">
        <v>0</v>
      </c>
      <c r="BX155" s="6">
        <v>0</v>
      </c>
      <c r="BY155" s="6">
        <v>0</v>
      </c>
      <c r="BZ155" s="6">
        <v>0</v>
      </c>
      <c r="CA155" s="6">
        <v>0</v>
      </c>
      <c r="CB155" s="6">
        <v>0</v>
      </c>
      <c r="CC155" s="6">
        <v>0</v>
      </c>
      <c r="CD155" s="6">
        <v>0</v>
      </c>
      <c r="CE155" s="6">
        <v>0</v>
      </c>
      <c r="CF155" s="6">
        <v>0</v>
      </c>
      <c r="CG155" s="6">
        <v>0</v>
      </c>
      <c r="CH155" s="6">
        <v>0</v>
      </c>
      <c r="CI155" s="6">
        <v>0</v>
      </c>
      <c r="CJ155" s="6">
        <v>0</v>
      </c>
      <c r="CK155" s="6">
        <v>0</v>
      </c>
      <c r="CL155" s="6">
        <v>0</v>
      </c>
      <c r="CM155" s="6">
        <v>0</v>
      </c>
      <c r="CN155" s="6">
        <v>0.53971821070000003</v>
      </c>
      <c r="DM155" s="7">
        <v>0.29303857680000001</v>
      </c>
      <c r="DN155" s="7">
        <f t="shared" si="2"/>
        <v>100.0000138269</v>
      </c>
      <c r="DO155" s="7"/>
      <c r="DQ155" s="6">
        <v>2.3035677000000001E-3</v>
      </c>
      <c r="DR155" s="6">
        <v>8.5221528999999997E-3</v>
      </c>
      <c r="DS155" s="6">
        <v>1.5865988999999999E-3</v>
      </c>
      <c r="DT155" s="6">
        <v>2.8844640999999998E-3</v>
      </c>
      <c r="DU155" s="6">
        <v>4.6205420000000001E-4</v>
      </c>
      <c r="DV155" s="6">
        <v>1.2141551E-3</v>
      </c>
      <c r="DW155" s="6">
        <v>9.8854358999999996E-3</v>
      </c>
      <c r="DX155" s="6">
        <v>0.1155133173</v>
      </c>
      <c r="DY155" s="6">
        <v>0.40713548659999999</v>
      </c>
      <c r="DZ155" s="6">
        <v>83.874145507799994</v>
      </c>
      <c r="EA155" s="6">
        <v>0.53981328009999996</v>
      </c>
      <c r="EB155" s="6">
        <v>6.4287558199999997E-2</v>
      </c>
      <c r="EC155" s="6">
        <v>3.0341621499999999E-2</v>
      </c>
      <c r="ED155" s="6">
        <v>1.9133798800000001E-2</v>
      </c>
      <c r="EE155" s="6">
        <v>9.8344392775999996</v>
      </c>
      <c r="EF155" s="6">
        <v>0.19648414850000001</v>
      </c>
      <c r="EG155" s="6">
        <v>4.8771567344999998</v>
      </c>
      <c r="EH155" s="6">
        <v>1.46908322E-2</v>
      </c>
      <c r="EI155" s="152"/>
    </row>
    <row r="156" spans="1:139" s="2" customFormat="1">
      <c r="A156" s="4">
        <v>46133</v>
      </c>
      <c r="B156" s="3"/>
      <c r="C156" s="3">
        <v>2</v>
      </c>
      <c r="D156" s="90" t="s">
        <v>444</v>
      </c>
      <c r="E156" s="3">
        <v>161.5</v>
      </c>
      <c r="F156" s="3">
        <v>160.1</v>
      </c>
      <c r="G156" s="3">
        <v>24.0046</v>
      </c>
      <c r="H156" s="3">
        <v>24.010400000000001</v>
      </c>
      <c r="I156" s="3">
        <v>748.51</v>
      </c>
      <c r="J156" s="3">
        <v>750.60799999999995</v>
      </c>
      <c r="K156" s="3">
        <v>0</v>
      </c>
      <c r="L156" s="3">
        <v>0</v>
      </c>
      <c r="M156" s="3">
        <v>749.66700000000003</v>
      </c>
      <c r="N156" s="3">
        <v>748.47500000000002</v>
      </c>
      <c r="O156" s="3">
        <v>0</v>
      </c>
      <c r="P156" s="3">
        <v>0</v>
      </c>
      <c r="Q156" s="3">
        <v>0.30650300000000003</v>
      </c>
      <c r="R156" s="3">
        <v>2000.97</v>
      </c>
      <c r="S156" s="3">
        <v>2000.57</v>
      </c>
      <c r="T156" s="3">
        <v>0</v>
      </c>
      <c r="U156" s="3">
        <v>0</v>
      </c>
      <c r="V156" s="3">
        <v>1999.86</v>
      </c>
      <c r="W156" s="3">
        <v>2000.2</v>
      </c>
      <c r="X156" s="3">
        <v>0</v>
      </c>
      <c r="Y156" s="3">
        <v>0</v>
      </c>
      <c r="Z156" s="3">
        <v>220.1</v>
      </c>
      <c r="AA156" s="3">
        <v>2</v>
      </c>
      <c r="AB156" s="3">
        <v>2.0008300000000001</v>
      </c>
      <c r="AC156" s="3">
        <v>-7.8204099999999999E-2</v>
      </c>
      <c r="AD156" s="3">
        <v>1.24545E-2</v>
      </c>
      <c r="AE156" s="3">
        <v>1.9975499999999999</v>
      </c>
      <c r="AF156" s="3">
        <v>2.0076999999999998</v>
      </c>
      <c r="AG156" s="3">
        <v>-0.20433999999999999</v>
      </c>
      <c r="AH156" s="3">
        <v>-3.4937999999999997E-2</v>
      </c>
      <c r="AI156" s="7">
        <v>21.555313999999999</v>
      </c>
      <c r="AJ156" s="7">
        <v>59.380752999999999</v>
      </c>
      <c r="AK156" s="3"/>
      <c r="AL156" s="6">
        <v>88.531616210999999</v>
      </c>
      <c r="AM156" s="6">
        <v>83.613632202000005</v>
      </c>
      <c r="AN156" s="6">
        <v>16.262224196999998</v>
      </c>
      <c r="AO156" s="6">
        <v>24.038282393999999</v>
      </c>
      <c r="AP156" s="6">
        <v>0</v>
      </c>
      <c r="AQ156" s="6">
        <v>0</v>
      </c>
      <c r="AR156" s="6">
        <v>2.4044127000000001E-3</v>
      </c>
      <c r="AS156" s="6">
        <v>1.4814903999999999E-3</v>
      </c>
      <c r="AT156" s="6">
        <v>4.8472180000000003E-4</v>
      </c>
      <c r="AU156" s="6">
        <v>84.025085449000002</v>
      </c>
      <c r="AV156" s="6">
        <v>9.7367191314999992</v>
      </c>
      <c r="AW156" s="6">
        <v>4.7911572456</v>
      </c>
      <c r="AX156" s="6">
        <v>0</v>
      </c>
      <c r="AY156" s="6">
        <v>0</v>
      </c>
      <c r="AZ156" s="6">
        <v>0</v>
      </c>
      <c r="BA156" s="6">
        <v>0</v>
      </c>
      <c r="BB156" s="6">
        <v>0</v>
      </c>
      <c r="BC156" s="6">
        <v>0</v>
      </c>
      <c r="BD156" s="6">
        <v>0</v>
      </c>
      <c r="BE156" s="6">
        <v>0</v>
      </c>
      <c r="BF156" s="6">
        <v>0</v>
      </c>
      <c r="BG156" s="6">
        <v>0</v>
      </c>
      <c r="BH156" s="6">
        <v>9.9718272999999996E-3</v>
      </c>
      <c r="BI156" s="6">
        <v>3.2020150999999999E-3</v>
      </c>
      <c r="BJ156" s="6">
        <v>0.53193771840000004</v>
      </c>
      <c r="BK156" s="6">
        <v>4.46482822E-2</v>
      </c>
      <c r="BL156" s="6">
        <v>0</v>
      </c>
      <c r="BM156" s="6">
        <v>0</v>
      </c>
      <c r="BN156" s="6">
        <v>0</v>
      </c>
      <c r="BO156" s="6">
        <v>0</v>
      </c>
      <c r="BP156" s="6">
        <v>0</v>
      </c>
      <c r="BQ156" s="6">
        <v>0</v>
      </c>
      <c r="BR156" s="6">
        <v>0</v>
      </c>
      <c r="BS156" s="6">
        <v>0</v>
      </c>
      <c r="BT156" s="6">
        <v>0</v>
      </c>
      <c r="BU156" s="6">
        <v>0</v>
      </c>
      <c r="BV156" s="6">
        <v>0</v>
      </c>
      <c r="BW156" s="6">
        <v>0</v>
      </c>
      <c r="BX156" s="6">
        <v>0</v>
      </c>
      <c r="BY156" s="6">
        <v>0</v>
      </c>
      <c r="BZ156" s="6">
        <v>0</v>
      </c>
      <c r="CA156" s="6">
        <v>0</v>
      </c>
      <c r="CB156" s="6">
        <v>0</v>
      </c>
      <c r="CC156" s="6">
        <v>0</v>
      </c>
      <c r="CD156" s="6">
        <v>0</v>
      </c>
      <c r="CE156" s="6">
        <v>0</v>
      </c>
      <c r="CF156" s="6">
        <v>0</v>
      </c>
      <c r="CG156" s="6">
        <v>0</v>
      </c>
      <c r="CH156" s="6">
        <v>0</v>
      </c>
      <c r="CI156" s="6">
        <v>0</v>
      </c>
      <c r="CJ156" s="6">
        <v>0</v>
      </c>
      <c r="CK156" s="6">
        <v>0</v>
      </c>
      <c r="CL156" s="6">
        <v>0</v>
      </c>
      <c r="CM156" s="6">
        <v>0</v>
      </c>
      <c r="CN156" s="6">
        <v>0.53790557380000004</v>
      </c>
      <c r="DM156" s="7">
        <v>0.31501331929999998</v>
      </c>
      <c r="DN156" s="7">
        <f t="shared" si="2"/>
        <v>100.00001118710001</v>
      </c>
      <c r="DO156" s="7"/>
      <c r="DP156" s="6">
        <v>8.6362099999999996E-4</v>
      </c>
      <c r="DQ156" s="6">
        <v>2.4046048000000001E-3</v>
      </c>
      <c r="DR156" s="6">
        <v>9.9726245000000008E-3</v>
      </c>
      <c r="DS156" s="6">
        <v>1.4816088E-3</v>
      </c>
      <c r="DT156" s="6">
        <v>3.2022709E-3</v>
      </c>
      <c r="DU156" s="6">
        <v>4.8476049999999999E-4</v>
      </c>
      <c r="DV156" s="6">
        <v>1.650166E-3</v>
      </c>
      <c r="DW156" s="6">
        <v>1.10919941E-2</v>
      </c>
      <c r="DX156" s="6">
        <v>0.1163603738</v>
      </c>
      <c r="DY156" s="6">
        <v>0.40287768839999999</v>
      </c>
      <c r="DZ156" s="6">
        <v>84.031799316399997</v>
      </c>
      <c r="EA156" s="6">
        <v>0.10539167369999999</v>
      </c>
      <c r="EB156" s="6">
        <v>0.53794854879999998</v>
      </c>
      <c r="EC156" s="6">
        <v>2.8664315100000001E-2</v>
      </c>
      <c r="ED156" s="6">
        <v>1.5987535899999999E-2</v>
      </c>
      <c r="EE156" s="6">
        <v>9.7374973297</v>
      </c>
      <c r="EF156" s="6">
        <v>0.18723081050000001</v>
      </c>
      <c r="EG156" s="6">
        <v>4.7915396689999996</v>
      </c>
      <c r="EH156" s="6">
        <v>1.3559264099999999E-2</v>
      </c>
      <c r="EI156" s="152"/>
    </row>
    <row r="157" spans="1:139" s="2" customFormat="1">
      <c r="A157" s="4">
        <v>46133</v>
      </c>
      <c r="B157" s="3"/>
      <c r="C157" s="3">
        <v>5</v>
      </c>
      <c r="D157" s="90" t="s">
        <v>445</v>
      </c>
      <c r="E157" s="3">
        <v>161.9</v>
      </c>
      <c r="F157" s="3">
        <v>160.69999999999999</v>
      </c>
      <c r="G157" s="3">
        <v>23.997399999999999</v>
      </c>
      <c r="H157" s="3">
        <v>24.0075</v>
      </c>
      <c r="I157" s="3">
        <v>840.86900000000003</v>
      </c>
      <c r="J157" s="3">
        <v>845.93600000000004</v>
      </c>
      <c r="K157" s="3">
        <v>0</v>
      </c>
      <c r="L157" s="3">
        <v>0</v>
      </c>
      <c r="M157" s="3">
        <v>843.60699999999997</v>
      </c>
      <c r="N157" s="3">
        <v>841.41</v>
      </c>
      <c r="O157" s="3">
        <v>0</v>
      </c>
      <c r="P157" s="3">
        <v>0</v>
      </c>
      <c r="Q157" s="3">
        <v>0.179732</v>
      </c>
      <c r="R157" s="3">
        <v>2000.12</v>
      </c>
      <c r="S157" s="3">
        <v>1999.88</v>
      </c>
      <c r="T157" s="3">
        <v>0</v>
      </c>
      <c r="U157" s="3">
        <v>0</v>
      </c>
      <c r="V157" s="3">
        <v>1999.76</v>
      </c>
      <c r="W157" s="3">
        <v>2000.84</v>
      </c>
      <c r="X157" s="3">
        <v>0</v>
      </c>
      <c r="Y157" s="3">
        <v>0</v>
      </c>
      <c r="Z157" s="3">
        <v>220</v>
      </c>
      <c r="AA157" s="3">
        <v>1.9976700000000001</v>
      </c>
      <c r="AB157" s="3">
        <v>1.9999100000000001</v>
      </c>
      <c r="AC157" s="3">
        <v>-6.2363599999999998E-2</v>
      </c>
      <c r="AD157" s="3">
        <v>9.5725399999999992E-3</v>
      </c>
      <c r="AE157" s="3">
        <v>2.0015299999999998</v>
      </c>
      <c r="AF157" s="3">
        <v>1.99512</v>
      </c>
      <c r="AG157" s="3">
        <v>-0.105268</v>
      </c>
      <c r="AH157" s="3">
        <v>-4.1172399999999998E-2</v>
      </c>
      <c r="AI157" s="7">
        <v>22.284676999999999</v>
      </c>
      <c r="AJ157" s="7">
        <v>58.551909999999999</v>
      </c>
      <c r="AK157" s="3"/>
      <c r="AL157" s="6">
        <v>88.552970885999997</v>
      </c>
      <c r="AM157" s="6">
        <v>83.614570618000002</v>
      </c>
      <c r="AN157" s="6">
        <v>16.280818939</v>
      </c>
      <c r="AO157" s="6">
        <v>23.892042159999999</v>
      </c>
      <c r="AP157" s="6">
        <v>0</v>
      </c>
      <c r="AQ157" s="6">
        <v>0</v>
      </c>
      <c r="AR157" s="6">
        <v>0</v>
      </c>
      <c r="AS157" s="6">
        <v>0</v>
      </c>
      <c r="AT157" s="6">
        <v>0</v>
      </c>
      <c r="AU157" s="280">
        <v>83.907829285000005</v>
      </c>
      <c r="AV157" s="280">
        <v>9.9604177474999993</v>
      </c>
      <c r="AW157" s="280">
        <v>4.9707765578999998</v>
      </c>
      <c r="AX157" s="6">
        <v>0</v>
      </c>
      <c r="AY157" s="6">
        <v>0</v>
      </c>
      <c r="AZ157" s="6">
        <v>0</v>
      </c>
      <c r="BA157" s="6">
        <v>0</v>
      </c>
      <c r="BB157" s="6">
        <v>0</v>
      </c>
      <c r="BC157" s="6">
        <v>0</v>
      </c>
      <c r="BD157" s="6">
        <v>0</v>
      </c>
      <c r="BE157" s="6">
        <v>0</v>
      </c>
      <c r="BF157" s="6">
        <v>0</v>
      </c>
      <c r="BG157" s="6">
        <v>0</v>
      </c>
      <c r="BH157" s="6">
        <v>9.6164920000000004E-4</v>
      </c>
      <c r="BI157" s="6">
        <v>0</v>
      </c>
      <c r="BJ157" s="6">
        <v>0.41353040930000001</v>
      </c>
      <c r="BK157" s="6">
        <v>0</v>
      </c>
      <c r="BL157" s="6">
        <v>0</v>
      </c>
      <c r="BM157" s="6">
        <v>0</v>
      </c>
      <c r="BN157" s="6">
        <v>0</v>
      </c>
      <c r="BO157" s="6">
        <v>0</v>
      </c>
      <c r="BP157" s="6">
        <v>0</v>
      </c>
      <c r="BQ157" s="6">
        <v>0</v>
      </c>
      <c r="BR157" s="6">
        <v>0</v>
      </c>
      <c r="BS157" s="6">
        <v>0</v>
      </c>
      <c r="BT157" s="6">
        <v>0</v>
      </c>
      <c r="BU157" s="6">
        <v>0</v>
      </c>
      <c r="BV157" s="6">
        <v>0</v>
      </c>
      <c r="BW157" s="6">
        <v>0</v>
      </c>
      <c r="BX157" s="6">
        <v>0</v>
      </c>
      <c r="BY157" s="6">
        <v>0</v>
      </c>
      <c r="BZ157" s="6">
        <v>0</v>
      </c>
      <c r="CA157" s="6">
        <v>0</v>
      </c>
      <c r="CB157" s="6">
        <v>0</v>
      </c>
      <c r="CC157" s="6">
        <v>0</v>
      </c>
      <c r="CD157" s="6">
        <v>0</v>
      </c>
      <c r="CE157" s="6">
        <v>0</v>
      </c>
      <c r="CF157" s="6">
        <v>0</v>
      </c>
      <c r="CG157" s="6">
        <v>0</v>
      </c>
      <c r="CH157" s="6">
        <v>0</v>
      </c>
      <c r="CI157" s="6">
        <v>0</v>
      </c>
      <c r="CJ157" s="6">
        <v>0</v>
      </c>
      <c r="CK157" s="6">
        <v>0</v>
      </c>
      <c r="CL157" s="6">
        <v>0</v>
      </c>
      <c r="CM157" s="6">
        <v>0</v>
      </c>
      <c r="CN157" s="6">
        <v>0.55679637189999998</v>
      </c>
      <c r="DM157" s="7">
        <v>0.1896865368</v>
      </c>
      <c r="DN157" s="7">
        <f t="shared" si="2"/>
        <v>99.999998557599994</v>
      </c>
      <c r="DO157" s="7"/>
      <c r="DP157" s="6">
        <v>9.6184809999999999E-4</v>
      </c>
      <c r="DQ157" s="6">
        <v>1.3957322000000001E-3</v>
      </c>
      <c r="DR157" s="6">
        <v>3.86478268E-2</v>
      </c>
      <c r="DS157" s="6">
        <v>0.3749681413</v>
      </c>
      <c r="DT157" s="6">
        <v>83.925193786600005</v>
      </c>
      <c r="DU157" s="6">
        <v>0.55691158770000004</v>
      </c>
      <c r="DV157" s="6">
        <v>1.06021482E-2</v>
      </c>
      <c r="DW157" s="6">
        <v>9.9624786377000003</v>
      </c>
      <c r="DX157" s="6">
        <v>0.13687410950000001</v>
      </c>
      <c r="DY157" s="6">
        <v>4.9718050956999997</v>
      </c>
      <c r="DZ157" s="6">
        <v>2.01652516E-2</v>
      </c>
      <c r="EA157" s="6"/>
      <c r="EB157" s="6"/>
      <c r="EC157" s="6"/>
      <c r="ED157" s="6"/>
      <c r="EE157" s="6"/>
      <c r="EF157" s="6"/>
      <c r="EG157" s="6"/>
      <c r="EH157" s="6"/>
      <c r="EI157" s="152"/>
    </row>
    <row r="158" spans="1:139" s="2" customFormat="1">
      <c r="A158" s="4">
        <v>46133</v>
      </c>
      <c r="B158" s="3"/>
      <c r="C158" s="3">
        <v>6</v>
      </c>
      <c r="D158" s="90" t="s">
        <v>446</v>
      </c>
      <c r="E158" s="3">
        <v>161.69999999999999</v>
      </c>
      <c r="F158" s="3">
        <v>160.4</v>
      </c>
      <c r="G158" s="3">
        <v>15.004300000000001</v>
      </c>
      <c r="H158" s="3">
        <v>14.994199999999999</v>
      </c>
      <c r="I158" s="3">
        <v>744.64099999999996</v>
      </c>
      <c r="J158" s="3">
        <v>739.36599999999999</v>
      </c>
      <c r="K158" s="3">
        <v>0</v>
      </c>
      <c r="L158" s="3">
        <v>0</v>
      </c>
      <c r="M158" s="3">
        <v>744.69200000000001</v>
      </c>
      <c r="N158" s="3">
        <v>743.42700000000002</v>
      </c>
      <c r="O158" s="3">
        <v>0</v>
      </c>
      <c r="P158" s="3">
        <v>0</v>
      </c>
      <c r="Q158" s="3">
        <v>0.195992</v>
      </c>
      <c r="R158" s="3">
        <v>1999.17</v>
      </c>
      <c r="S158" s="3">
        <v>2000.03</v>
      </c>
      <c r="T158" s="3">
        <v>0</v>
      </c>
      <c r="U158" s="3">
        <v>0</v>
      </c>
      <c r="V158" s="3">
        <v>1999.41</v>
      </c>
      <c r="W158" s="3">
        <v>1999.61</v>
      </c>
      <c r="X158" s="3">
        <v>0</v>
      </c>
      <c r="Y158" s="3">
        <v>0</v>
      </c>
      <c r="Z158" s="3">
        <v>220</v>
      </c>
      <c r="AA158" s="3">
        <v>1.9992000000000001</v>
      </c>
      <c r="AB158" s="3">
        <v>1.9997499999999999</v>
      </c>
      <c r="AC158" s="3">
        <v>-6.2003500000000003E-2</v>
      </c>
      <c r="AD158" s="3">
        <v>1.2729499999999999E-2</v>
      </c>
      <c r="AE158" s="3">
        <v>1.99969</v>
      </c>
      <c r="AF158" s="3">
        <v>1.9820599999999999</v>
      </c>
      <c r="AG158" s="3">
        <v>-0.119473</v>
      </c>
      <c r="AH158" s="3">
        <v>-3.2475700000000003E-2</v>
      </c>
      <c r="AI158" s="7">
        <v>21.593596000000002</v>
      </c>
      <c r="AJ158" s="7">
        <v>59.640729</v>
      </c>
      <c r="AK158" s="3"/>
      <c r="AL158" s="6">
        <v>88.565475464000002</v>
      </c>
      <c r="AM158" s="6">
        <v>83.614311217999997</v>
      </c>
      <c r="AN158" s="6">
        <v>16.239240645999999</v>
      </c>
      <c r="AO158" s="6">
        <v>24.128519057999998</v>
      </c>
      <c r="AP158" s="6">
        <v>0</v>
      </c>
      <c r="AQ158" s="6">
        <v>0</v>
      </c>
      <c r="AR158" s="6">
        <v>6.8181626999999998E-3</v>
      </c>
      <c r="AS158" s="6">
        <v>4.2959432999999997E-3</v>
      </c>
      <c r="AT158" s="6">
        <v>7.0628590000000005E-4</v>
      </c>
      <c r="AU158" s="6">
        <v>83.747871399000005</v>
      </c>
      <c r="AV158" s="6">
        <v>9.6618576049999998</v>
      </c>
      <c r="AW158" s="6">
        <v>4.7499442100999998</v>
      </c>
      <c r="AX158" s="6">
        <v>0</v>
      </c>
      <c r="AY158" s="6">
        <v>0</v>
      </c>
      <c r="AZ158" s="6">
        <v>0</v>
      </c>
      <c r="BA158" s="6">
        <v>0</v>
      </c>
      <c r="BB158" s="6">
        <v>0</v>
      </c>
      <c r="BC158" s="6">
        <v>0</v>
      </c>
      <c r="BD158" s="6">
        <v>0</v>
      </c>
      <c r="BE158" s="6">
        <v>0</v>
      </c>
      <c r="BF158" s="6">
        <v>0</v>
      </c>
      <c r="BG158" s="6">
        <v>0</v>
      </c>
      <c r="BH158" s="6">
        <v>2.55540553E-2</v>
      </c>
      <c r="BI158" s="6">
        <v>7.0517100000000001E-3</v>
      </c>
      <c r="BJ158" s="6">
        <v>0.70822894569999995</v>
      </c>
      <c r="BK158" s="6">
        <v>0.1096009463</v>
      </c>
      <c r="BL158" s="6">
        <v>0</v>
      </c>
      <c r="BM158" s="6">
        <v>0</v>
      </c>
      <c r="BN158" s="6">
        <v>0</v>
      </c>
      <c r="BO158" s="6">
        <v>0</v>
      </c>
      <c r="BP158" s="6">
        <v>0</v>
      </c>
      <c r="BQ158" s="6">
        <v>0</v>
      </c>
      <c r="BR158" s="6">
        <v>0</v>
      </c>
      <c r="BS158" s="6">
        <v>0</v>
      </c>
      <c r="BT158" s="6">
        <v>0</v>
      </c>
      <c r="BU158" s="6">
        <v>0</v>
      </c>
      <c r="BV158" s="6">
        <v>0</v>
      </c>
      <c r="BW158" s="6">
        <v>0</v>
      </c>
      <c r="BX158" s="6">
        <v>0</v>
      </c>
      <c r="BY158" s="6">
        <v>0</v>
      </c>
      <c r="BZ158" s="6">
        <v>0</v>
      </c>
      <c r="CA158" s="6">
        <v>0</v>
      </c>
      <c r="CB158" s="6">
        <v>0</v>
      </c>
      <c r="CC158" s="6">
        <v>0</v>
      </c>
      <c r="CD158" s="6">
        <v>0</v>
      </c>
      <c r="CE158" s="6">
        <v>0</v>
      </c>
      <c r="CF158" s="6">
        <v>0</v>
      </c>
      <c r="CG158" s="6">
        <v>0</v>
      </c>
      <c r="CH158" s="6">
        <v>0</v>
      </c>
      <c r="CI158" s="6">
        <v>0</v>
      </c>
      <c r="CJ158" s="6">
        <v>0</v>
      </c>
      <c r="CK158" s="6">
        <v>0</v>
      </c>
      <c r="CL158" s="6">
        <v>0</v>
      </c>
      <c r="CM158" s="6">
        <v>0</v>
      </c>
      <c r="CN158" s="6">
        <v>0.51705026629999995</v>
      </c>
      <c r="DM158" s="7">
        <v>0.46102952959999999</v>
      </c>
      <c r="DN158" s="7">
        <f t="shared" si="2"/>
        <v>100.00000905920001</v>
      </c>
      <c r="DO158" s="7"/>
      <c r="DP158" s="6">
        <v>1.6810491E-3</v>
      </c>
      <c r="DQ158" s="6">
        <v>6.8189543999999996E-3</v>
      </c>
      <c r="DR158" s="6">
        <v>2.5557022499999998E-2</v>
      </c>
      <c r="DS158" s="6">
        <v>4.2964424999999999E-3</v>
      </c>
      <c r="DT158" s="6">
        <v>7.0525290999999997E-3</v>
      </c>
      <c r="DU158" s="6">
        <v>7.0636799999999997E-4</v>
      </c>
      <c r="DV158" s="6">
        <v>4.4599352E-3</v>
      </c>
      <c r="DW158" s="6">
        <v>2.53877323E-2</v>
      </c>
      <c r="DX158" s="6">
        <v>0.22511518</v>
      </c>
      <c r="DY158" s="6">
        <v>0.45334836839999998</v>
      </c>
      <c r="DZ158" s="6">
        <v>83.757591247600004</v>
      </c>
      <c r="EA158" s="6">
        <v>0.15445043150000001</v>
      </c>
      <c r="EB158" s="6">
        <v>0.51711034769999997</v>
      </c>
      <c r="EC158" s="6">
        <v>6.8502478300000003E-2</v>
      </c>
      <c r="ED158" s="6">
        <v>4.1111201E-2</v>
      </c>
      <c r="EE158" s="6">
        <v>9.6629800797000005</v>
      </c>
      <c r="EF158" s="6">
        <v>0.2828427255</v>
      </c>
      <c r="EG158" s="6">
        <v>4.7504959105999998</v>
      </c>
      <c r="EH158" s="6">
        <v>1.04993572E-2</v>
      </c>
      <c r="EI158" s="152"/>
    </row>
    <row r="159" spans="1:139" s="2" customFormat="1">
      <c r="A159" s="4">
        <v>46134</v>
      </c>
      <c r="B159" s="3"/>
      <c r="C159" s="3">
        <v>1</v>
      </c>
      <c r="D159" s="90" t="s">
        <v>447</v>
      </c>
      <c r="E159" s="3">
        <v>161.80000000000001</v>
      </c>
      <c r="F159" s="3">
        <v>160.5</v>
      </c>
      <c r="G159" s="3">
        <v>14.9884</v>
      </c>
      <c r="H159" s="3">
        <v>14.991300000000001</v>
      </c>
      <c r="I159" s="3">
        <v>746.73299999999995</v>
      </c>
      <c r="J159" s="3">
        <v>743.61599999999999</v>
      </c>
      <c r="K159" s="3">
        <v>0</v>
      </c>
      <c r="L159" s="3">
        <v>0</v>
      </c>
      <c r="M159" s="3">
        <v>747.37699999999995</v>
      </c>
      <c r="N159" s="3">
        <v>745.87800000000004</v>
      </c>
      <c r="O159" s="3">
        <v>0</v>
      </c>
      <c r="P159" s="3">
        <v>0</v>
      </c>
      <c r="Q159" s="3">
        <v>0.121668</v>
      </c>
      <c r="R159" s="3">
        <v>1999.5</v>
      </c>
      <c r="S159" s="3">
        <v>1999.97</v>
      </c>
      <c r="T159" s="3">
        <v>0</v>
      </c>
      <c r="U159" s="3">
        <v>0</v>
      </c>
      <c r="V159" s="3">
        <v>2000.4</v>
      </c>
      <c r="W159" s="3">
        <v>1999.52</v>
      </c>
      <c r="X159" s="3">
        <v>0</v>
      </c>
      <c r="Y159" s="3">
        <v>0</v>
      </c>
      <c r="Z159" s="3">
        <v>220</v>
      </c>
      <c r="AA159" s="3">
        <v>2.00543</v>
      </c>
      <c r="AB159" s="3">
        <v>2.0008499999999998</v>
      </c>
      <c r="AC159" s="3">
        <v>-6.20753E-2</v>
      </c>
      <c r="AD159" s="3">
        <v>1.06395E-2</v>
      </c>
      <c r="AE159" s="3">
        <v>1.9984900000000001</v>
      </c>
      <c r="AF159" s="3">
        <v>1.9896199999999999</v>
      </c>
      <c r="AG159" s="3">
        <v>-0.137541</v>
      </c>
      <c r="AH159" s="3">
        <v>-4.2731499999999999E-2</v>
      </c>
      <c r="AI159" s="7">
        <v>23.287500999999999</v>
      </c>
      <c r="AJ159" s="7">
        <v>58.825184</v>
      </c>
      <c r="AK159" s="3"/>
      <c r="AL159" s="6">
        <v>88.561943053999997</v>
      </c>
      <c r="AM159" s="6">
        <v>83.613922118999994</v>
      </c>
      <c r="AN159" s="6">
        <v>16.253335953000001</v>
      </c>
      <c r="AO159" s="6">
        <v>24.035003662000001</v>
      </c>
      <c r="AP159" s="6">
        <v>0</v>
      </c>
      <c r="AQ159" s="6">
        <v>0</v>
      </c>
      <c r="AR159" s="6">
        <v>4.4840770000000004E-3</v>
      </c>
      <c r="AS159" s="6">
        <v>3.4175080000000001E-3</v>
      </c>
      <c r="AT159" s="6">
        <v>9.4984840000000002E-4</v>
      </c>
      <c r="AU159" s="6">
        <v>83.804328919</v>
      </c>
      <c r="AV159" s="6">
        <v>9.7657356261999997</v>
      </c>
      <c r="AW159" s="6">
        <v>4.8164653778000002</v>
      </c>
      <c r="AX159" s="6">
        <v>0</v>
      </c>
      <c r="AY159" s="6">
        <v>0</v>
      </c>
      <c r="AZ159" s="6">
        <v>0</v>
      </c>
      <c r="BA159" s="6">
        <v>0</v>
      </c>
      <c r="BB159" s="6">
        <v>0</v>
      </c>
      <c r="BC159" s="6">
        <v>0</v>
      </c>
      <c r="BD159" s="6">
        <v>0</v>
      </c>
      <c r="BE159" s="6">
        <v>0</v>
      </c>
      <c r="BF159" s="6">
        <v>0</v>
      </c>
      <c r="BG159" s="6">
        <v>0</v>
      </c>
      <c r="BH159" s="6">
        <v>1.9305203100000001E-2</v>
      </c>
      <c r="BI159" s="6">
        <v>5.3318571000000002E-3</v>
      </c>
      <c r="BJ159" s="6">
        <v>0.62201642989999995</v>
      </c>
      <c r="BK159" s="6">
        <v>8.4144845600000004E-2</v>
      </c>
      <c r="BL159" s="6">
        <v>0</v>
      </c>
      <c r="BM159" s="6">
        <v>0</v>
      </c>
      <c r="BN159" s="6">
        <v>0</v>
      </c>
      <c r="BO159" s="6">
        <v>0</v>
      </c>
      <c r="BP159" s="6">
        <v>0</v>
      </c>
      <c r="BQ159" s="6">
        <v>0</v>
      </c>
      <c r="BR159" s="6">
        <v>0</v>
      </c>
      <c r="BS159" s="6">
        <v>0</v>
      </c>
      <c r="BT159" s="6">
        <v>0</v>
      </c>
      <c r="BU159" s="6">
        <v>0</v>
      </c>
      <c r="BV159" s="6">
        <v>0</v>
      </c>
      <c r="BW159" s="6">
        <v>0</v>
      </c>
      <c r="BX159" s="6">
        <v>0</v>
      </c>
      <c r="BY159" s="6">
        <v>0</v>
      </c>
      <c r="BZ159" s="6">
        <v>0</v>
      </c>
      <c r="CA159" s="6">
        <v>0</v>
      </c>
      <c r="CB159" s="6">
        <v>0</v>
      </c>
      <c r="CC159" s="6">
        <v>0</v>
      </c>
      <c r="CD159" s="6">
        <v>0</v>
      </c>
      <c r="CE159" s="6">
        <v>0</v>
      </c>
      <c r="CF159" s="6">
        <v>0</v>
      </c>
      <c r="CG159" s="6">
        <v>0</v>
      </c>
      <c r="CH159" s="6">
        <v>0</v>
      </c>
      <c r="CI159" s="6">
        <v>0</v>
      </c>
      <c r="CJ159" s="6">
        <v>0</v>
      </c>
      <c r="CK159" s="6">
        <v>0</v>
      </c>
      <c r="CL159" s="6">
        <v>0</v>
      </c>
      <c r="CM159" s="6">
        <v>0</v>
      </c>
      <c r="CN159" s="6">
        <v>0.50098890070000002</v>
      </c>
      <c r="DM159" s="7">
        <v>0.3728119433</v>
      </c>
      <c r="DN159" s="7">
        <f t="shared" si="2"/>
        <v>99.999980536099983</v>
      </c>
      <c r="DO159" s="7"/>
      <c r="DQ159" s="6">
        <v>4.4848537000000003E-3</v>
      </c>
      <c r="DR159" s="6">
        <v>1.93085484E-2</v>
      </c>
      <c r="DS159" s="6">
        <v>3.4181003E-3</v>
      </c>
      <c r="DT159" s="6">
        <v>5.332781E-3</v>
      </c>
      <c r="DU159" s="6">
        <v>9.5001310000000002E-4</v>
      </c>
      <c r="DV159" s="6">
        <v>3.0996022E-3</v>
      </c>
      <c r="DW159" s="6">
        <v>1.7979648000000001E-2</v>
      </c>
      <c r="DX159" s="6">
        <v>0.17303591970000001</v>
      </c>
      <c r="DY159" s="6">
        <v>0.42800906300000002</v>
      </c>
      <c r="DZ159" s="6">
        <v>83.818847656299994</v>
      </c>
      <c r="EA159" s="6">
        <v>9.8843954499999997E-2</v>
      </c>
      <c r="EB159" s="6">
        <v>0.50107568499999999</v>
      </c>
      <c r="EC159" s="6">
        <v>5.2619624900000002E-2</v>
      </c>
      <c r="ED159" s="6">
        <v>3.1539797799999998E-2</v>
      </c>
      <c r="EE159" s="6">
        <v>9.7674274445000009</v>
      </c>
      <c r="EF159" s="6">
        <v>0.24521003659999999</v>
      </c>
      <c r="EG159" s="6">
        <v>4.8172998427999998</v>
      </c>
      <c r="EH159" s="6">
        <v>1.15170423E-2</v>
      </c>
      <c r="EI159" s="152"/>
    </row>
    <row r="160" spans="1:139" s="2" customFormat="1">
      <c r="A160" s="4">
        <v>46134</v>
      </c>
      <c r="B160" s="3"/>
      <c r="C160" s="3">
        <v>2</v>
      </c>
      <c r="D160" s="90" t="s">
        <v>448</v>
      </c>
      <c r="E160" s="3">
        <v>162.1</v>
      </c>
      <c r="F160" s="3">
        <v>160.80000000000001</v>
      </c>
      <c r="G160" s="3">
        <v>15.007199999999999</v>
      </c>
      <c r="H160" s="3">
        <v>15.0029</v>
      </c>
      <c r="I160" s="3">
        <v>780.53599999999994</v>
      </c>
      <c r="J160" s="3">
        <v>780.29399999999998</v>
      </c>
      <c r="K160" s="3">
        <v>0</v>
      </c>
      <c r="L160" s="3">
        <v>0</v>
      </c>
      <c r="M160" s="3">
        <v>780.01199999999994</v>
      </c>
      <c r="N160" s="3">
        <v>780.44500000000005</v>
      </c>
      <c r="O160" s="3">
        <v>0</v>
      </c>
      <c r="P160" s="3">
        <v>0</v>
      </c>
      <c r="Q160" s="3">
        <v>0.16910500000000001</v>
      </c>
      <c r="R160" s="3">
        <v>1999.35</v>
      </c>
      <c r="S160" s="3">
        <v>1999.48</v>
      </c>
      <c r="T160" s="3">
        <v>0</v>
      </c>
      <c r="U160" s="3">
        <v>0</v>
      </c>
      <c r="V160" s="3">
        <v>2000.33</v>
      </c>
      <c r="W160" s="3">
        <v>1999.24</v>
      </c>
      <c r="X160" s="3">
        <v>0</v>
      </c>
      <c r="Y160" s="3">
        <v>0</v>
      </c>
      <c r="Z160" s="3">
        <v>220</v>
      </c>
      <c r="AA160" s="3">
        <v>2.0018799999999999</v>
      </c>
      <c r="AB160" s="3">
        <v>2.0003099999999998</v>
      </c>
      <c r="AC160" s="3">
        <v>-5.4828300000000003E-2</v>
      </c>
      <c r="AD160" s="3">
        <v>7.3095699999999996E-3</v>
      </c>
      <c r="AE160" s="3">
        <v>1.9972000000000001</v>
      </c>
      <c r="AF160" s="3">
        <v>1.9967699999999999</v>
      </c>
      <c r="AG160" s="3">
        <v>-5.3691700000000002E-2</v>
      </c>
      <c r="AH160" s="3">
        <v>7.8017899999999999E-4</v>
      </c>
      <c r="AI160" s="3">
        <v>21.354733</v>
      </c>
      <c r="AJ160" s="3">
        <v>59.855612999999998</v>
      </c>
      <c r="AK160" s="3"/>
      <c r="AL160" s="6">
        <v>88.577857971</v>
      </c>
      <c r="AM160" s="6">
        <v>83.614456176999994</v>
      </c>
      <c r="AN160" s="6">
        <v>16.246944427999999</v>
      </c>
      <c r="AO160" s="6">
        <v>24.029001235999999</v>
      </c>
      <c r="AR160" s="6">
        <v>5.3094411000000003E-3</v>
      </c>
      <c r="AS160" s="6"/>
      <c r="AT160" s="6"/>
      <c r="AU160" s="6">
        <v>83.749267578000001</v>
      </c>
      <c r="AV160" s="6">
        <v>9.7399797439999993</v>
      </c>
      <c r="AW160" s="6">
        <v>4.8509354590999996</v>
      </c>
      <c r="AX160" s="6"/>
      <c r="AY160" s="6"/>
      <c r="AZ160" s="6"/>
      <c r="BA160" s="6"/>
      <c r="BB160" s="6"/>
      <c r="BC160" s="6"/>
      <c r="BD160" s="6"/>
      <c r="BE160" s="6"/>
      <c r="BF160" s="6"/>
      <c r="BG160" s="6"/>
      <c r="BH160" s="6">
        <v>2.1794676799999999E-2</v>
      </c>
      <c r="BI160" s="6">
        <v>6.0701677999999998E-3</v>
      </c>
      <c r="BJ160" s="6">
        <v>0.62170237299999997</v>
      </c>
      <c r="BK160" s="6">
        <v>7.8179560600000003E-2</v>
      </c>
      <c r="CN160" s="6">
        <v>0.51203292609999995</v>
      </c>
      <c r="DM160" s="6">
        <v>0.41028949619999999</v>
      </c>
      <c r="DN160" s="7">
        <f t="shared" si="2"/>
        <v>99.995561422700007</v>
      </c>
      <c r="DO160" s="7"/>
      <c r="DP160" s="6">
        <v>0</v>
      </c>
      <c r="DQ160" s="6">
        <v>5.3097726999999997E-3</v>
      </c>
      <c r="DR160" s="6">
        <v>2.1796036500000001E-2</v>
      </c>
      <c r="DS160" s="6">
        <v>3.6723319999999999E-3</v>
      </c>
      <c r="DT160" s="6">
        <v>6.0705467999999999E-3</v>
      </c>
      <c r="DU160" s="6">
        <v>7.5230149999999999E-4</v>
      </c>
      <c r="DV160" s="6">
        <v>3.1447983E-3</v>
      </c>
      <c r="DW160" s="6">
        <v>2.01053564E-2</v>
      </c>
      <c r="DX160" s="6">
        <v>0.17526087160000001</v>
      </c>
      <c r="DY160" s="6">
        <v>0.4232301712</v>
      </c>
      <c r="DZ160" s="6">
        <v>83.754493713399995</v>
      </c>
      <c r="EA160" s="6">
        <v>0.15151979030000001</v>
      </c>
      <c r="EB160" s="6">
        <v>0.51206487420000002</v>
      </c>
      <c r="EC160" s="6">
        <v>5.1177799699999998E-2</v>
      </c>
      <c r="ED160" s="6">
        <v>2.7006639200000002E-2</v>
      </c>
      <c r="EE160" s="6">
        <v>9.7405872344999995</v>
      </c>
      <c r="EF160" s="6">
        <v>0.23986876009999999</v>
      </c>
      <c r="EG160" s="6">
        <v>4.8512382506999998</v>
      </c>
      <c r="EH160" s="6">
        <v>1.27191674E-2</v>
      </c>
      <c r="EI160" s="152"/>
    </row>
    <row r="161" spans="1:139" s="2" customFormat="1">
      <c r="A161" s="4">
        <v>46134</v>
      </c>
      <c r="B161" s="3"/>
      <c r="C161" s="3">
        <v>5</v>
      </c>
      <c r="D161" s="90" t="s">
        <v>449</v>
      </c>
      <c r="E161" s="3">
        <v>161.9</v>
      </c>
      <c r="F161" s="3">
        <v>160.69999999999999</v>
      </c>
      <c r="G161" s="3">
        <v>15.005800000000001</v>
      </c>
      <c r="H161" s="3">
        <v>15</v>
      </c>
      <c r="I161" s="3">
        <v>789.31100000000004</v>
      </c>
      <c r="J161" s="3">
        <v>790.72400000000005</v>
      </c>
      <c r="K161" s="3">
        <v>0</v>
      </c>
      <c r="L161" s="3">
        <v>0</v>
      </c>
      <c r="M161" s="3">
        <v>789.86500000000001</v>
      </c>
      <c r="N161" s="3">
        <v>790.36599999999999</v>
      </c>
      <c r="O161" s="3">
        <v>0</v>
      </c>
      <c r="P161" s="3">
        <v>0</v>
      </c>
      <c r="Q161" s="3">
        <v>0.222361</v>
      </c>
      <c r="R161" s="3">
        <v>1998.71</v>
      </c>
      <c r="S161" s="3">
        <v>1999.84</v>
      </c>
      <c r="T161" s="3">
        <v>0</v>
      </c>
      <c r="U161" s="3">
        <v>0</v>
      </c>
      <c r="V161" s="3">
        <v>1999.58</v>
      </c>
      <c r="W161" s="3">
        <v>2000.11</v>
      </c>
      <c r="X161" s="3">
        <v>0</v>
      </c>
      <c r="Y161" s="3">
        <v>0</v>
      </c>
      <c r="Z161" s="3">
        <v>220</v>
      </c>
      <c r="AA161" s="3">
        <v>2.0045500000000001</v>
      </c>
      <c r="AB161" s="3">
        <v>2.0005899999999999</v>
      </c>
      <c r="AC161" s="3">
        <v>-6.8445300000000001E-2</v>
      </c>
      <c r="AD161" s="3">
        <v>4.0051499999999999E-3</v>
      </c>
      <c r="AE161" s="3">
        <v>1.99898</v>
      </c>
      <c r="AF161" s="3">
        <v>1.99796</v>
      </c>
      <c r="AG161" s="3">
        <v>-0.222527</v>
      </c>
      <c r="AH161" s="3">
        <v>-3.7282500000000003E-2</v>
      </c>
      <c r="AI161" s="3">
        <v>22.983027</v>
      </c>
      <c r="AJ161" s="3">
        <v>58.053579999999997</v>
      </c>
      <c r="AK161" s="3"/>
      <c r="AL161" s="6">
        <v>88.542396545000003</v>
      </c>
      <c r="AM161" s="6">
        <v>83.614677428999997</v>
      </c>
      <c r="AN161" s="6">
        <v>16.281232834000001</v>
      </c>
      <c r="AO161" s="6">
        <v>23.913024902</v>
      </c>
      <c r="AR161" s="6">
        <v>7.0175089999999999E-4</v>
      </c>
      <c r="AS161" s="6"/>
      <c r="AT161" s="6"/>
      <c r="AU161" s="280">
        <v>83.964622497999997</v>
      </c>
      <c r="AV161" s="280">
        <v>9.8634185790999993</v>
      </c>
      <c r="AW161" s="280">
        <v>4.9902820587000001</v>
      </c>
      <c r="AX161" s="6"/>
      <c r="AY161" s="6"/>
      <c r="AZ161" s="6"/>
      <c r="BA161" s="6"/>
      <c r="BB161" s="6"/>
      <c r="BC161" s="6"/>
      <c r="BD161" s="6"/>
      <c r="BE161" s="6"/>
      <c r="BF161" s="6"/>
      <c r="BG161" s="6"/>
      <c r="BH161" s="6">
        <v>1.4267894000000001E-3</v>
      </c>
      <c r="BI161" s="6">
        <v>0</v>
      </c>
      <c r="BJ161" s="6">
        <v>0.41845545169999998</v>
      </c>
      <c r="BK161" s="6"/>
      <c r="CN161" s="6">
        <v>0.57496517899999999</v>
      </c>
      <c r="DM161" s="6">
        <v>0.1861131191</v>
      </c>
      <c r="DN161" s="7">
        <f t="shared" si="2"/>
        <v>99.999985425900007</v>
      </c>
      <c r="DO161" s="7"/>
      <c r="DP161" s="6">
        <v>7.0189489999999998E-4</v>
      </c>
      <c r="DQ161" s="6">
        <v>1.4270821999999999E-3</v>
      </c>
      <c r="DR161" s="6">
        <v>3.5769250000000001E-4</v>
      </c>
      <c r="DS161" s="6">
        <v>1.8306001E-3</v>
      </c>
      <c r="DT161" s="6">
        <v>4.03574742E-2</v>
      </c>
      <c r="DU161" s="6">
        <v>0.37599554660000001</v>
      </c>
      <c r="DV161" s="6">
        <v>83.981857299799998</v>
      </c>
      <c r="DW161" s="6">
        <v>0.57508313659999999</v>
      </c>
      <c r="DX161" s="6">
        <v>9.8535372E-3</v>
      </c>
      <c r="DY161" s="6">
        <v>9.8654432297000003</v>
      </c>
      <c r="DZ161" s="6">
        <v>0.13706482950000001</v>
      </c>
      <c r="EA161" s="6">
        <v>4.9913063049000002</v>
      </c>
      <c r="EB161" s="6">
        <v>1.87363233E-2</v>
      </c>
      <c r="EC161" s="6"/>
      <c r="ED161" s="6"/>
      <c r="EE161" s="6"/>
      <c r="EF161" s="6"/>
      <c r="EG161" s="6"/>
      <c r="EH161" s="6"/>
      <c r="EI161" s="152"/>
    </row>
    <row r="162" spans="1:139" s="2" customFormat="1">
      <c r="A162" s="4">
        <v>46134</v>
      </c>
      <c r="B162" s="3"/>
      <c r="C162" s="3">
        <v>6</v>
      </c>
      <c r="D162" s="90" t="s">
        <v>450</v>
      </c>
      <c r="E162" s="3">
        <v>162</v>
      </c>
      <c r="F162" s="3">
        <v>160.69999999999999</v>
      </c>
      <c r="G162" s="3">
        <v>15.013</v>
      </c>
      <c r="H162" s="3">
        <v>14.995699999999999</v>
      </c>
      <c r="I162" s="3">
        <v>705.53399999999999</v>
      </c>
      <c r="J162" s="3">
        <v>712.26099999999997</v>
      </c>
      <c r="K162" s="3">
        <v>0</v>
      </c>
      <c r="L162" s="3">
        <v>0</v>
      </c>
      <c r="M162" s="3">
        <v>708.99900000000002</v>
      </c>
      <c r="N162" s="3">
        <v>710.59100000000001</v>
      </c>
      <c r="O162" s="3">
        <v>0</v>
      </c>
      <c r="P162" s="3">
        <v>0</v>
      </c>
      <c r="Q162" s="3">
        <v>0.28125</v>
      </c>
      <c r="R162" s="3">
        <v>2000.43</v>
      </c>
      <c r="S162" s="3">
        <v>2000.4</v>
      </c>
      <c r="T162" s="3">
        <v>0</v>
      </c>
      <c r="U162" s="3">
        <v>0</v>
      </c>
      <c r="V162" s="3">
        <v>1999.82</v>
      </c>
      <c r="W162" s="3">
        <v>2000.09</v>
      </c>
      <c r="X162" s="3">
        <v>0</v>
      </c>
      <c r="Y162" s="3">
        <v>0</v>
      </c>
      <c r="Z162" s="3">
        <v>220.2</v>
      </c>
      <c r="AA162" s="3">
        <v>1.99936</v>
      </c>
      <c r="AB162" s="3">
        <v>2.00339</v>
      </c>
      <c r="AC162" s="3">
        <v>-6.0080599999999998E-2</v>
      </c>
      <c r="AD162" s="3">
        <v>2.3603000000000001E-3</v>
      </c>
      <c r="AE162" s="3">
        <v>2.0030700000000001</v>
      </c>
      <c r="AF162" s="3">
        <v>2.00319</v>
      </c>
      <c r="AG162" s="3">
        <v>-7.2575500000000001E-2</v>
      </c>
      <c r="AH162" s="3">
        <v>-9.9651700000000006E-3</v>
      </c>
      <c r="AI162" s="3">
        <v>22.180275999999999</v>
      </c>
      <c r="AJ162" s="3">
        <v>59.213450000000002</v>
      </c>
      <c r="AK162" s="3"/>
      <c r="AL162" s="6">
        <v>88.552001953000001</v>
      </c>
      <c r="AM162" s="6">
        <v>83.613922118999994</v>
      </c>
      <c r="AN162" s="6">
        <v>16.23874855</v>
      </c>
      <c r="AO162" s="6">
        <v>24.163009643999999</v>
      </c>
      <c r="AR162" s="6">
        <v>6.4580738999999998E-3</v>
      </c>
      <c r="AS162" s="6"/>
      <c r="AT162" s="6"/>
      <c r="AU162" s="6">
        <v>83.796592712000006</v>
      </c>
      <c r="AV162" s="6">
        <v>9.6584634780999998</v>
      </c>
      <c r="AW162" s="6">
        <v>4.6794090271000002</v>
      </c>
      <c r="AX162" s="6"/>
      <c r="AY162" s="6"/>
      <c r="AZ162" s="6"/>
      <c r="BA162" s="6"/>
      <c r="BB162" s="6"/>
      <c r="BC162" s="6"/>
      <c r="BD162" s="6"/>
      <c r="BE162" s="6"/>
      <c r="BF162" s="6"/>
      <c r="BG162" s="6"/>
      <c r="BH162" s="6">
        <v>2.6897246E-2</v>
      </c>
      <c r="BI162" s="6">
        <v>7.2737108000000003E-3</v>
      </c>
      <c r="BJ162" s="6">
        <v>0.72161293029999996</v>
      </c>
      <c r="BK162" s="6">
        <v>0.1176644117</v>
      </c>
      <c r="CN162" s="6">
        <v>0.51330590249999997</v>
      </c>
      <c r="DM162" s="6">
        <v>0.46658989789999999</v>
      </c>
      <c r="DN162" s="7">
        <f t="shared" si="2"/>
        <v>99.994267390300024</v>
      </c>
      <c r="DO162" s="7"/>
      <c r="DP162" s="6">
        <v>9.7915960000000005E-4</v>
      </c>
      <c r="DQ162" s="6">
        <v>6.4588357000000002E-3</v>
      </c>
      <c r="DR162" s="6">
        <v>2.69004181E-2</v>
      </c>
      <c r="DS162" s="6">
        <v>4.8284697999999996E-3</v>
      </c>
      <c r="DT162" s="6">
        <v>7.2745689999999998E-3</v>
      </c>
      <c r="DU162" s="6">
        <v>9.0142140000000004E-4</v>
      </c>
      <c r="DV162" s="6">
        <v>4.1642412999999996E-3</v>
      </c>
      <c r="DW162" s="6">
        <v>2.6462497200000001E-2</v>
      </c>
      <c r="DX162" s="6">
        <v>0.23578271270000001</v>
      </c>
      <c r="DY162" s="6">
        <v>0.4552885592</v>
      </c>
      <c r="DZ162" s="6">
        <v>83.806472778300005</v>
      </c>
      <c r="EA162" s="6">
        <v>0.1563546807</v>
      </c>
      <c r="EB162" s="6">
        <v>0.51336640119999999</v>
      </c>
      <c r="EC162" s="6">
        <v>7.3529176399999993E-2</v>
      </c>
      <c r="ED162" s="6">
        <v>4.4149104500000001E-2</v>
      </c>
      <c r="EE162" s="6">
        <v>9.6596031188999998</v>
      </c>
      <c r="EF162" s="6">
        <v>0.28744110470000001</v>
      </c>
      <c r="EG162" s="6">
        <v>4.6799612044999996</v>
      </c>
      <c r="EH162" s="6">
        <v>1.0083481700000001E-2</v>
      </c>
      <c r="EI162" s="152"/>
    </row>
    <row r="163" spans="1:139" s="2" customFormat="1">
      <c r="A163" s="4">
        <v>46134</v>
      </c>
      <c r="B163" s="3"/>
      <c r="C163" s="3">
        <v>1</v>
      </c>
      <c r="D163" s="90" t="s">
        <v>451</v>
      </c>
      <c r="E163" s="3">
        <v>161.69999999999999</v>
      </c>
      <c r="F163" s="3">
        <v>160.5</v>
      </c>
      <c r="G163" s="3">
        <v>15.0116</v>
      </c>
      <c r="H163" s="3">
        <v>15.0014</v>
      </c>
      <c r="I163" s="3">
        <v>818.73800000000006</v>
      </c>
      <c r="J163" s="3">
        <v>819.32399999999996</v>
      </c>
      <c r="K163" s="3">
        <v>0</v>
      </c>
      <c r="L163" s="3">
        <v>0</v>
      </c>
      <c r="M163" s="3">
        <v>818.48299999999995</v>
      </c>
      <c r="N163" s="3">
        <v>819.29600000000005</v>
      </c>
      <c r="O163" s="3">
        <v>0</v>
      </c>
      <c r="P163" s="3">
        <v>0</v>
      </c>
      <c r="Q163" s="3">
        <v>0.32230599999999998</v>
      </c>
      <c r="R163" s="3">
        <v>1999.99</v>
      </c>
      <c r="S163" s="3">
        <v>2000.1</v>
      </c>
      <c r="T163" s="3">
        <v>0</v>
      </c>
      <c r="U163" s="3">
        <v>0</v>
      </c>
      <c r="V163" s="3">
        <v>1999.87</v>
      </c>
      <c r="W163" s="3">
        <v>1999.27</v>
      </c>
      <c r="X163" s="3">
        <v>0</v>
      </c>
      <c r="Y163" s="3">
        <v>0</v>
      </c>
      <c r="Z163" s="3">
        <v>219.9</v>
      </c>
      <c r="AA163" s="3">
        <v>1.99566</v>
      </c>
      <c r="AB163" s="3">
        <v>1.9995099999999999</v>
      </c>
      <c r="AC163" s="3">
        <v>-5.8984799999999997E-2</v>
      </c>
      <c r="AD163" s="3">
        <v>2.0847800000000001E-5</v>
      </c>
      <c r="AE163" s="3">
        <v>1.9996799999999999</v>
      </c>
      <c r="AF163" s="3">
        <v>1.9974400000000001</v>
      </c>
      <c r="AG163" s="3">
        <v>-5.4579299999999997E-2</v>
      </c>
      <c r="AH163" s="3">
        <v>-5.2375299999999998E-3</v>
      </c>
      <c r="AI163" s="3">
        <v>24.164885000000002</v>
      </c>
      <c r="AJ163" s="3">
        <v>58.151876000000001</v>
      </c>
      <c r="AK163" s="3"/>
      <c r="AL163" s="6">
        <v>88.574462890999996</v>
      </c>
      <c r="AM163" s="6">
        <v>83.614547729999998</v>
      </c>
      <c r="AN163" s="6">
        <v>16.245458602999999</v>
      </c>
      <c r="AO163" s="6">
        <v>24.050455093</v>
      </c>
      <c r="AR163" s="6">
        <v>4.8805148999999997E-3</v>
      </c>
      <c r="AS163" s="6"/>
      <c r="AT163" s="6"/>
      <c r="AU163" s="6">
        <v>83.758163452000005</v>
      </c>
      <c r="AV163" s="6">
        <v>9.7408437728999999</v>
      </c>
      <c r="AW163" s="6">
        <v>4.8078289031999999</v>
      </c>
      <c r="AX163" s="6"/>
      <c r="AY163" s="6"/>
      <c r="AZ163" s="6"/>
      <c r="BA163" s="6"/>
      <c r="BB163" s="6"/>
      <c r="BC163" s="6"/>
      <c r="BD163" s="6"/>
      <c r="BE163" s="6"/>
      <c r="BF163" s="6"/>
      <c r="BG163" s="6"/>
      <c r="BH163" s="6">
        <v>1.9568111700000002E-2</v>
      </c>
      <c r="BI163" s="6">
        <v>5.9903865000000001E-3</v>
      </c>
      <c r="BJ163" s="6">
        <v>0.63010781999999999</v>
      </c>
      <c r="BK163" s="6">
        <v>8.9126095200000005E-2</v>
      </c>
      <c r="CN163" s="6">
        <v>0.51985663179999997</v>
      </c>
      <c r="DM163" s="6">
        <v>0.41931399699999999</v>
      </c>
      <c r="DN163" s="7">
        <f t="shared" si="2"/>
        <v>99.995679685200017</v>
      </c>
      <c r="DO163" s="7"/>
      <c r="DQ163" s="6">
        <v>4.8810900000000003E-3</v>
      </c>
      <c r="DR163" s="6">
        <v>1.9570415800000001E-2</v>
      </c>
      <c r="DS163" s="6">
        <v>3.5686671999999998E-3</v>
      </c>
      <c r="DT163" s="6">
        <v>5.9910919999999999E-3</v>
      </c>
      <c r="DU163" s="6">
        <v>7.4595219999999999E-4</v>
      </c>
      <c r="DV163" s="6">
        <v>2.9569010000000001E-3</v>
      </c>
      <c r="DW163" s="6">
        <v>1.8423607599999999E-2</v>
      </c>
      <c r="DX163" s="6">
        <v>0.17926530539999999</v>
      </c>
      <c r="DY163" s="6">
        <v>0.4295361936</v>
      </c>
      <c r="DZ163" s="6">
        <v>83.768028259299996</v>
      </c>
      <c r="EA163" s="6">
        <v>0.13667996230000001</v>
      </c>
      <c r="EB163" s="6">
        <v>0.51991784569999999</v>
      </c>
      <c r="EC163" s="6">
        <v>5.5885869999999997E-2</v>
      </c>
      <c r="ED163" s="6">
        <v>3.3250726799999998E-2</v>
      </c>
      <c r="EE163" s="6">
        <v>9.7419910431000005</v>
      </c>
      <c r="EF163" s="6">
        <v>0.25918382410000002</v>
      </c>
      <c r="EG163" s="6">
        <v>4.8083953856999999</v>
      </c>
      <c r="EH163" s="6">
        <v>1.16966181E-2</v>
      </c>
      <c r="EI163" s="152"/>
    </row>
    <row r="164" spans="1:139" s="2" customFormat="1">
      <c r="A164" s="4">
        <v>46134</v>
      </c>
      <c r="B164" s="3"/>
      <c r="C164" s="3">
        <v>2</v>
      </c>
      <c r="D164" s="90" t="s">
        <v>452</v>
      </c>
      <c r="E164" s="3">
        <v>161.80000000000001</v>
      </c>
      <c r="F164" s="3">
        <v>160.5</v>
      </c>
      <c r="G164" s="3">
        <v>14.9986</v>
      </c>
      <c r="H164" s="3">
        <v>15.007199999999999</v>
      </c>
      <c r="I164" s="3">
        <v>845.30100000000004</v>
      </c>
      <c r="J164" s="3">
        <v>847.89099999999996</v>
      </c>
      <c r="K164" s="3">
        <v>0</v>
      </c>
      <c r="L164" s="3">
        <v>0</v>
      </c>
      <c r="M164" s="3">
        <v>846.51599999999996</v>
      </c>
      <c r="N164" s="3">
        <v>848.822</v>
      </c>
      <c r="O164" s="3">
        <v>0</v>
      </c>
      <c r="P164" s="3">
        <v>0</v>
      </c>
      <c r="Q164" s="3">
        <v>0.30242599999999997</v>
      </c>
      <c r="R164" s="3">
        <v>2000.78</v>
      </c>
      <c r="S164" s="3">
        <v>2000.12</v>
      </c>
      <c r="T164" s="3">
        <v>0</v>
      </c>
      <c r="U164" s="3">
        <v>0</v>
      </c>
      <c r="V164" s="3">
        <v>2000.25</v>
      </c>
      <c r="W164" s="3">
        <v>2000.01</v>
      </c>
      <c r="X164" s="3">
        <v>0</v>
      </c>
      <c r="Y164" s="3">
        <v>0</v>
      </c>
      <c r="Z164" s="3">
        <v>219.9</v>
      </c>
      <c r="AA164" s="3">
        <v>2.0040900000000001</v>
      </c>
      <c r="AB164" s="3">
        <v>2.00177</v>
      </c>
      <c r="AC164" s="3">
        <v>-5.7537100000000001E-2</v>
      </c>
      <c r="AD164" s="3">
        <v>4.3862399999999996E-3</v>
      </c>
      <c r="AE164" s="3">
        <v>1.9986999999999999</v>
      </c>
      <c r="AF164" s="3">
        <v>2.0108100000000002</v>
      </c>
      <c r="AG164" s="3">
        <v>-0.118938</v>
      </c>
      <c r="AH164" s="3">
        <v>-3.4034599999999998E-2</v>
      </c>
      <c r="AI164" s="3">
        <v>21.913837999999998</v>
      </c>
      <c r="AJ164" s="3">
        <v>59.467748999999998</v>
      </c>
      <c r="AK164" s="3"/>
      <c r="AL164" s="6">
        <v>88.569000243999994</v>
      </c>
      <c r="AM164" s="6">
        <v>83.614334106000001</v>
      </c>
      <c r="AN164" s="6">
        <v>16.24769783</v>
      </c>
      <c r="AO164" s="6">
        <v>24.048669815</v>
      </c>
      <c r="AR164" s="6">
        <v>5.3767548000000004E-3</v>
      </c>
      <c r="AS164" s="6"/>
      <c r="AT164" s="6"/>
      <c r="AU164" s="6">
        <v>83.779800414999997</v>
      </c>
      <c r="AV164" s="6">
        <v>9.7302751540999992</v>
      </c>
      <c r="AW164" s="6">
        <v>4.8235144615000003</v>
      </c>
      <c r="AX164" s="6"/>
      <c r="AY164" s="6"/>
      <c r="AZ164" s="6"/>
      <c r="BA164" s="6"/>
      <c r="BB164" s="6"/>
      <c r="BC164" s="6"/>
      <c r="BD164" s="6"/>
      <c r="BE164" s="6"/>
      <c r="BF164" s="6"/>
      <c r="BG164" s="6"/>
      <c r="BH164" s="6">
        <v>2.1941959899999999E-2</v>
      </c>
      <c r="BI164" s="6">
        <v>6.0320165999999996E-3</v>
      </c>
      <c r="BJ164" s="6">
        <v>0.62548995019999998</v>
      </c>
      <c r="BK164" s="6">
        <v>8.0922514200000004E-2</v>
      </c>
      <c r="CN164" s="6">
        <v>0.51592302320000005</v>
      </c>
      <c r="DM164" s="6">
        <v>0.4062134624</v>
      </c>
      <c r="DN164" s="7">
        <f t="shared" si="2"/>
        <v>99.995489711900007</v>
      </c>
      <c r="DO164" s="7"/>
      <c r="DP164" s="6">
        <v>0</v>
      </c>
      <c r="DQ164" s="6">
        <v>5.3771486999999998E-3</v>
      </c>
      <c r="DR164" s="6">
        <v>2.1943567300000001E-2</v>
      </c>
      <c r="DS164" s="6">
        <v>3.8871714000000002E-3</v>
      </c>
      <c r="DT164" s="6">
        <v>6.0324584999999998E-3</v>
      </c>
      <c r="DU164" s="6">
        <v>6.4298700000000003E-4</v>
      </c>
      <c r="DV164" s="6">
        <v>3.0869283000000002E-3</v>
      </c>
      <c r="DW164" s="6">
        <v>2.02469025E-2</v>
      </c>
      <c r="DX164" s="6">
        <v>0.17763696609999999</v>
      </c>
      <c r="DY164" s="6">
        <v>0.42456495760000001</v>
      </c>
      <c r="DZ164" s="6">
        <v>83.785934448199995</v>
      </c>
      <c r="EA164" s="6">
        <v>0.14604103569999999</v>
      </c>
      <c r="EB164" s="6">
        <v>0.51596081260000004</v>
      </c>
      <c r="EC164" s="6">
        <v>5.1979549200000003E-2</v>
      </c>
      <c r="ED164" s="6">
        <v>2.8948888200000002E-2</v>
      </c>
      <c r="EE164" s="6">
        <v>9.7309875487999999</v>
      </c>
      <c r="EF164" s="6">
        <v>0.24124149980000001</v>
      </c>
      <c r="EG164" s="6">
        <v>4.8238677979000002</v>
      </c>
      <c r="EH164" s="6">
        <v>1.16214892E-2</v>
      </c>
      <c r="EI164" s="152"/>
    </row>
    <row r="165" spans="1:139" s="2" customFormat="1">
      <c r="A165" s="4">
        <v>46134</v>
      </c>
      <c r="B165" s="3"/>
      <c r="C165" s="3">
        <v>5</v>
      </c>
      <c r="D165" s="90" t="s">
        <v>453</v>
      </c>
      <c r="E165" s="3">
        <v>162.19999999999999</v>
      </c>
      <c r="F165" s="3">
        <v>161</v>
      </c>
      <c r="G165" s="3">
        <v>15.0116</v>
      </c>
      <c r="H165" s="3">
        <v>15.007199999999999</v>
      </c>
      <c r="I165" s="3">
        <v>771.74199999999996</v>
      </c>
      <c r="J165" s="3">
        <v>772.35699999999997</v>
      </c>
      <c r="K165" s="3">
        <v>0</v>
      </c>
      <c r="L165" s="3">
        <v>0</v>
      </c>
      <c r="M165" s="3">
        <v>771.96100000000001</v>
      </c>
      <c r="N165" s="3">
        <v>771.27499999999998</v>
      </c>
      <c r="O165" s="3">
        <v>0</v>
      </c>
      <c r="P165" s="3">
        <v>0</v>
      </c>
      <c r="Q165" s="3">
        <v>0.40546199999999999</v>
      </c>
      <c r="R165" s="3">
        <v>1999.44</v>
      </c>
      <c r="S165" s="3">
        <v>2000.18</v>
      </c>
      <c r="T165" s="3">
        <v>0</v>
      </c>
      <c r="U165" s="3">
        <v>0</v>
      </c>
      <c r="V165" s="3">
        <v>1999.66</v>
      </c>
      <c r="W165" s="3">
        <v>1999.72</v>
      </c>
      <c r="X165" s="3">
        <v>0</v>
      </c>
      <c r="Y165" s="3">
        <v>0</v>
      </c>
      <c r="Z165" s="3">
        <v>219.9</v>
      </c>
      <c r="AA165" s="3">
        <v>1.99823</v>
      </c>
      <c r="AB165" s="3">
        <v>2.0007999999999999</v>
      </c>
      <c r="AC165" s="3">
        <v>-7.3374300000000003E-2</v>
      </c>
      <c r="AD165" s="3">
        <v>2.00424E-3</v>
      </c>
      <c r="AE165" s="3">
        <v>2.0012099999999999</v>
      </c>
      <c r="AF165" s="3">
        <v>1.9938400000000001</v>
      </c>
      <c r="AG165" s="3">
        <v>-6.4736100000000005E-2</v>
      </c>
      <c r="AH165" s="3">
        <v>-1.8357499999999999E-2</v>
      </c>
      <c r="AI165" s="3">
        <v>23.349909</v>
      </c>
      <c r="AJ165" s="3">
        <v>57.821556000000001</v>
      </c>
      <c r="AK165" s="3"/>
      <c r="AL165" s="6">
        <v>88.541931152000004</v>
      </c>
      <c r="AM165" s="6">
        <v>83.614318847999996</v>
      </c>
      <c r="AN165" s="6">
        <v>16.281833648999999</v>
      </c>
      <c r="AO165" s="6">
        <v>23.902420043999999</v>
      </c>
      <c r="AR165" s="6">
        <v>0</v>
      </c>
      <c r="AS165" s="6"/>
      <c r="AT165" s="6"/>
      <c r="AU165" s="280">
        <v>83.991333007999998</v>
      </c>
      <c r="AV165" s="280">
        <v>9.8589801787999995</v>
      </c>
      <c r="AW165" s="280">
        <v>4.9888300896000004</v>
      </c>
      <c r="AX165" s="6"/>
      <c r="AY165" s="6"/>
      <c r="AZ165" s="6"/>
      <c r="BA165" s="6"/>
      <c r="BB165" s="6"/>
      <c r="BC165" s="6"/>
      <c r="BD165" s="6"/>
      <c r="BE165" s="6"/>
      <c r="BF165" s="6"/>
      <c r="BG165" s="6"/>
      <c r="BH165" s="6"/>
      <c r="BI165" s="6"/>
      <c r="BJ165" s="6">
        <v>0.41686391830000002</v>
      </c>
      <c r="BK165" s="6"/>
      <c r="CN165" s="6">
        <v>0.55825477840000004</v>
      </c>
      <c r="DM165" s="6">
        <v>0.18451629580000001</v>
      </c>
      <c r="DN165" s="7">
        <f t="shared" si="2"/>
        <v>99.998778268899983</v>
      </c>
      <c r="DO165" s="7"/>
      <c r="DP165" s="6">
        <v>1.2116747000000001E-3</v>
      </c>
      <c r="DQ165" s="6">
        <v>1.8756235E-3</v>
      </c>
      <c r="DR165" s="6">
        <v>4.0082573900000001E-2</v>
      </c>
      <c r="DS165" s="6">
        <v>0.37499034399999998</v>
      </c>
      <c r="DT165" s="6">
        <v>84.008392334000007</v>
      </c>
      <c r="DU165" s="6">
        <v>0.55836814639999999</v>
      </c>
      <c r="DV165" s="6">
        <v>9.7798845000000006E-3</v>
      </c>
      <c r="DW165" s="6">
        <v>9.8609819412000004</v>
      </c>
      <c r="DX165" s="6">
        <v>0.13585226240000001</v>
      </c>
      <c r="DY165" s="6">
        <v>4.9898428917000004</v>
      </c>
      <c r="DZ165" s="6">
        <v>1.8604172400000001E-2</v>
      </c>
      <c r="EA165" s="6"/>
      <c r="EB165" s="6"/>
      <c r="EC165" s="6"/>
      <c r="ED165" s="6"/>
      <c r="EE165" s="6"/>
      <c r="EF165" s="6"/>
      <c r="EG165" s="6"/>
      <c r="EH165" s="6"/>
      <c r="EI165" s="152"/>
    </row>
    <row r="166" spans="1:139" s="2" customFormat="1">
      <c r="A166" s="4">
        <v>46134</v>
      </c>
      <c r="B166" s="3"/>
      <c r="C166" s="3">
        <v>6</v>
      </c>
      <c r="D166" s="90" t="s">
        <v>454</v>
      </c>
      <c r="E166" s="3">
        <v>161.9</v>
      </c>
      <c r="F166" s="3">
        <v>160.6</v>
      </c>
      <c r="G166" s="3">
        <v>15.0014</v>
      </c>
      <c r="H166" s="3">
        <v>15</v>
      </c>
      <c r="I166" s="3">
        <v>758.86599999999999</v>
      </c>
      <c r="J166" s="3">
        <v>758.89599999999996</v>
      </c>
      <c r="K166" s="3">
        <v>0</v>
      </c>
      <c r="L166" s="3">
        <v>0</v>
      </c>
      <c r="M166" s="3">
        <v>758.49599999999998</v>
      </c>
      <c r="N166" s="3">
        <v>757.85400000000004</v>
      </c>
      <c r="O166" s="3">
        <v>0</v>
      </c>
      <c r="P166" s="3">
        <v>0</v>
      </c>
      <c r="Q166" s="3">
        <v>0.20721899999999999</v>
      </c>
      <c r="R166" s="3">
        <v>1999.22</v>
      </c>
      <c r="S166" s="3">
        <v>1999.45</v>
      </c>
      <c r="T166" s="3">
        <v>0</v>
      </c>
      <c r="U166" s="3">
        <v>0</v>
      </c>
      <c r="V166" s="3">
        <v>1999.66</v>
      </c>
      <c r="W166" s="3">
        <v>2000.18</v>
      </c>
      <c r="X166" s="3">
        <v>0</v>
      </c>
      <c r="Y166" s="3">
        <v>0</v>
      </c>
      <c r="Z166" s="3">
        <v>219.9</v>
      </c>
      <c r="AA166" s="3">
        <v>2.0039500000000001</v>
      </c>
      <c r="AB166" s="3">
        <v>1.9995099999999999</v>
      </c>
      <c r="AC166" s="3">
        <v>-7.8283900000000003E-2</v>
      </c>
      <c r="AD166" s="3">
        <v>2.02717E-3</v>
      </c>
      <c r="AE166" s="3">
        <v>1.9999800000000001</v>
      </c>
      <c r="AF166" s="3">
        <v>1.9970600000000001</v>
      </c>
      <c r="AG166" s="3">
        <v>-0.215923</v>
      </c>
      <c r="AH166" s="3">
        <v>-5.2505200000000002E-2</v>
      </c>
      <c r="AI166" s="3">
        <v>22.023855000000001</v>
      </c>
      <c r="AJ166" s="3">
        <v>58.983961000000001</v>
      </c>
      <c r="AK166" s="3"/>
      <c r="AL166" s="6">
        <v>88.567276000999996</v>
      </c>
      <c r="AM166" s="6">
        <v>83.614318847999996</v>
      </c>
      <c r="AN166" s="6">
        <v>16.238311767999999</v>
      </c>
      <c r="AO166" s="6">
        <v>24.131862640000001</v>
      </c>
      <c r="AR166" s="6">
        <v>6.3911076000000002E-3</v>
      </c>
      <c r="AS166" s="6"/>
      <c r="AT166" s="6"/>
      <c r="AU166" s="6">
        <v>83.738006592000005</v>
      </c>
      <c r="AV166" s="6">
        <v>9.6519937514999992</v>
      </c>
      <c r="AW166" s="6">
        <v>4.7480473518000004</v>
      </c>
      <c r="AX166" s="6"/>
      <c r="AY166" s="6"/>
      <c r="AZ166" s="6"/>
      <c r="BA166" s="6"/>
      <c r="BB166" s="6"/>
      <c r="BC166" s="6"/>
      <c r="BD166" s="6"/>
      <c r="BE166" s="6"/>
      <c r="BF166" s="6"/>
      <c r="BG166" s="6"/>
      <c r="BH166" s="6">
        <v>2.65376493E-2</v>
      </c>
      <c r="BI166" s="6">
        <v>7.2108501999999996E-3</v>
      </c>
      <c r="BJ166" s="6">
        <v>0.71981430049999995</v>
      </c>
      <c r="BK166" s="6">
        <v>0.1178420186</v>
      </c>
      <c r="CN166" s="6">
        <v>0.51135534049999998</v>
      </c>
      <c r="DM166" s="6">
        <v>0.46750679610000001</v>
      </c>
      <c r="DN166" s="7">
        <f t="shared" si="2"/>
        <v>99.994705758099997</v>
      </c>
      <c r="DO166" s="7"/>
      <c r="DP166" s="6">
        <v>8.3718750000000004E-4</v>
      </c>
      <c r="DQ166" s="6">
        <v>6.3919323E-3</v>
      </c>
      <c r="DR166" s="6">
        <v>2.65410729E-2</v>
      </c>
      <c r="DS166" s="6">
        <v>4.5703923999999996E-3</v>
      </c>
      <c r="DT166" s="6">
        <v>7.2117806000000003E-3</v>
      </c>
      <c r="DU166" s="6">
        <v>7.2893060000000002E-4</v>
      </c>
      <c r="DV166" s="6">
        <v>3.9274041000000003E-3</v>
      </c>
      <c r="DW166" s="6">
        <v>2.6163591100000001E-2</v>
      </c>
      <c r="DX166" s="6">
        <v>0.23488469419999999</v>
      </c>
      <c r="DY166" s="6">
        <v>0.45493149760000001</v>
      </c>
      <c r="DZ166" s="6">
        <v>83.748809814500007</v>
      </c>
      <c r="EA166" s="6">
        <v>0.15307463709999999</v>
      </c>
      <c r="EB166" s="6">
        <v>0.51142126320000003</v>
      </c>
      <c r="EC166" s="6">
        <v>7.3947541399999997E-2</v>
      </c>
      <c r="ED166" s="6">
        <v>4.39096764E-2</v>
      </c>
      <c r="EE166" s="6">
        <v>9.6532392502000004</v>
      </c>
      <c r="EF166" s="6">
        <v>0.28984615209999998</v>
      </c>
      <c r="EG166" s="6">
        <v>4.7486596106999999</v>
      </c>
      <c r="EH166" s="6">
        <v>1.09119192E-2</v>
      </c>
      <c r="EI166" s="152"/>
    </row>
    <row r="167" spans="1:139" s="2" customFormat="1">
      <c r="A167" s="4"/>
      <c r="B167" s="3"/>
      <c r="C167" s="3"/>
      <c r="D167" s="90"/>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6"/>
      <c r="AM167" s="6"/>
      <c r="AN167" s="6"/>
      <c r="AO167" s="6"/>
      <c r="AR167" s="6"/>
      <c r="AS167" s="6"/>
      <c r="AT167" s="6"/>
      <c r="AU167" s="6"/>
      <c r="AV167" s="6"/>
      <c r="AW167" s="6"/>
      <c r="AX167" s="6"/>
      <c r="AY167" s="6"/>
      <c r="AZ167" s="6"/>
      <c r="BA167" s="6"/>
      <c r="BB167" s="6"/>
      <c r="BC167" s="6"/>
      <c r="BD167" s="6"/>
      <c r="BE167" s="6"/>
      <c r="BF167" s="6"/>
      <c r="BG167" s="6"/>
      <c r="BH167" s="6"/>
      <c r="BI167" s="6"/>
      <c r="BJ167" s="6"/>
      <c r="BK167" s="6"/>
      <c r="CN167" s="6"/>
      <c r="DM167" s="6"/>
      <c r="DN167" s="7"/>
      <c r="DO167" s="7"/>
      <c r="EI167" s="152"/>
    </row>
    <row r="168" spans="1:139" s="2" customFormat="1">
      <c r="A168" s="4"/>
      <c r="B168" s="3"/>
      <c r="C168" s="3"/>
      <c r="D168" s="90"/>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6"/>
      <c r="AM168" s="6"/>
      <c r="AN168" s="6"/>
      <c r="AO168" s="6"/>
      <c r="AR168" s="6"/>
      <c r="AS168" s="6"/>
      <c r="AT168" s="6"/>
      <c r="AU168" s="6"/>
      <c r="AV168" s="6"/>
      <c r="AW168" s="6"/>
      <c r="AX168" s="6"/>
      <c r="AY168" s="6"/>
      <c r="AZ168" s="6"/>
      <c r="BA168" s="6"/>
      <c r="BB168" s="6"/>
      <c r="BC168" s="6"/>
      <c r="BD168" s="6"/>
      <c r="BE168" s="6"/>
      <c r="BF168" s="6"/>
      <c r="BG168" s="6"/>
      <c r="BH168" s="6"/>
      <c r="BI168" s="6"/>
      <c r="BJ168" s="6"/>
      <c r="BK168" s="6"/>
      <c r="CN168" s="6"/>
      <c r="DM168" s="6"/>
      <c r="DN168" s="7"/>
      <c r="DO168" s="7"/>
      <c r="EI168" s="152"/>
    </row>
    <row r="169" spans="1:139" s="2" customFormat="1">
      <c r="A169" s="4">
        <v>46134</v>
      </c>
      <c r="B169" s="3"/>
      <c r="C169" s="3">
        <v>5</v>
      </c>
      <c r="D169" s="90" t="s">
        <v>455</v>
      </c>
      <c r="E169" s="3">
        <v>161.80000000000001</v>
      </c>
      <c r="F169" s="3">
        <v>160.4</v>
      </c>
      <c r="G169" s="3">
        <v>15.007199999999999</v>
      </c>
      <c r="H169" s="3">
        <v>15.007199999999999</v>
      </c>
      <c r="I169" s="3">
        <v>712.45</v>
      </c>
      <c r="J169" s="3">
        <v>714.51099999999997</v>
      </c>
      <c r="K169" s="3">
        <v>0</v>
      </c>
      <c r="L169" s="3">
        <v>0</v>
      </c>
      <c r="M169" s="3">
        <v>708.05700000000002</v>
      </c>
      <c r="N169" s="3">
        <v>708.19</v>
      </c>
      <c r="O169" s="3">
        <v>0</v>
      </c>
      <c r="P169" s="3">
        <v>0</v>
      </c>
      <c r="Q169" s="3">
        <v>0.31296099999999999</v>
      </c>
      <c r="R169" s="3">
        <v>2000.14</v>
      </c>
      <c r="S169" s="3">
        <v>1999.9</v>
      </c>
      <c r="T169" s="3">
        <v>0</v>
      </c>
      <c r="U169" s="3">
        <v>0</v>
      </c>
      <c r="V169" s="3">
        <v>1999.98</v>
      </c>
      <c r="W169" s="3">
        <v>1999.87</v>
      </c>
      <c r="X169" s="3">
        <v>0</v>
      </c>
      <c r="Y169" s="3">
        <v>0</v>
      </c>
      <c r="Z169" s="3">
        <v>220</v>
      </c>
      <c r="AA169" s="3">
        <v>1.9993300000000001</v>
      </c>
      <c r="AB169" s="3">
        <v>2.0023399999999998</v>
      </c>
      <c r="AC169" s="3">
        <v>-7.3956599999999997E-2</v>
      </c>
      <c r="AD169" s="3">
        <v>2.9016200000000002E-3</v>
      </c>
      <c r="AE169" s="3">
        <v>1.9968600000000001</v>
      </c>
      <c r="AF169" s="3">
        <v>2.00007</v>
      </c>
      <c r="AG169" s="3">
        <v>-0.13910800000000001</v>
      </c>
      <c r="AH169" s="3">
        <v>-4.2715700000000002E-2</v>
      </c>
      <c r="AI169" s="3">
        <v>22.173625000000001</v>
      </c>
      <c r="AJ169" s="3">
        <v>58.632100999999999</v>
      </c>
      <c r="AK169" s="3"/>
      <c r="AL169" s="6">
        <v>88.531379700000002</v>
      </c>
      <c r="AM169" s="6">
        <v>83.614219665999997</v>
      </c>
      <c r="AN169" s="6">
        <v>16.281980514000001</v>
      </c>
      <c r="AO169" s="6">
        <v>23.925996779999998</v>
      </c>
      <c r="AR169" s="6"/>
      <c r="AS169" s="6"/>
      <c r="AT169" s="6"/>
      <c r="AU169" s="280">
        <v>84.044311523000005</v>
      </c>
      <c r="AV169" s="280">
        <v>9.8333244323999995</v>
      </c>
      <c r="AW169" s="280">
        <v>4.9569268226999998</v>
      </c>
      <c r="AX169" s="6"/>
      <c r="AY169" s="6"/>
      <c r="AZ169" s="6"/>
      <c r="BA169" s="6"/>
      <c r="BB169" s="6"/>
      <c r="BC169" s="6"/>
      <c r="BD169" s="6"/>
      <c r="BE169" s="6"/>
      <c r="BF169" s="6"/>
      <c r="BG169" s="6"/>
      <c r="BH169" s="6"/>
      <c r="BI169" s="6"/>
      <c r="BJ169" s="6">
        <v>0.41532456870000001</v>
      </c>
      <c r="BK169" s="6"/>
      <c r="CN169" s="6">
        <v>0.56492435929999996</v>
      </c>
      <c r="DM169" s="6">
        <v>0.18420028690000001</v>
      </c>
      <c r="DN169" s="7">
        <f t="shared" si="2"/>
        <v>99.999011992999996</v>
      </c>
      <c r="DO169" s="7"/>
      <c r="EI169" s="152"/>
    </row>
    <row r="170" spans="1:139" s="2" customFormat="1">
      <c r="A170" s="4"/>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R170" s="6"/>
      <c r="AS170" s="6"/>
      <c r="AT170" s="6"/>
      <c r="AU170" s="6"/>
      <c r="AV170" s="6"/>
      <c r="AW170" s="6"/>
      <c r="AX170" s="6"/>
      <c r="AY170" s="6"/>
      <c r="AZ170" s="6"/>
      <c r="BA170" s="6"/>
      <c r="BB170" s="6"/>
      <c r="BC170" s="6"/>
      <c r="BD170" s="6"/>
      <c r="BE170" s="6"/>
      <c r="BF170" s="6"/>
      <c r="BG170" s="6"/>
      <c r="BH170" s="6"/>
      <c r="BI170" s="6"/>
      <c r="BJ170" s="6"/>
      <c r="BK170" s="6"/>
      <c r="DN170" s="3"/>
      <c r="EI170" s="152"/>
    </row>
    <row r="171" spans="1:139" s="2" customFormat="1">
      <c r="A171" s="4"/>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R171" s="3"/>
      <c r="AS171" s="3"/>
      <c r="AT171" s="3"/>
      <c r="AU171" s="3"/>
      <c r="AV171" s="3"/>
      <c r="AW171" s="3"/>
      <c r="BI171" s="3"/>
      <c r="DN171" s="3"/>
      <c r="EI171" s="152"/>
    </row>
    <row r="172" spans="1:139" s="2" customFormat="1">
      <c r="A172" s="4"/>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R172" s="3"/>
      <c r="AS172" s="3"/>
      <c r="AT172" s="3"/>
      <c r="AU172" s="3"/>
      <c r="AV172" s="3"/>
      <c r="AW172" s="3"/>
      <c r="BI172" s="3"/>
      <c r="DN172" s="3"/>
      <c r="EI172" s="152"/>
    </row>
    <row r="173" spans="1:139" s="2" customFormat="1">
      <c r="A173" s="4"/>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R173" s="3"/>
      <c r="AS173" s="3"/>
      <c r="AT173" s="3"/>
      <c r="AU173" s="3"/>
      <c r="AV173" s="3"/>
      <c r="AW173" s="3"/>
      <c r="BI173" s="3"/>
      <c r="DN173" s="3"/>
      <c r="EI173" s="152"/>
    </row>
    <row r="174" spans="1:139" s="2" customFormat="1">
      <c r="A174" s="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R174" s="3"/>
      <c r="AS174" s="3"/>
      <c r="AT174" s="3"/>
      <c r="AU174" s="3"/>
      <c r="AV174" s="3"/>
      <c r="AW174" s="3"/>
      <c r="BI174" s="3"/>
      <c r="DN174" s="3"/>
      <c r="EI174" s="152"/>
    </row>
    <row r="175" spans="1:139" s="2" customFormat="1">
      <c r="A175" s="4"/>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R175" s="3"/>
      <c r="AS175" s="3"/>
      <c r="AT175" s="3"/>
      <c r="AU175" s="6"/>
      <c r="AV175" s="3"/>
      <c r="AW175" s="3"/>
      <c r="BI175" s="3"/>
      <c r="DN175" s="3"/>
      <c r="EI175" s="152"/>
    </row>
    <row r="176" spans="1:139" s="2" customFormat="1">
      <c r="A176" s="4"/>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R176" s="3"/>
      <c r="AS176" s="3"/>
      <c r="AT176" s="3"/>
      <c r="AU176" s="3"/>
      <c r="AV176" s="3"/>
      <c r="AW176" s="3"/>
      <c r="BI176" s="3"/>
      <c r="DN176" s="3"/>
      <c r="EI176" s="152"/>
    </row>
    <row r="177" spans="1:139" s="2" customFormat="1">
      <c r="A177" s="4"/>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R177" s="3"/>
      <c r="AS177" s="3"/>
      <c r="AT177" s="3"/>
      <c r="AU177" s="3"/>
      <c r="AV177" s="3"/>
      <c r="AW177" s="3"/>
      <c r="BI177" s="3"/>
      <c r="DN177" s="3"/>
      <c r="EI177" s="152"/>
    </row>
    <row r="178" spans="1:139" s="2" customFormat="1">
      <c r="A178" s="4"/>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R178" s="3"/>
      <c r="AS178" s="3"/>
      <c r="AT178" s="3"/>
      <c r="AU178" s="3"/>
      <c r="AV178" s="3"/>
      <c r="AW178" s="3"/>
      <c r="BI178" s="3"/>
      <c r="DN178" s="3"/>
      <c r="EI178" s="152"/>
    </row>
    <row r="179" spans="1:139" s="2" customFormat="1">
      <c r="A179" s="4"/>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R179" s="3"/>
      <c r="AS179" s="3"/>
      <c r="AT179" s="3"/>
      <c r="AU179" s="3"/>
      <c r="AV179" s="3"/>
      <c r="AW179" s="3"/>
      <c r="BI179" s="3"/>
      <c r="DN179" s="3"/>
      <c r="EI179" s="152"/>
    </row>
    <row r="180" spans="1:139" s="2" customFormat="1">
      <c r="A180" s="4"/>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R180" s="3"/>
      <c r="AS180" s="3"/>
      <c r="AT180" s="3"/>
      <c r="AU180" s="3"/>
      <c r="AV180" s="3"/>
      <c r="AW180" s="3"/>
      <c r="BI180" s="3"/>
      <c r="DN180" s="3"/>
      <c r="EI180" s="152"/>
    </row>
    <row r="181" spans="1:139" s="2" customFormat="1">
      <c r="A181" s="4"/>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R181" s="3"/>
      <c r="AS181" s="3"/>
      <c r="AT181" s="3"/>
      <c r="AU181" s="3"/>
      <c r="AV181" s="3"/>
      <c r="AW181" s="3"/>
      <c r="BI181" s="3"/>
      <c r="DN181" s="3"/>
      <c r="EI181" s="152"/>
    </row>
    <row r="182" spans="1:139" s="2" customFormat="1">
      <c r="A182" s="4"/>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R182" s="3"/>
      <c r="AS182" s="3"/>
      <c r="AT182" s="3"/>
      <c r="AU182" s="3"/>
      <c r="AV182" s="3"/>
      <c r="AW182" s="3"/>
      <c r="BI182" s="3"/>
      <c r="DN182" s="3"/>
      <c r="EI182" s="152"/>
    </row>
    <row r="183" spans="1:139" s="2" customFormat="1">
      <c r="A183" s="4"/>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R183" s="3"/>
      <c r="AS183" s="3"/>
      <c r="AT183" s="3"/>
      <c r="AU183" s="3"/>
      <c r="AV183" s="3"/>
      <c r="AW183" s="3"/>
      <c r="BI183" s="3"/>
      <c r="DN183" s="3"/>
      <c r="EI183" s="152"/>
    </row>
    <row r="184" spans="1:139" s="2" customFormat="1">
      <c r="A184" s="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R184" s="3"/>
      <c r="AS184" s="3"/>
      <c r="AT184" s="3"/>
      <c r="AU184" s="3"/>
      <c r="AV184" s="3"/>
      <c r="AW184" s="3"/>
      <c r="BI184" s="3"/>
      <c r="DN184" s="3"/>
      <c r="EI184" s="152"/>
    </row>
    <row r="185" spans="1:139" s="2" customFormat="1">
      <c r="A185" s="4"/>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R185" s="3"/>
      <c r="AS185" s="3"/>
      <c r="AT185" s="3"/>
      <c r="AU185" s="3"/>
      <c r="AV185" s="3"/>
      <c r="AW185" s="3"/>
      <c r="BI185" s="3"/>
      <c r="DN185" s="3"/>
      <c r="EI185" s="152"/>
    </row>
    <row r="186" spans="1:139" s="2" customFormat="1">
      <c r="A186" s="4"/>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R186" s="3"/>
      <c r="AS186" s="3"/>
      <c r="AT186" s="3"/>
      <c r="AU186" s="3"/>
      <c r="AV186" s="3"/>
      <c r="AW186" s="3"/>
      <c r="BI186" s="3"/>
      <c r="DN186" s="3"/>
      <c r="EI186" s="152"/>
    </row>
    <row r="187" spans="1:139" s="2" customFormat="1">
      <c r="A187" s="4"/>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R187" s="3"/>
      <c r="AS187" s="3"/>
      <c r="AT187" s="3"/>
      <c r="AU187" s="3"/>
      <c r="AV187" s="3"/>
      <c r="AW187" s="3"/>
      <c r="BI187" s="3"/>
      <c r="DN187" s="3"/>
      <c r="EI187" s="152"/>
    </row>
    <row r="188" spans="1:139" s="2" customFormat="1">
      <c r="A188" s="4"/>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R188" s="3"/>
      <c r="AS188" s="3"/>
      <c r="AT188" s="3"/>
      <c r="AU188" s="3"/>
      <c r="AV188" s="3"/>
      <c r="AW188" s="3"/>
      <c r="BI188" s="3"/>
      <c r="DN188" s="3"/>
      <c r="EI188" s="152"/>
    </row>
    <row r="189" spans="1:139" s="2" customFormat="1">
      <c r="A189" s="4"/>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R189" s="3"/>
      <c r="AS189" s="3"/>
      <c r="AT189" s="3"/>
      <c r="AU189" s="3"/>
      <c r="AV189" s="3"/>
      <c r="AW189" s="3"/>
      <c r="BI189" s="3"/>
      <c r="DN189" s="3"/>
      <c r="EI189" s="152"/>
    </row>
    <row r="190" spans="1:139" s="2" customFormat="1">
      <c r="A190" s="4"/>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R190" s="3"/>
      <c r="AS190" s="3"/>
      <c r="AT190" s="3"/>
      <c r="AU190" s="3"/>
      <c r="AV190" s="3"/>
      <c r="AW190" s="3"/>
      <c r="BI190" s="3"/>
      <c r="DN190" s="3"/>
      <c r="EI190" s="152"/>
    </row>
    <row r="191" spans="1:139" s="2" customFormat="1">
      <c r="A191" s="4"/>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R191" s="3"/>
      <c r="AS191" s="3"/>
      <c r="AT191" s="3"/>
      <c r="AU191" s="3"/>
      <c r="AV191" s="3"/>
      <c r="AW191" s="3"/>
      <c r="BI191" s="3"/>
      <c r="DN191" s="3"/>
      <c r="EI191" s="152"/>
    </row>
    <row r="192" spans="1:139" s="2" customForma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R192" s="3"/>
      <c r="AS192" s="3"/>
      <c r="AT192" s="3"/>
      <c r="AU192" s="3"/>
      <c r="AV192" s="3"/>
      <c r="AW192" s="3"/>
      <c r="BI192" s="3"/>
      <c r="DN192" s="3"/>
      <c r="EI192" s="152"/>
    </row>
    <row r="193" spans="1:139" s="2" customForma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R193" s="3"/>
      <c r="AS193" s="3"/>
      <c r="AT193" s="3"/>
      <c r="AU193" s="3"/>
      <c r="AV193" s="3"/>
      <c r="AW193" s="3"/>
      <c r="BI193" s="3"/>
      <c r="DN193" s="3"/>
      <c r="EI193" s="152"/>
    </row>
    <row r="194" spans="1:139" s="2" customForma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R194" s="3"/>
      <c r="AS194" s="3"/>
      <c r="AT194" s="3"/>
      <c r="AU194" s="3"/>
      <c r="AV194" s="3"/>
      <c r="AW194" s="3"/>
      <c r="BI194" s="3"/>
      <c r="DN194" s="3"/>
      <c r="EI194" s="152"/>
    </row>
    <row r="195" spans="1:139" s="2" customForma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R195" s="3"/>
      <c r="AS195" s="3"/>
      <c r="AT195" s="3"/>
      <c r="AU195" s="3"/>
      <c r="AV195" s="3"/>
      <c r="AW195" s="3"/>
      <c r="BI195" s="3"/>
      <c r="DN195" s="3"/>
      <c r="EI195" s="152"/>
    </row>
    <row r="196" spans="1:139">
      <c r="B196" s="88"/>
      <c r="C196" s="88"/>
      <c r="E196" s="88"/>
      <c r="F196" s="88"/>
      <c r="G196" s="88"/>
      <c r="H196" s="88"/>
      <c r="I196" s="94"/>
      <c r="J196" s="94"/>
      <c r="K196" s="94"/>
      <c r="L196" s="94"/>
      <c r="M196" s="94"/>
      <c r="N196" s="94"/>
      <c r="O196" s="94"/>
      <c r="P196" s="94"/>
      <c r="Q196" s="88"/>
      <c r="R196" s="94"/>
      <c r="S196" s="94"/>
      <c r="T196" s="94"/>
      <c r="U196" s="94"/>
      <c r="V196" s="94"/>
      <c r="W196" s="94"/>
      <c r="X196" s="94"/>
      <c r="Y196" s="94"/>
      <c r="Z196" s="88"/>
      <c r="AA196" s="94"/>
      <c r="AB196" s="94"/>
      <c r="AC196" s="94"/>
      <c r="AD196" s="94"/>
      <c r="AE196" s="94"/>
      <c r="AF196" s="94"/>
      <c r="AG196" s="94"/>
      <c r="AH196" s="94"/>
      <c r="AI196" s="88"/>
      <c r="AJ196" s="88"/>
      <c r="AL196" s="88"/>
      <c r="AM196" s="95"/>
      <c r="AN196" s="95"/>
      <c r="AO196" s="95"/>
      <c r="AP196" s="95"/>
      <c r="AQ196" s="95"/>
      <c r="AR196" s="88"/>
      <c r="AS196" s="88"/>
      <c r="AT196" s="88"/>
      <c r="AU196" s="88"/>
      <c r="AV196" s="88"/>
      <c r="AW196" s="88"/>
      <c r="AX196" s="95"/>
      <c r="AY196" s="95"/>
      <c r="AZ196" s="95"/>
      <c r="BA196" s="95"/>
      <c r="BB196" s="95"/>
      <c r="BC196" s="95"/>
      <c r="BD196" s="95"/>
      <c r="BE196" s="95"/>
      <c r="BF196" s="95"/>
      <c r="BG196" s="95"/>
      <c r="BH196" s="95"/>
      <c r="BI196" s="88"/>
      <c r="BJ196" s="96"/>
      <c r="BK196" s="95"/>
      <c r="BL196" s="95"/>
      <c r="BM196" s="95"/>
      <c r="BN196" s="95"/>
      <c r="BO196" s="95"/>
      <c r="BP196" s="95"/>
      <c r="BQ196" s="95"/>
      <c r="BR196" s="95"/>
      <c r="BS196" s="95"/>
      <c r="BT196" s="95"/>
      <c r="BU196" s="95"/>
      <c r="BV196" s="95"/>
      <c r="BW196" s="95"/>
      <c r="BX196" s="95"/>
      <c r="BY196" s="95"/>
      <c r="BZ196" s="95"/>
      <c r="CA196" s="95"/>
      <c r="CB196" s="95"/>
      <c r="CC196" s="95"/>
      <c r="CD196" s="95"/>
      <c r="CE196" s="95"/>
      <c r="CF196" s="95"/>
      <c r="CG196" s="95"/>
      <c r="CH196" s="95"/>
      <c r="CI196" s="95"/>
      <c r="CJ196" s="95"/>
      <c r="CK196" s="95"/>
      <c r="CL196" s="95"/>
      <c r="CM196" s="95"/>
      <c r="CN196" s="95"/>
      <c r="CO196" s="95"/>
      <c r="CP196" s="95"/>
      <c r="CQ196" s="95"/>
      <c r="CR196" s="95"/>
      <c r="CS196" s="95"/>
      <c r="CT196" s="95"/>
      <c r="CU196" s="95"/>
      <c r="CV196" s="95"/>
      <c r="CW196" s="95"/>
      <c r="CX196" s="95"/>
      <c r="CY196" s="95"/>
      <c r="CZ196" s="95"/>
      <c r="DA196" s="95"/>
      <c r="DB196" s="95"/>
      <c r="DC196" s="95"/>
      <c r="DD196" s="95"/>
      <c r="DE196" s="95"/>
      <c r="DF196" s="95"/>
      <c r="DG196" s="95"/>
      <c r="DH196" s="95"/>
      <c r="DI196" s="95"/>
      <c r="DJ196" s="95"/>
      <c r="DK196" s="95"/>
      <c r="DL196" s="95"/>
      <c r="DM196" s="95"/>
      <c r="DN196" s="88"/>
      <c r="DO196" s="95"/>
    </row>
  </sheetData>
  <autoFilter ref="C1:C171" xr:uid="{00000000-0001-0000-0000-000000000000}"/>
  <mergeCells count="21">
    <mergeCell ref="A1:A2"/>
    <mergeCell ref="R1:Y1"/>
    <mergeCell ref="BE1:BS1"/>
    <mergeCell ref="BT1:CH1"/>
    <mergeCell ref="CI1:CW1"/>
    <mergeCell ref="CX1:DL1"/>
    <mergeCell ref="B1:B2"/>
    <mergeCell ref="D1:D2"/>
    <mergeCell ref="E1:E2"/>
    <mergeCell ref="F1:F2"/>
    <mergeCell ref="G1:G2"/>
    <mergeCell ref="H1:H2"/>
    <mergeCell ref="I1:P1"/>
    <mergeCell ref="AA1:AH1"/>
    <mergeCell ref="AI1:AJ1"/>
    <mergeCell ref="C1:C2"/>
    <mergeCell ref="AP1:BD1"/>
    <mergeCell ref="AL1:AL2"/>
    <mergeCell ref="AM1:AM2"/>
    <mergeCell ref="AN1:AN2"/>
    <mergeCell ref="AO1:AO2"/>
  </mergeCells>
  <phoneticPr fontId="5" type="noConversion"/>
  <pageMargins left="0.7" right="0.7" top="0.75" bottom="0.75" header="0.3" footer="0.3"/>
  <ignoredErrors>
    <ignoredError sqref="DN3 DN4:DN12 DN25:DN42 DN48:DN108 DN112:DN141 DN146:DN159" formulaRange="1"/>
  </ignoredError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9709A-BB87-4DA0-83FE-922375495B8A}">
  <sheetPr codeName="Sheet8"/>
  <dimension ref="A1:AU159"/>
  <sheetViews>
    <sheetView tabSelected="1" topLeftCell="A58" zoomScale="80" zoomScaleNormal="80" workbookViewId="0">
      <selection activeCell="J32" sqref="J32"/>
    </sheetView>
  </sheetViews>
  <sheetFormatPr defaultColWidth="9.140625" defaultRowHeight="15"/>
  <cols>
    <col min="1" max="1" width="19.7109375" style="61" bestFit="1" customWidth="1"/>
    <col min="2" max="2" width="14.85546875" style="31" bestFit="1" customWidth="1"/>
    <col min="3" max="3" width="29.7109375" style="31" bestFit="1" customWidth="1"/>
    <col min="4" max="4" width="13.140625" style="31" customWidth="1"/>
    <col min="5" max="5" width="15.85546875" style="31" bestFit="1" customWidth="1"/>
    <col min="6" max="11" width="13.140625" style="31" bestFit="1" customWidth="1"/>
    <col min="12" max="27" width="13.28515625" style="1" bestFit="1" customWidth="1"/>
    <col min="28" max="28" width="19" style="1" bestFit="1" customWidth="1"/>
    <col min="29" max="35" width="13.28515625" style="1" bestFit="1" customWidth="1"/>
    <col min="36" max="43" width="13.28515625" style="31" bestFit="1" customWidth="1"/>
    <col min="44" max="44" width="13.140625" style="31" bestFit="1" customWidth="1"/>
    <col min="45" max="45" width="14.5703125" style="31" customWidth="1"/>
    <col min="46" max="16384" width="9.140625" style="1"/>
  </cols>
  <sheetData>
    <row r="1" spans="1:9">
      <c r="A1" s="341" t="s">
        <v>456</v>
      </c>
      <c r="B1" s="341"/>
      <c r="C1" s="341"/>
      <c r="D1" s="341"/>
      <c r="E1" s="341"/>
    </row>
    <row r="2" spans="1:9">
      <c r="A2" s="342" t="s">
        <v>457</v>
      </c>
      <c r="B2" s="342"/>
      <c r="C2" s="342"/>
      <c r="D2" s="62" t="s">
        <v>314</v>
      </c>
      <c r="E2" s="62">
        <v>83.61</v>
      </c>
      <c r="H2" s="1"/>
    </row>
    <row r="3" spans="1:9">
      <c r="A3" s="342" t="s">
        <v>458</v>
      </c>
      <c r="B3" s="342"/>
      <c r="C3" s="342"/>
      <c r="D3" s="62" t="s">
        <v>314</v>
      </c>
      <c r="E3" s="62">
        <v>16.23</v>
      </c>
    </row>
    <row r="4" spans="1:9">
      <c r="A4" s="342" t="s">
        <v>459</v>
      </c>
      <c r="B4" s="342"/>
      <c r="C4" s="342"/>
      <c r="D4" s="62" t="s">
        <v>314</v>
      </c>
      <c r="E4" s="62">
        <v>88.55</v>
      </c>
    </row>
    <row r="5" spans="1:9">
      <c r="A5" s="64"/>
      <c r="B5" s="64"/>
      <c r="C5" s="64" t="s">
        <v>256</v>
      </c>
      <c r="D5" s="62" t="s">
        <v>460</v>
      </c>
      <c r="E5" s="62"/>
      <c r="H5" s="31" t="s">
        <v>457</v>
      </c>
      <c r="I5" s="31" t="s">
        <v>458</v>
      </c>
    </row>
    <row r="6" spans="1:9">
      <c r="A6" s="63" t="s">
        <v>264</v>
      </c>
      <c r="B6" s="65">
        <v>3</v>
      </c>
      <c r="C6" s="63" t="s">
        <v>461</v>
      </c>
      <c r="D6" s="65" t="s">
        <v>314</v>
      </c>
      <c r="E6" s="65"/>
      <c r="H6" s="122">
        <v>0.81699999999999995</v>
      </c>
      <c r="I6" s="122">
        <f>1-H6</f>
        <v>0.18300000000000005</v>
      </c>
    </row>
    <row r="7" spans="1:9">
      <c r="A7" s="63" t="s">
        <v>265</v>
      </c>
      <c r="B7" s="65">
        <v>4</v>
      </c>
      <c r="C7" s="63" t="s">
        <v>462</v>
      </c>
      <c r="D7" s="65" t="s">
        <v>314</v>
      </c>
      <c r="E7" s="65"/>
      <c r="H7" s="122">
        <v>0.8276</v>
      </c>
      <c r="I7" s="122">
        <f t="shared" ref="I7:I24" si="0">1-H7</f>
        <v>0.1724</v>
      </c>
    </row>
    <row r="8" spans="1:9">
      <c r="A8" s="63" t="s">
        <v>266</v>
      </c>
      <c r="B8" s="65">
        <v>4</v>
      </c>
      <c r="C8" s="63" t="s">
        <v>461</v>
      </c>
      <c r="D8" s="65" t="s">
        <v>314</v>
      </c>
      <c r="E8" s="65"/>
      <c r="H8" s="122">
        <v>0.8276</v>
      </c>
      <c r="I8" s="122">
        <f t="shared" si="0"/>
        <v>0.1724</v>
      </c>
    </row>
    <row r="9" spans="1:9">
      <c r="A9" s="63" t="s">
        <v>267</v>
      </c>
      <c r="B9" s="65">
        <v>5</v>
      </c>
      <c r="C9" s="63" t="s">
        <v>462</v>
      </c>
      <c r="D9" s="65" t="s">
        <v>314</v>
      </c>
      <c r="E9" s="65"/>
      <c r="H9" s="122">
        <v>0.83160000000000001</v>
      </c>
      <c r="I9" s="122">
        <f t="shared" si="0"/>
        <v>0.16839999999999999</v>
      </c>
    </row>
    <row r="10" spans="1:9">
      <c r="A10" s="63" t="s">
        <v>268</v>
      </c>
      <c r="B10" s="65">
        <v>5</v>
      </c>
      <c r="C10" s="63" t="s">
        <v>461</v>
      </c>
      <c r="D10" s="65" t="s">
        <v>314</v>
      </c>
      <c r="E10" s="65"/>
      <c r="H10" s="122">
        <v>0.83160000000000001</v>
      </c>
      <c r="I10" s="122">
        <f t="shared" si="0"/>
        <v>0.16839999999999999</v>
      </c>
    </row>
    <row r="11" spans="1:9">
      <c r="A11" s="63" t="s">
        <v>269</v>
      </c>
      <c r="B11" s="65">
        <v>6</v>
      </c>
      <c r="C11" s="63" t="s">
        <v>462</v>
      </c>
      <c r="D11" s="65" t="s">
        <v>314</v>
      </c>
      <c r="E11" s="65"/>
      <c r="H11" s="122">
        <v>0.83589999999999998</v>
      </c>
      <c r="I11" s="122">
        <f t="shared" si="0"/>
        <v>0.16410000000000002</v>
      </c>
    </row>
    <row r="12" spans="1:9">
      <c r="A12" s="63" t="s">
        <v>270</v>
      </c>
      <c r="B12" s="65">
        <v>6</v>
      </c>
      <c r="C12" s="63" t="s">
        <v>462</v>
      </c>
      <c r="D12" s="65" t="s">
        <v>314</v>
      </c>
      <c r="E12" s="65"/>
      <c r="H12" s="122">
        <v>0.83589999999999998</v>
      </c>
      <c r="I12" s="122">
        <f t="shared" si="0"/>
        <v>0.16410000000000002</v>
      </c>
    </row>
    <row r="13" spans="1:9">
      <c r="A13" s="63" t="s">
        <v>169</v>
      </c>
      <c r="B13" s="65">
        <v>6</v>
      </c>
      <c r="C13" s="63" t="s">
        <v>462</v>
      </c>
      <c r="D13" s="65" t="s">
        <v>314</v>
      </c>
      <c r="E13" s="65"/>
      <c r="H13" s="122">
        <v>0.83589999999999998</v>
      </c>
      <c r="I13" s="122">
        <f t="shared" si="0"/>
        <v>0.16410000000000002</v>
      </c>
    </row>
    <row r="14" spans="1:9">
      <c r="A14" s="63" t="s">
        <v>171</v>
      </c>
      <c r="B14" s="65">
        <v>6</v>
      </c>
      <c r="C14" s="63" t="s">
        <v>462</v>
      </c>
      <c r="D14" s="65" t="s">
        <v>314</v>
      </c>
      <c r="E14" s="65"/>
      <c r="H14" s="122">
        <v>0.83589999999999998</v>
      </c>
      <c r="I14" s="122">
        <f t="shared" si="0"/>
        <v>0.16410000000000002</v>
      </c>
    </row>
    <row r="15" spans="1:9">
      <c r="A15" s="63" t="s">
        <v>174</v>
      </c>
      <c r="B15" s="65">
        <v>6</v>
      </c>
      <c r="C15" s="63" t="s">
        <v>461</v>
      </c>
      <c r="D15" s="65" t="s">
        <v>314</v>
      </c>
      <c r="E15" s="65">
        <v>85</v>
      </c>
      <c r="H15" s="122">
        <v>0.83589999999999998</v>
      </c>
      <c r="I15" s="122">
        <f t="shared" si="0"/>
        <v>0.16410000000000002</v>
      </c>
    </row>
    <row r="16" spans="1:9">
      <c r="A16" s="63" t="s">
        <v>272</v>
      </c>
      <c r="B16" s="65">
        <v>6</v>
      </c>
      <c r="C16" s="63" t="s">
        <v>463</v>
      </c>
      <c r="D16" s="65" t="s">
        <v>314</v>
      </c>
      <c r="E16" s="65">
        <v>0.5</v>
      </c>
      <c r="H16" s="122">
        <v>0.85629999999999995</v>
      </c>
      <c r="I16" s="122">
        <f t="shared" si="0"/>
        <v>0.14370000000000005</v>
      </c>
    </row>
    <row r="17" spans="1:35">
      <c r="A17" s="63" t="s">
        <v>273</v>
      </c>
      <c r="B17" s="65">
        <v>7</v>
      </c>
      <c r="C17" s="63" t="s">
        <v>462</v>
      </c>
      <c r="D17" s="65" t="s">
        <v>314</v>
      </c>
      <c r="E17" s="65"/>
      <c r="H17" s="122">
        <v>0.84050000000000002</v>
      </c>
      <c r="I17" s="122">
        <f t="shared" si="0"/>
        <v>0.15949999999999998</v>
      </c>
    </row>
    <row r="18" spans="1:35">
      <c r="A18" s="63" t="s">
        <v>274</v>
      </c>
      <c r="B18" s="65">
        <v>7</v>
      </c>
      <c r="C18" s="63" t="s">
        <v>462</v>
      </c>
      <c r="D18" s="65" t="s">
        <v>314</v>
      </c>
      <c r="E18" s="65"/>
      <c r="H18" s="122">
        <v>0.84050000000000002</v>
      </c>
      <c r="I18" s="122">
        <f t="shared" si="0"/>
        <v>0.15949999999999998</v>
      </c>
    </row>
    <row r="19" spans="1:35">
      <c r="A19" s="63" t="s">
        <v>177</v>
      </c>
      <c r="B19" s="65">
        <v>7</v>
      </c>
      <c r="C19" s="63" t="s">
        <v>462</v>
      </c>
      <c r="D19" s="65" t="s">
        <v>314</v>
      </c>
      <c r="E19" s="65">
        <v>10</v>
      </c>
      <c r="H19" s="122">
        <v>0.84050000000000002</v>
      </c>
      <c r="I19" s="122">
        <f t="shared" si="0"/>
        <v>0.15949999999999998</v>
      </c>
    </row>
    <row r="20" spans="1:35" s="31" customFormat="1">
      <c r="A20" s="63" t="s">
        <v>175</v>
      </c>
      <c r="B20" s="65">
        <v>8</v>
      </c>
      <c r="C20" s="63" t="s">
        <v>461</v>
      </c>
      <c r="D20" s="65" t="s">
        <v>314</v>
      </c>
      <c r="E20" s="65">
        <v>5</v>
      </c>
      <c r="H20" s="122">
        <v>0.84209999999999996</v>
      </c>
      <c r="I20" s="122">
        <f t="shared" si="0"/>
        <v>0.15790000000000004</v>
      </c>
      <c r="L20" s="1"/>
      <c r="M20" s="1"/>
      <c r="N20" s="1"/>
      <c r="O20" s="1"/>
      <c r="P20" s="1"/>
      <c r="Q20" s="1"/>
      <c r="R20" s="1"/>
      <c r="S20" s="1"/>
      <c r="T20" s="1"/>
      <c r="U20" s="1"/>
      <c r="V20" s="1"/>
      <c r="W20" s="1"/>
      <c r="X20" s="1"/>
      <c r="Y20" s="1"/>
      <c r="Z20" s="1"/>
      <c r="AA20" s="1"/>
      <c r="AB20" s="1"/>
      <c r="AC20" s="1"/>
      <c r="AD20" s="1"/>
      <c r="AE20" s="1"/>
      <c r="AF20" s="1"/>
      <c r="AG20" s="1"/>
      <c r="AH20" s="1"/>
      <c r="AI20" s="1"/>
    </row>
    <row r="21" spans="1:35" s="31" customFormat="1">
      <c r="A21" s="63" t="s">
        <v>464</v>
      </c>
      <c r="B21" s="65"/>
      <c r="C21" s="65"/>
      <c r="D21" s="65" t="s">
        <v>314</v>
      </c>
      <c r="E21" s="65"/>
      <c r="H21" s="31">
        <v>0.79879999999999995</v>
      </c>
      <c r="I21" s="122">
        <f t="shared" si="0"/>
        <v>0.20120000000000005</v>
      </c>
      <c r="L21" s="1"/>
      <c r="M21" s="1"/>
      <c r="N21" s="1"/>
      <c r="O21" s="1"/>
      <c r="P21" s="1"/>
      <c r="Q21" s="1"/>
      <c r="R21" s="1"/>
      <c r="S21" s="1"/>
      <c r="T21" s="1"/>
      <c r="U21" s="1"/>
      <c r="V21" s="1"/>
      <c r="W21" s="1"/>
      <c r="X21" s="1"/>
      <c r="Y21" s="1"/>
      <c r="Z21" s="1"/>
      <c r="AA21" s="1"/>
      <c r="AB21" s="1"/>
      <c r="AC21" s="1"/>
      <c r="AD21" s="1"/>
      <c r="AE21" s="1"/>
      <c r="AF21" s="1"/>
      <c r="AG21" s="1"/>
      <c r="AH21" s="1"/>
      <c r="AI21" s="1"/>
    </row>
    <row r="22" spans="1:35" s="31" customFormat="1">
      <c r="A22" s="63" t="s">
        <v>465</v>
      </c>
      <c r="B22" s="65"/>
      <c r="C22" s="65"/>
      <c r="D22" s="65" t="s">
        <v>314</v>
      </c>
      <c r="E22" s="65"/>
      <c r="H22" s="122">
        <v>0.84050000000000002</v>
      </c>
      <c r="I22" s="122">
        <f t="shared" si="0"/>
        <v>0.15949999999999998</v>
      </c>
      <c r="L22" s="1"/>
      <c r="M22" s="1"/>
      <c r="N22" s="1"/>
      <c r="O22" s="1"/>
      <c r="P22" s="1"/>
      <c r="Q22" s="1"/>
      <c r="R22" s="1"/>
      <c r="S22" s="1"/>
      <c r="T22" s="1"/>
      <c r="U22" s="1"/>
      <c r="V22" s="1"/>
      <c r="W22" s="1"/>
      <c r="X22" s="1"/>
      <c r="Y22" s="1"/>
      <c r="Z22" s="1"/>
      <c r="AA22" s="1"/>
      <c r="AB22" s="1"/>
      <c r="AC22" s="1"/>
      <c r="AD22" s="1"/>
      <c r="AE22" s="1"/>
      <c r="AF22" s="1"/>
      <c r="AG22" s="1"/>
      <c r="AH22" s="1"/>
      <c r="AI22" s="1"/>
    </row>
    <row r="23" spans="1:35" s="31" customFormat="1">
      <c r="A23" s="63" t="s">
        <v>466</v>
      </c>
      <c r="B23" s="65"/>
      <c r="C23" s="65"/>
      <c r="D23" s="65" t="s">
        <v>314</v>
      </c>
      <c r="E23" s="65"/>
      <c r="H23" s="122">
        <v>0.84050000000000002</v>
      </c>
      <c r="I23" s="122">
        <f t="shared" si="0"/>
        <v>0.15949999999999998</v>
      </c>
      <c r="L23" s="1"/>
      <c r="M23" s="1"/>
      <c r="N23" s="1"/>
      <c r="O23" s="1"/>
      <c r="P23" s="1"/>
      <c r="Q23" s="1"/>
      <c r="R23" s="1"/>
      <c r="S23" s="1"/>
      <c r="T23" s="1"/>
      <c r="U23" s="1"/>
      <c r="V23" s="1"/>
      <c r="W23" s="1"/>
      <c r="X23" s="1"/>
      <c r="Y23" s="1"/>
      <c r="Z23" s="1"/>
      <c r="AA23" s="1"/>
      <c r="AB23" s="1"/>
      <c r="AC23" s="1"/>
      <c r="AD23" s="1"/>
      <c r="AE23" s="1"/>
      <c r="AF23" s="1"/>
      <c r="AG23" s="1"/>
      <c r="AH23" s="1"/>
      <c r="AI23" s="1"/>
    </row>
    <row r="24" spans="1:35" s="31" customFormat="1">
      <c r="A24" s="63" t="s">
        <v>467</v>
      </c>
      <c r="B24" s="65"/>
      <c r="C24" s="65"/>
      <c r="D24" s="65" t="s">
        <v>314</v>
      </c>
      <c r="E24" s="65"/>
      <c r="H24" s="31">
        <v>0.84260000000000002</v>
      </c>
      <c r="I24" s="122">
        <f t="shared" si="0"/>
        <v>0.15739999999999998</v>
      </c>
      <c r="L24" s="1"/>
      <c r="M24" s="1"/>
      <c r="N24" s="1"/>
      <c r="O24" s="1"/>
      <c r="P24" s="1"/>
      <c r="Q24" s="1"/>
      <c r="R24" s="1"/>
      <c r="S24" s="1"/>
      <c r="T24" s="1"/>
      <c r="U24" s="1"/>
      <c r="V24" s="1"/>
      <c r="W24" s="1"/>
      <c r="X24" s="1"/>
      <c r="Y24" s="1"/>
      <c r="Z24" s="1"/>
      <c r="AA24" s="1"/>
      <c r="AB24" s="1"/>
      <c r="AC24" s="1"/>
      <c r="AD24" s="1"/>
      <c r="AE24" s="1"/>
      <c r="AF24" s="1"/>
      <c r="AG24" s="1"/>
      <c r="AH24" s="1"/>
      <c r="AI24" s="1"/>
    </row>
    <row r="25" spans="1:35" s="31" customFormat="1">
      <c r="A25" s="63" t="s">
        <v>468</v>
      </c>
      <c r="B25" s="65"/>
      <c r="C25" s="65"/>
      <c r="D25" s="65" t="s">
        <v>314</v>
      </c>
      <c r="E25" s="65"/>
      <c r="L25" s="1"/>
      <c r="M25" s="1"/>
      <c r="N25" s="1"/>
      <c r="O25" s="1"/>
      <c r="P25" s="1"/>
      <c r="Q25" s="1"/>
      <c r="R25" s="1"/>
      <c r="S25" s="1"/>
      <c r="T25" s="1"/>
      <c r="U25" s="1"/>
      <c r="V25" s="1"/>
      <c r="W25" s="1"/>
      <c r="X25" s="1"/>
      <c r="Y25" s="1"/>
      <c r="Z25" s="1"/>
      <c r="AA25" s="1"/>
      <c r="AB25" s="1"/>
      <c r="AC25" s="1"/>
      <c r="AD25" s="1"/>
      <c r="AE25" s="1"/>
      <c r="AF25" s="1"/>
      <c r="AG25" s="1"/>
      <c r="AH25" s="1"/>
      <c r="AI25" s="1"/>
    </row>
    <row r="26" spans="1:35" s="31" customFormat="1">
      <c r="A26" s="63"/>
      <c r="B26" s="65"/>
      <c r="C26" s="63"/>
      <c r="D26" s="65"/>
      <c r="E26" s="65"/>
      <c r="L26" s="1"/>
      <c r="M26" s="1"/>
      <c r="N26" s="1"/>
      <c r="O26" s="1"/>
      <c r="P26" s="1"/>
      <c r="Q26" s="1"/>
      <c r="R26" s="1"/>
      <c r="S26" s="1"/>
      <c r="T26" s="1"/>
      <c r="U26" s="1"/>
      <c r="V26" s="1"/>
      <c r="W26" s="1"/>
      <c r="X26" s="1"/>
      <c r="Y26" s="1"/>
      <c r="Z26" s="1"/>
      <c r="AA26" s="1"/>
      <c r="AB26" s="1"/>
      <c r="AC26" s="1"/>
      <c r="AD26" s="1"/>
      <c r="AE26" s="1"/>
      <c r="AF26" s="1"/>
      <c r="AG26" s="1"/>
      <c r="AH26" s="1"/>
      <c r="AI26" s="1"/>
    </row>
    <row r="27" spans="1:35" s="31" customFormat="1">
      <c r="A27" s="63"/>
      <c r="B27" s="65"/>
      <c r="C27" s="63"/>
      <c r="D27" s="65"/>
      <c r="E27" s="65"/>
      <c r="L27" s="1"/>
      <c r="M27" s="1"/>
      <c r="N27" s="1"/>
      <c r="O27" s="1"/>
      <c r="P27" s="1"/>
      <c r="Q27" s="1"/>
      <c r="R27" s="1"/>
      <c r="S27" s="1"/>
      <c r="T27" s="1"/>
      <c r="U27" s="1"/>
      <c r="V27" s="1"/>
      <c r="W27" s="1"/>
      <c r="X27" s="1"/>
      <c r="Y27" s="1"/>
      <c r="Z27" s="1"/>
      <c r="AA27" s="1"/>
      <c r="AB27" s="1"/>
      <c r="AC27" s="1"/>
      <c r="AD27" s="1"/>
      <c r="AE27" s="1"/>
      <c r="AF27" s="1"/>
      <c r="AG27" s="1"/>
      <c r="AH27" s="1"/>
      <c r="AI27" s="1"/>
    </row>
    <row r="28" spans="1:35" s="31" customFormat="1">
      <c r="A28" s="63"/>
      <c r="B28" s="69"/>
      <c r="C28" s="63" t="s">
        <v>120</v>
      </c>
      <c r="D28" s="65" t="s">
        <v>121</v>
      </c>
      <c r="E28" s="70">
        <f>1.2426*0.965</f>
        <v>1.199109</v>
      </c>
      <c r="F28" s="71"/>
      <c r="G28" s="1"/>
      <c r="H28" s="1"/>
      <c r="L28" s="1"/>
      <c r="M28" s="1"/>
      <c r="N28" s="1"/>
      <c r="O28" s="1"/>
      <c r="P28" s="1"/>
      <c r="Q28" s="1"/>
      <c r="R28" s="1"/>
      <c r="S28" s="1"/>
      <c r="T28" s="1"/>
      <c r="U28" s="1"/>
      <c r="V28" s="1"/>
      <c r="W28" s="1"/>
      <c r="X28" s="1"/>
      <c r="Y28" s="1"/>
      <c r="Z28" s="1"/>
      <c r="AA28" s="1"/>
      <c r="AB28" s="1"/>
      <c r="AC28" s="1"/>
      <c r="AD28" s="1"/>
      <c r="AE28" s="1"/>
      <c r="AF28" s="1"/>
      <c r="AG28" s="1"/>
      <c r="AH28" s="1"/>
      <c r="AI28" s="1"/>
    </row>
    <row r="29" spans="1:35" s="31" customFormat="1">
      <c r="A29" s="63"/>
      <c r="B29" s="69"/>
      <c r="C29" s="63" t="s">
        <v>120</v>
      </c>
      <c r="D29" s="65" t="s">
        <v>99</v>
      </c>
      <c r="E29" s="132">
        <f>E28/0.654</f>
        <v>1.8334999999999999</v>
      </c>
      <c r="F29" s="71" t="s">
        <v>469</v>
      </c>
      <c r="G29" s="1"/>
      <c r="H29" s="1"/>
      <c r="L29" s="1"/>
      <c r="M29" s="1"/>
      <c r="N29" s="1"/>
      <c r="O29" s="1"/>
      <c r="P29" s="1"/>
      <c r="Q29" s="1"/>
      <c r="R29" s="1"/>
      <c r="S29" s="1"/>
      <c r="T29" s="1"/>
      <c r="U29" s="1"/>
      <c r="V29" s="1"/>
      <c r="W29" s="1"/>
      <c r="X29" s="1"/>
      <c r="Y29" s="1"/>
      <c r="Z29" s="1"/>
      <c r="AA29" s="1"/>
      <c r="AB29" s="1"/>
      <c r="AC29" s="1"/>
      <c r="AD29" s="1"/>
      <c r="AE29" s="1"/>
      <c r="AF29" s="1"/>
      <c r="AG29" s="1"/>
      <c r="AH29" s="1"/>
      <c r="AI29" s="1"/>
    </row>
    <row r="30" spans="1:35" s="31" customFormat="1">
      <c r="A30" s="63"/>
      <c r="B30" s="69"/>
      <c r="C30" s="63" t="s">
        <v>220</v>
      </c>
      <c r="D30" s="65" t="s">
        <v>137</v>
      </c>
      <c r="E30" s="70">
        <f>E53</f>
        <v>2.605</v>
      </c>
      <c r="F30" s="71"/>
      <c r="G30" s="1"/>
      <c r="H30" s="1"/>
      <c r="L30" s="1"/>
      <c r="M30" s="1"/>
      <c r="N30" s="1"/>
      <c r="O30" s="1"/>
      <c r="P30" s="1"/>
      <c r="Q30" s="1"/>
      <c r="R30" s="1"/>
      <c r="S30" s="1"/>
      <c r="T30" s="1"/>
      <c r="U30" s="1"/>
      <c r="V30" s="1"/>
      <c r="W30" s="1"/>
      <c r="X30" s="1"/>
      <c r="Y30" s="1"/>
      <c r="Z30" s="1"/>
      <c r="AA30" s="1"/>
      <c r="AB30" s="1"/>
      <c r="AC30" s="1"/>
      <c r="AD30" s="1"/>
      <c r="AE30" s="1"/>
      <c r="AF30" s="1"/>
      <c r="AG30" s="1"/>
      <c r="AH30" s="1"/>
      <c r="AI30" s="1"/>
    </row>
    <row r="31" spans="1:35" s="31" customFormat="1">
      <c r="A31" s="63"/>
      <c r="B31" s="69"/>
      <c r="C31" s="63" t="s">
        <v>470</v>
      </c>
      <c r="D31" s="65" t="s">
        <v>471</v>
      </c>
      <c r="E31" s="72">
        <f>AVERAGE(AI54:AN54)</f>
        <v>22.866215666666665</v>
      </c>
      <c r="F31" s="71" t="s">
        <v>472</v>
      </c>
      <c r="G31" s="1"/>
      <c r="H31" s="1"/>
      <c r="L31" s="1"/>
      <c r="M31" s="1"/>
      <c r="N31" s="1"/>
      <c r="O31" s="1"/>
      <c r="P31" s="1"/>
      <c r="Q31" s="1"/>
      <c r="R31" s="1"/>
      <c r="S31" s="1"/>
      <c r="T31" s="1"/>
      <c r="U31" s="1"/>
      <c r="V31" s="1"/>
      <c r="W31" s="1"/>
      <c r="X31" s="1"/>
      <c r="Y31" s="1"/>
      <c r="Z31" s="1"/>
      <c r="AA31" s="1"/>
      <c r="AB31" s="1"/>
      <c r="AC31" s="1"/>
      <c r="AD31" s="1"/>
      <c r="AE31" s="1"/>
      <c r="AF31" s="1"/>
      <c r="AG31" s="1"/>
      <c r="AH31" s="1"/>
      <c r="AI31" s="1"/>
    </row>
    <row r="32" spans="1:35" s="31" customFormat="1">
      <c r="A32" s="63"/>
      <c r="B32" s="69"/>
      <c r="C32" s="63" t="s">
        <v>473</v>
      </c>
      <c r="D32" s="65" t="s">
        <v>471</v>
      </c>
      <c r="E32" s="72">
        <f>AVERAGE(AI55:AJ55)</f>
        <v>58.033184500000004</v>
      </c>
      <c r="F32" s="71" t="s">
        <v>472</v>
      </c>
      <c r="G32" s="1"/>
      <c r="H32" s="1"/>
      <c r="L32" s="1"/>
      <c r="M32" s="1"/>
      <c r="N32" s="1"/>
      <c r="O32" s="1"/>
      <c r="P32" s="1"/>
      <c r="Q32" s="1"/>
      <c r="R32" s="1"/>
      <c r="S32" s="1"/>
      <c r="T32" s="1"/>
      <c r="U32" s="1"/>
      <c r="V32" s="1"/>
      <c r="W32" s="1"/>
      <c r="X32" s="1"/>
      <c r="Y32" s="1"/>
      <c r="Z32" s="1"/>
      <c r="AA32" s="1"/>
      <c r="AB32" s="1"/>
      <c r="AC32" s="1"/>
      <c r="AD32" s="1"/>
      <c r="AE32" s="1"/>
      <c r="AF32" s="1"/>
      <c r="AG32" s="1"/>
      <c r="AH32" s="1"/>
      <c r="AI32" s="1"/>
    </row>
    <row r="33" spans="1:45" s="31" customFormat="1">
      <c r="A33" s="63"/>
      <c r="B33" s="69"/>
      <c r="C33" s="63" t="s">
        <v>474</v>
      </c>
      <c r="D33" s="65" t="s">
        <v>471</v>
      </c>
      <c r="E33" s="72">
        <f>100-E32-E31</f>
        <v>19.10059983333333</v>
      </c>
      <c r="F33" s="71" t="s">
        <v>472</v>
      </c>
      <c r="G33" s="1"/>
      <c r="H33" s="1"/>
      <c r="L33" s="1"/>
      <c r="M33" s="1"/>
      <c r="N33" s="1"/>
      <c r="O33" s="1"/>
      <c r="P33" s="1"/>
      <c r="Q33" s="1"/>
      <c r="R33" s="1"/>
      <c r="S33" s="1"/>
      <c r="T33" s="1"/>
      <c r="U33" s="1"/>
      <c r="V33" s="1"/>
      <c r="W33" s="1"/>
      <c r="X33" s="1"/>
      <c r="Y33" s="1"/>
      <c r="Z33" s="1"/>
      <c r="AA33" s="1"/>
      <c r="AB33" s="1"/>
      <c r="AC33" s="1"/>
      <c r="AD33" s="1"/>
      <c r="AE33" s="1"/>
      <c r="AF33" s="1"/>
      <c r="AG33" s="1"/>
      <c r="AH33" s="1"/>
      <c r="AI33" s="1"/>
    </row>
    <row r="34" spans="1:45" s="31" customFormat="1">
      <c r="A34" s="63"/>
      <c r="B34" s="69"/>
      <c r="C34" s="63" t="s">
        <v>475</v>
      </c>
      <c r="D34" s="65" t="s">
        <v>471</v>
      </c>
      <c r="E34" s="72">
        <f>SUM(E31:E33)</f>
        <v>100</v>
      </c>
      <c r="F34" s="71" t="s">
        <v>472</v>
      </c>
      <c r="G34" s="1"/>
      <c r="H34" s="1"/>
      <c r="L34" s="1"/>
      <c r="M34" s="1"/>
      <c r="N34" s="1"/>
      <c r="O34" s="1"/>
      <c r="P34" s="1"/>
      <c r="Q34" s="1"/>
      <c r="R34" s="1"/>
      <c r="S34" s="1"/>
      <c r="T34" s="1"/>
      <c r="U34" s="1"/>
      <c r="V34" s="1"/>
      <c r="W34" s="1"/>
      <c r="X34" s="1"/>
      <c r="Y34" s="1"/>
      <c r="Z34" s="1"/>
      <c r="AA34" s="1"/>
      <c r="AB34" s="1"/>
      <c r="AC34" s="1"/>
      <c r="AD34" s="1"/>
      <c r="AE34" s="1"/>
      <c r="AF34" s="1"/>
      <c r="AG34" s="1"/>
      <c r="AH34" s="1"/>
      <c r="AI34" s="1"/>
    </row>
    <row r="35" spans="1:45" s="31" customFormat="1">
      <c r="A35" s="63"/>
      <c r="B35" s="69"/>
      <c r="C35" s="63" t="s">
        <v>476</v>
      </c>
      <c r="D35" s="133" t="s">
        <v>112</v>
      </c>
      <c r="E35" s="131">
        <f>AVERAGE(AI58:AN58)</f>
        <v>88.538215637166672</v>
      </c>
      <c r="F35" s="71" t="s">
        <v>472</v>
      </c>
      <c r="G35" s="1"/>
      <c r="H35" s="1"/>
      <c r="L35" s="1"/>
      <c r="M35" s="1"/>
      <c r="N35" s="1"/>
      <c r="O35" s="1"/>
      <c r="P35" s="1"/>
      <c r="Q35" s="1"/>
      <c r="R35" s="1"/>
      <c r="S35" s="1"/>
      <c r="T35" s="1"/>
      <c r="U35" s="1"/>
      <c r="V35" s="1"/>
      <c r="W35" s="1"/>
      <c r="X35" s="1"/>
      <c r="Y35" s="1"/>
      <c r="Z35" s="1"/>
      <c r="AA35" s="1"/>
      <c r="AB35" s="1"/>
      <c r="AC35" s="1"/>
      <c r="AD35" s="1"/>
      <c r="AE35" s="1"/>
      <c r="AF35" s="1"/>
      <c r="AG35" s="1"/>
      <c r="AH35" s="1"/>
      <c r="AI35" s="1"/>
    </row>
    <row r="36" spans="1:45">
      <c r="A36" s="63"/>
      <c r="B36" s="69"/>
      <c r="C36" s="63" t="s">
        <v>477</v>
      </c>
      <c r="D36" s="65" t="s">
        <v>314</v>
      </c>
      <c r="E36" s="132">
        <f>AVERAGE(AI59:AN59)</f>
        <v>83.614243825333332</v>
      </c>
      <c r="F36" s="71" t="s">
        <v>472</v>
      </c>
      <c r="G36" s="1"/>
      <c r="H36" s="1"/>
    </row>
    <row r="37" spans="1:45">
      <c r="A37" s="63"/>
      <c r="B37" s="69"/>
      <c r="C37" s="63" t="s">
        <v>478</v>
      </c>
      <c r="D37" s="65" t="s">
        <v>314</v>
      </c>
      <c r="E37" s="132">
        <f>AVERAGE(AI60:AN60)</f>
        <v>16.281729380166666</v>
      </c>
      <c r="F37" s="71" t="s">
        <v>472</v>
      </c>
      <c r="G37" s="1"/>
      <c r="H37" s="1"/>
    </row>
    <row r="38" spans="1:45">
      <c r="A38" s="63"/>
      <c r="B38" s="69"/>
      <c r="C38" s="63" t="s">
        <v>479</v>
      </c>
      <c r="D38" s="65" t="s">
        <v>12</v>
      </c>
      <c r="E38" s="132">
        <f>AVERAGE(AH61:AL61)</f>
        <v>8.5154283085844718E-2</v>
      </c>
      <c r="F38" s="71" t="s">
        <v>472</v>
      </c>
      <c r="G38" s="1"/>
      <c r="H38" s="1"/>
    </row>
    <row r="39" spans="1:45">
      <c r="A39" s="63"/>
      <c r="B39" s="69"/>
      <c r="C39" s="63" t="s">
        <v>480</v>
      </c>
      <c r="D39" s="65" t="s">
        <v>12</v>
      </c>
      <c r="E39" s="132">
        <f>AVERAGE(AH62:AL62)</f>
        <v>3.1100382088145579</v>
      </c>
      <c r="F39" s="71" t="s">
        <v>472</v>
      </c>
      <c r="G39" s="1"/>
      <c r="H39" s="1"/>
    </row>
    <row r="40" spans="1:45">
      <c r="A40" s="63"/>
      <c r="B40" s="69"/>
      <c r="C40" s="63" t="s">
        <v>481</v>
      </c>
      <c r="D40" s="65" t="s">
        <v>482</v>
      </c>
      <c r="E40" s="131">
        <f>E39/E38</f>
        <v>36.522393191653123</v>
      </c>
      <c r="F40" s="71" t="s">
        <v>472</v>
      </c>
      <c r="G40" s="1"/>
      <c r="H40" s="1"/>
    </row>
    <row r="41" spans="1:45">
      <c r="A41" s="63"/>
      <c r="B41" s="69"/>
      <c r="C41" s="63" t="s">
        <v>481</v>
      </c>
      <c r="D41" s="65" t="s">
        <v>483</v>
      </c>
      <c r="E41" s="132">
        <f>_xlfn.STDEV.S(AI65:AN65)</f>
        <v>1.2153358182427725</v>
      </c>
      <c r="F41" s="69" t="s">
        <v>472</v>
      </c>
      <c r="G41" s="1"/>
      <c r="H41" s="1"/>
    </row>
    <row r="42" spans="1:45">
      <c r="B42" s="1"/>
      <c r="C42" s="61"/>
      <c r="E42" s="58"/>
      <c r="F42" s="1"/>
      <c r="G42" s="1"/>
      <c r="H42" s="1"/>
    </row>
    <row r="43" spans="1:45">
      <c r="B43" s="1"/>
      <c r="C43" s="61"/>
      <c r="E43" s="58"/>
      <c r="F43" s="1"/>
      <c r="G43" s="1"/>
      <c r="H43" s="1"/>
    </row>
    <row r="44" spans="1:45">
      <c r="B44" s="1"/>
      <c r="C44" s="61"/>
      <c r="E44" s="58"/>
      <c r="F44" s="1"/>
      <c r="G44" s="1"/>
      <c r="H44" s="1"/>
      <c r="AI44" s="68"/>
      <c r="AJ44" s="67"/>
      <c r="AK44" s="67" t="s">
        <v>472</v>
      </c>
      <c r="AL44" s="67"/>
      <c r="AM44" s="67"/>
      <c r="AN44" s="67"/>
    </row>
    <row r="45" spans="1:45" s="78" customFormat="1">
      <c r="A45" s="80"/>
      <c r="B45" s="79"/>
      <c r="C45" s="80" t="s">
        <v>240</v>
      </c>
      <c r="D45" s="82" t="s">
        <v>112</v>
      </c>
      <c r="E45" s="79" cm="1">
        <f t="array" ref="E45:AN45">TRANSPOSE(_xlfn._xlws.FILTER('Raw Data'!A3:A300,('Raw Data'!C3:C300=5)*('Raw Data'!A3:A300&lt;&gt;"")))</f>
        <v>46120</v>
      </c>
      <c r="F45" s="79">
        <v>46121</v>
      </c>
      <c r="G45" s="79">
        <v>46122</v>
      </c>
      <c r="H45" s="79">
        <v>46122</v>
      </c>
      <c r="I45" s="79">
        <v>46123</v>
      </c>
      <c r="J45" s="79">
        <v>46123</v>
      </c>
      <c r="K45" s="79">
        <v>46123</v>
      </c>
      <c r="L45" s="78">
        <v>46124</v>
      </c>
      <c r="M45" s="78">
        <v>46124</v>
      </c>
      <c r="N45" s="78">
        <v>46125</v>
      </c>
      <c r="O45" s="78">
        <v>46125</v>
      </c>
      <c r="P45" s="78">
        <v>46125</v>
      </c>
      <c r="Q45" s="78">
        <v>46126</v>
      </c>
      <c r="R45" s="78">
        <v>46126</v>
      </c>
      <c r="S45" s="78">
        <v>46126</v>
      </c>
      <c r="T45" s="78">
        <v>46127</v>
      </c>
      <c r="U45" s="78">
        <v>46127</v>
      </c>
      <c r="V45" s="78">
        <v>46127</v>
      </c>
      <c r="W45" s="78">
        <v>46128</v>
      </c>
      <c r="X45" s="78">
        <v>46128</v>
      </c>
      <c r="Y45" s="78">
        <v>46129</v>
      </c>
      <c r="Z45" s="78">
        <v>46129</v>
      </c>
      <c r="AA45" s="78">
        <v>46130</v>
      </c>
      <c r="AB45" s="78">
        <v>46130</v>
      </c>
      <c r="AC45" s="78">
        <v>46130</v>
      </c>
      <c r="AD45" s="78">
        <v>46131</v>
      </c>
      <c r="AE45" s="78">
        <v>46131</v>
      </c>
      <c r="AF45" s="78">
        <v>46131</v>
      </c>
      <c r="AG45" s="78">
        <v>46132</v>
      </c>
      <c r="AH45" s="78">
        <v>46132</v>
      </c>
      <c r="AI45" s="123">
        <v>46133</v>
      </c>
      <c r="AJ45" s="124">
        <v>46133</v>
      </c>
      <c r="AK45" s="124">
        <v>46133</v>
      </c>
      <c r="AL45" s="124">
        <v>46134</v>
      </c>
      <c r="AM45" s="124">
        <v>46134</v>
      </c>
      <c r="AN45" s="124">
        <v>46134</v>
      </c>
      <c r="AO45" s="79"/>
      <c r="AP45" s="79"/>
      <c r="AQ45" s="79"/>
      <c r="AR45" s="79"/>
      <c r="AS45" s="79"/>
    </row>
    <row r="46" spans="1:45" s="78" customFormat="1">
      <c r="A46" s="80"/>
      <c r="B46" s="79"/>
      <c r="C46" s="80" t="s">
        <v>484</v>
      </c>
      <c r="D46" s="82" t="s">
        <v>112</v>
      </c>
      <c r="E46" s="79" t="str" cm="1">
        <f t="array" ref="E46:AN46">TRANSPOSE(_xlfn._xlws.FILTER('Raw Data'!D3:D301,('Raw Data'!C3:C301=5)*('Raw Data'!D3:D301&lt;&gt;"")))</f>
        <v>17:23:32</v>
      </c>
      <c r="F46" s="79" t="str">
        <v>01:40:12</v>
      </c>
      <c r="G46" s="79" t="str">
        <v>10:47:06</v>
      </c>
      <c r="H46" s="79" t="str">
        <v>19:03:49</v>
      </c>
      <c r="I46" s="79" t="str">
        <v>03:20:33</v>
      </c>
      <c r="J46" s="79" t="str">
        <v>11:37:16</v>
      </c>
      <c r="K46" s="79" t="str">
        <v>19:53:59</v>
      </c>
      <c r="L46" s="78" t="str">
        <v>12:27:26</v>
      </c>
      <c r="M46" s="78" t="str">
        <v>20:44:08</v>
      </c>
      <c r="N46" s="78" t="str">
        <v>05:00:50</v>
      </c>
      <c r="O46" s="78" t="str">
        <v>13:17:33</v>
      </c>
      <c r="P46" s="78" t="str">
        <v>21:34:15</v>
      </c>
      <c r="Q46" s="78" t="str">
        <v>05:50:59</v>
      </c>
      <c r="R46" s="78" t="str">
        <v>14:07:40</v>
      </c>
      <c r="S46" s="78" t="str">
        <v>22:24:23</v>
      </c>
      <c r="T46" s="78" t="str">
        <v>06:41:07</v>
      </c>
      <c r="U46" s="78" t="str">
        <v>14:57:52</v>
      </c>
      <c r="V46" s="78" t="str">
        <v>23:14:34</v>
      </c>
      <c r="W46" s="78" t="str">
        <v>07:31:18</v>
      </c>
      <c r="X46" s="78" t="str">
        <v>15:48:02</v>
      </c>
      <c r="Y46" s="78" t="str">
        <v>00:04:46</v>
      </c>
      <c r="Z46" s="78" t="str">
        <v>08:21:29</v>
      </c>
      <c r="AA46" s="78" t="str">
        <v>00:54:55</v>
      </c>
      <c r="AB46" s="78" t="str">
        <v>09:11:40</v>
      </c>
      <c r="AC46" s="78" t="str">
        <v>17:28:24</v>
      </c>
      <c r="AD46" s="78" t="str">
        <v>01:45:06</v>
      </c>
      <c r="AE46" s="78" t="str">
        <v>10:01:49</v>
      </c>
      <c r="AF46" s="78" t="str">
        <v>18:18:33</v>
      </c>
      <c r="AG46" s="78" t="str">
        <v>02:35:14</v>
      </c>
      <c r="AH46" s="78" t="str">
        <v>10:51:56</v>
      </c>
      <c r="AI46" s="123" t="str">
        <v>03:25:20</v>
      </c>
      <c r="AJ46" s="124" t="str">
        <v>11:42:04</v>
      </c>
      <c r="AK46" s="124" t="str">
        <v>19:58:47</v>
      </c>
      <c r="AL46" s="124" t="str">
        <v>04:15:29</v>
      </c>
      <c r="AM46" s="124" t="str">
        <v>12:32:11</v>
      </c>
      <c r="AN46" s="124" t="str">
        <v>20:48:54</v>
      </c>
      <c r="AO46" s="79"/>
      <c r="AP46" s="79"/>
      <c r="AQ46" s="79"/>
      <c r="AR46" s="79"/>
      <c r="AS46" s="79"/>
    </row>
    <row r="47" spans="1:45" s="78" customFormat="1">
      <c r="A47" s="80"/>
      <c r="B47" s="79"/>
      <c r="C47" s="80" t="s">
        <v>128</v>
      </c>
      <c r="D47" s="79" t="s">
        <v>129</v>
      </c>
      <c r="E47" s="79"/>
      <c r="F47" s="57">
        <f>((F45+F46)-(E45+E46))*24</f>
        <v>8.2777777776354924</v>
      </c>
      <c r="G47" s="57">
        <f t="shared" ref="G47:AL47" si="1">((G45+G46)-(F45+F46))*24</f>
        <v>33.114999999990687</v>
      </c>
      <c r="H47" s="57">
        <f t="shared" si="1"/>
        <v>8.2786111111636274</v>
      </c>
      <c r="I47" s="57">
        <f t="shared" si="1"/>
        <v>8.278888889006339</v>
      </c>
      <c r="J47" s="57">
        <f t="shared" si="1"/>
        <v>8.2786111109890044</v>
      </c>
      <c r="K47" s="57">
        <f t="shared" si="1"/>
        <v>8.2786111111636274</v>
      </c>
      <c r="L47" s="57">
        <f t="shared" si="1"/>
        <v>16.557499999995343</v>
      </c>
      <c r="M47" s="57">
        <f t="shared" si="1"/>
        <v>8.2783333333209157</v>
      </c>
      <c r="N47" s="57">
        <f t="shared" si="1"/>
        <v>8.2783333333209157</v>
      </c>
      <c r="O47" s="57">
        <f t="shared" si="1"/>
        <v>8.2786111111636274</v>
      </c>
      <c r="P47" s="57">
        <f t="shared" si="1"/>
        <v>8.2783333333209157</v>
      </c>
      <c r="Q47" s="57">
        <f t="shared" si="1"/>
        <v>8.278888888831716</v>
      </c>
      <c r="R47" s="57">
        <f t="shared" si="1"/>
        <v>8.278055555652827</v>
      </c>
      <c r="S47" s="57">
        <f t="shared" si="1"/>
        <v>8.2786111109890044</v>
      </c>
      <c r="T47" s="57">
        <f t="shared" si="1"/>
        <v>8.278888889006339</v>
      </c>
      <c r="U47" s="57">
        <f t="shared" si="1"/>
        <v>8.2791666666744277</v>
      </c>
      <c r="V47" s="57">
        <f t="shared" si="1"/>
        <v>8.2783333333209157</v>
      </c>
      <c r="W47" s="57">
        <f t="shared" si="1"/>
        <v>8.278888888831716</v>
      </c>
      <c r="X47" s="57">
        <f t="shared" si="1"/>
        <v>8.278888888831716</v>
      </c>
      <c r="Y47" s="57">
        <f t="shared" si="1"/>
        <v>8.278888889006339</v>
      </c>
      <c r="Z47" s="57">
        <f t="shared" si="1"/>
        <v>8.2786111109890044</v>
      </c>
      <c r="AA47" s="57">
        <f t="shared" si="1"/>
        <v>16.557222222327255</v>
      </c>
      <c r="AB47" s="57">
        <f t="shared" si="1"/>
        <v>8.2791666666744277</v>
      </c>
      <c r="AC47" s="57">
        <f t="shared" si="1"/>
        <v>8.278888888831716</v>
      </c>
      <c r="AD47" s="57">
        <f t="shared" si="1"/>
        <v>8.2783333333209157</v>
      </c>
      <c r="AE47" s="57">
        <f t="shared" si="1"/>
        <v>8.2786111111636274</v>
      </c>
      <c r="AF47" s="57">
        <f t="shared" si="1"/>
        <v>8.278888888831716</v>
      </c>
      <c r="AG47" s="57">
        <f t="shared" si="1"/>
        <v>8.278055555652827</v>
      </c>
      <c r="AH47" s="57">
        <f t="shared" si="1"/>
        <v>8.2783333333209157</v>
      </c>
      <c r="AI47" s="125">
        <f t="shared" si="1"/>
        <v>16.556666666641831</v>
      </c>
      <c r="AJ47" s="125">
        <f t="shared" si="1"/>
        <v>8.278888888831716</v>
      </c>
      <c r="AK47" s="125">
        <f t="shared" si="1"/>
        <v>8.2786111111636274</v>
      </c>
      <c r="AL47" s="125">
        <f t="shared" si="1"/>
        <v>8.2783333333209157</v>
      </c>
      <c r="AM47" s="125">
        <f t="shared" ref="AM47" si="2">((AM45+AM46)-(AL45+AL46))*24</f>
        <v>8.2783333333209157</v>
      </c>
      <c r="AN47" s="125">
        <f t="shared" ref="AN47" si="3">((AN45+AN46)-(AM45+AM46))*24</f>
        <v>8.2786111111636274</v>
      </c>
      <c r="AO47" s="57"/>
      <c r="AP47" s="57"/>
      <c r="AQ47" s="57"/>
      <c r="AR47" s="57"/>
      <c r="AS47" s="57"/>
    </row>
    <row r="48" spans="1:45" s="73" customFormat="1">
      <c r="A48" s="76"/>
      <c r="C48" s="76" t="s">
        <v>485</v>
      </c>
      <c r="D48" s="73" t="s">
        <v>486</v>
      </c>
      <c r="E48" s="73">
        <v>4</v>
      </c>
      <c r="F48" s="77">
        <f>F47+E48</f>
        <v>12.277777777635492</v>
      </c>
      <c r="G48" s="77">
        <f t="shared" ref="G48:AL48" si="4">G47+F48</f>
        <v>45.392777777626179</v>
      </c>
      <c r="H48" s="77">
        <f t="shared" si="4"/>
        <v>53.671388888789807</v>
      </c>
      <c r="I48" s="77">
        <f t="shared" si="4"/>
        <v>61.950277777796146</v>
      </c>
      <c r="J48" s="77">
        <f t="shared" si="4"/>
        <v>70.22888888878515</v>
      </c>
      <c r="K48" s="77">
        <f t="shared" si="4"/>
        <v>78.507499999948777</v>
      </c>
      <c r="L48" s="77">
        <f t="shared" si="4"/>
        <v>95.064999999944121</v>
      </c>
      <c r="M48" s="77">
        <f t="shared" si="4"/>
        <v>103.34333333326504</v>
      </c>
      <c r="N48" s="77">
        <f t="shared" si="4"/>
        <v>111.62166666658595</v>
      </c>
      <c r="O48" s="77">
        <f t="shared" si="4"/>
        <v>119.90027777774958</v>
      </c>
      <c r="P48" s="77">
        <f t="shared" si="4"/>
        <v>128.1786111110705</v>
      </c>
      <c r="Q48" s="77">
        <f t="shared" si="4"/>
        <v>136.45749999990221</v>
      </c>
      <c r="R48" s="77">
        <f t="shared" si="4"/>
        <v>144.73555555555504</v>
      </c>
      <c r="S48" s="77">
        <f t="shared" si="4"/>
        <v>153.01416666654404</v>
      </c>
      <c r="T48" s="77">
        <f t="shared" si="4"/>
        <v>161.29305555555038</v>
      </c>
      <c r="U48" s="77">
        <f t="shared" si="4"/>
        <v>169.57222222222481</v>
      </c>
      <c r="V48" s="77">
        <f t="shared" si="4"/>
        <v>177.85055555554572</v>
      </c>
      <c r="W48" s="77">
        <f t="shared" si="4"/>
        <v>186.12944444437744</v>
      </c>
      <c r="X48" s="77">
        <f t="shared" si="4"/>
        <v>194.40833333320916</v>
      </c>
      <c r="Y48" s="77">
        <f t="shared" si="4"/>
        <v>202.6872222222155</v>
      </c>
      <c r="Z48" s="77">
        <f t="shared" si="4"/>
        <v>210.9658333332045</v>
      </c>
      <c r="AA48" s="77">
        <f t="shared" si="4"/>
        <v>227.52305555553176</v>
      </c>
      <c r="AB48" s="77">
        <f t="shared" si="4"/>
        <v>235.80222222220618</v>
      </c>
      <c r="AC48" s="77">
        <f t="shared" si="4"/>
        <v>244.0811111110379</v>
      </c>
      <c r="AD48" s="77">
        <f t="shared" si="4"/>
        <v>252.35944444435881</v>
      </c>
      <c r="AE48" s="77">
        <f t="shared" si="4"/>
        <v>260.63805555552244</v>
      </c>
      <c r="AF48" s="77">
        <f t="shared" si="4"/>
        <v>268.91694444435416</v>
      </c>
      <c r="AG48" s="77">
        <f t="shared" si="4"/>
        <v>277.19500000000698</v>
      </c>
      <c r="AH48" s="77">
        <f t="shared" si="4"/>
        <v>285.4733333333279</v>
      </c>
      <c r="AI48" s="126">
        <f t="shared" si="4"/>
        <v>302.02999999996973</v>
      </c>
      <c r="AJ48" s="126">
        <f t="shared" si="4"/>
        <v>310.30888888880145</v>
      </c>
      <c r="AK48" s="126">
        <f t="shared" si="4"/>
        <v>318.58749999996508</v>
      </c>
      <c r="AL48" s="126">
        <f t="shared" si="4"/>
        <v>326.86583333328599</v>
      </c>
      <c r="AM48" s="126">
        <f t="shared" ref="AM48" si="5">AM47+AL48</f>
        <v>335.14416666660691</v>
      </c>
      <c r="AN48" s="126">
        <f t="shared" ref="AN48" si="6">AN47+AM48</f>
        <v>343.42277777777053</v>
      </c>
      <c r="AO48" s="77"/>
      <c r="AP48" s="77"/>
      <c r="AQ48" s="77"/>
      <c r="AR48" s="77"/>
      <c r="AS48" s="77"/>
    </row>
    <row r="49" spans="1:45" s="86" customFormat="1">
      <c r="A49" s="83"/>
      <c r="B49" s="84"/>
      <c r="C49" s="83" t="s">
        <v>27</v>
      </c>
      <c r="D49" s="84" t="s">
        <v>123</v>
      </c>
      <c r="E49" s="85" cm="1">
        <f t="array" ref="E49:AN49">TRANSPOSE(_xlfn._xlws.FILTER('Raw Data'!G3:G304,('Raw Data'!C3:C304=5)*('Raw Data'!G3:G304&lt;&gt;"")))</f>
        <v>23.994499999999999</v>
      </c>
      <c r="F49" s="85">
        <v>23.961200000000002</v>
      </c>
      <c r="G49" s="85">
        <v>23.9771</v>
      </c>
      <c r="H49" s="85">
        <v>24.021999999999998</v>
      </c>
      <c r="I49" s="85">
        <v>23.991599999999998</v>
      </c>
      <c r="J49" s="85">
        <v>23.9786</v>
      </c>
      <c r="K49" s="85">
        <v>23.995999999999999</v>
      </c>
      <c r="L49" s="85">
        <v>24.049499999999998</v>
      </c>
      <c r="M49" s="85">
        <v>24.019100000000002</v>
      </c>
      <c r="N49" s="85">
        <v>24.000299999999999</v>
      </c>
      <c r="O49" s="85">
        <v>24.010400000000001</v>
      </c>
      <c r="P49" s="85">
        <v>24.020499999999998</v>
      </c>
      <c r="Q49" s="85">
        <v>23.997399999999999</v>
      </c>
      <c r="R49" s="85">
        <v>23.991599999999998</v>
      </c>
      <c r="S49" s="85">
        <v>24.0307</v>
      </c>
      <c r="T49" s="85">
        <v>23.990200000000002</v>
      </c>
      <c r="U49" s="85">
        <v>24.010400000000001</v>
      </c>
      <c r="V49" s="85">
        <v>24.019100000000002</v>
      </c>
      <c r="W49" s="85">
        <v>23.991599999999998</v>
      </c>
      <c r="X49" s="85">
        <v>24.016200000000001</v>
      </c>
      <c r="Y49" s="85">
        <v>24.0017</v>
      </c>
      <c r="Z49" s="85">
        <v>23.985800000000001</v>
      </c>
      <c r="AA49" s="85">
        <v>14.995699999999999</v>
      </c>
      <c r="AB49" s="85">
        <v>14.9986</v>
      </c>
      <c r="AC49" s="85">
        <v>15.0174</v>
      </c>
      <c r="AD49" s="85">
        <v>15.0116</v>
      </c>
      <c r="AE49" s="85">
        <v>14.987</v>
      </c>
      <c r="AF49" s="85">
        <v>14.981199999999999</v>
      </c>
      <c r="AG49" s="85">
        <v>15.005800000000001</v>
      </c>
      <c r="AH49" s="85">
        <v>15.0101</v>
      </c>
      <c r="AI49" s="127">
        <v>23.994499999999999</v>
      </c>
      <c r="AJ49" s="127">
        <v>23.9771</v>
      </c>
      <c r="AK49" s="127">
        <v>23.997399999999999</v>
      </c>
      <c r="AL49" s="127">
        <v>15.005800000000001</v>
      </c>
      <c r="AM49" s="127">
        <v>15.0116</v>
      </c>
      <c r="AN49" s="127">
        <v>15.007199999999999</v>
      </c>
      <c r="AO49" s="85"/>
      <c r="AP49" s="85"/>
      <c r="AQ49" s="85"/>
      <c r="AR49" s="85"/>
      <c r="AS49" s="85"/>
    </row>
    <row r="50" spans="1:45" s="86" customFormat="1">
      <c r="A50" s="83"/>
      <c r="B50" s="84"/>
      <c r="C50" s="83" t="s">
        <v>61</v>
      </c>
      <c r="D50" s="84" t="s">
        <v>487</v>
      </c>
      <c r="E50" s="85" cm="1">
        <f t="array" ref="E50:AN50">TRANSPOSE(_xlfn._xlws.FILTER('Raw Data'!E3:E305,('Raw Data'!C3:C305=5)*('Raw Data'!E3:E305&lt;&gt;"")))</f>
        <v>190</v>
      </c>
      <c r="F50" s="85">
        <v>190</v>
      </c>
      <c r="G50" s="85">
        <v>190</v>
      </c>
      <c r="H50" s="85">
        <v>190</v>
      </c>
      <c r="I50" s="85">
        <v>190</v>
      </c>
      <c r="J50" s="85">
        <v>200</v>
      </c>
      <c r="K50" s="85">
        <v>200</v>
      </c>
      <c r="L50" s="85">
        <v>200.3</v>
      </c>
      <c r="M50" s="85">
        <v>200</v>
      </c>
      <c r="N50" s="85">
        <v>199.9</v>
      </c>
      <c r="O50" s="85">
        <v>200</v>
      </c>
      <c r="P50" s="85">
        <v>210.1</v>
      </c>
      <c r="Q50" s="85">
        <v>210</v>
      </c>
      <c r="R50" s="85">
        <v>210</v>
      </c>
      <c r="S50" s="85">
        <v>210</v>
      </c>
      <c r="T50" s="85">
        <v>210</v>
      </c>
      <c r="U50" s="85">
        <v>220</v>
      </c>
      <c r="V50" s="85">
        <v>220</v>
      </c>
      <c r="W50" s="85">
        <v>220</v>
      </c>
      <c r="X50" s="85">
        <v>220</v>
      </c>
      <c r="Y50" s="85">
        <v>229.9</v>
      </c>
      <c r="Z50" s="85">
        <v>230</v>
      </c>
      <c r="AA50" s="85">
        <v>230</v>
      </c>
      <c r="AB50" s="85">
        <v>230.1</v>
      </c>
      <c r="AC50" s="85">
        <v>230</v>
      </c>
      <c r="AD50" s="85">
        <v>230</v>
      </c>
      <c r="AE50" s="85">
        <v>229.9</v>
      </c>
      <c r="AF50" s="85">
        <v>230.1</v>
      </c>
      <c r="AG50" s="85">
        <v>230</v>
      </c>
      <c r="AH50" s="85">
        <v>230.1</v>
      </c>
      <c r="AI50" s="127">
        <v>158.9</v>
      </c>
      <c r="AJ50" s="89">
        <v>161.6</v>
      </c>
      <c r="AK50" s="127">
        <v>161.9</v>
      </c>
      <c r="AL50" s="127">
        <v>161.9</v>
      </c>
      <c r="AM50" s="127">
        <v>162.19999999999999</v>
      </c>
      <c r="AN50" s="127">
        <v>161.80000000000001</v>
      </c>
      <c r="AO50" s="85"/>
      <c r="AP50" s="85"/>
      <c r="AQ50" s="85"/>
      <c r="AR50" s="85"/>
      <c r="AS50" s="85"/>
    </row>
    <row r="51" spans="1:45">
      <c r="C51" s="61" t="s">
        <v>31</v>
      </c>
      <c r="D51" s="31" t="s">
        <v>125</v>
      </c>
      <c r="E51" s="57">
        <f>(E64/$E$28)</f>
        <v>2.5448418329993272</v>
      </c>
      <c r="F51" s="57">
        <f t="shared" ref="F51:AL51" si="7">(F64/$E$28)</f>
        <v>2.461923648951664</v>
      </c>
      <c r="G51" s="57">
        <f t="shared" si="7"/>
        <v>2.442706299647655</v>
      </c>
      <c r="H51" s="57">
        <f t="shared" si="7"/>
        <v>2.4761184435451051</v>
      </c>
      <c r="I51" s="57">
        <f t="shared" si="7"/>
        <v>2.4746965176228746</v>
      </c>
      <c r="J51" s="57">
        <f t="shared" si="7"/>
        <v>2.4607544256038021</v>
      </c>
      <c r="K51" s="57">
        <f t="shared" si="7"/>
        <v>2.5113900099376001</v>
      </c>
      <c r="L51" s="57">
        <f t="shared" si="7"/>
        <v>2.4952108304608278</v>
      </c>
      <c r="M51" s="57">
        <f t="shared" si="7"/>
        <v>2.4988793906564841</v>
      </c>
      <c r="N51" s="57">
        <f t="shared" si="7"/>
        <v>2.5007871816702569</v>
      </c>
      <c r="O51" s="57">
        <f t="shared" si="7"/>
        <v>2.5019698131064572</v>
      </c>
      <c r="P51" s="57">
        <f t="shared" si="7"/>
        <v>2.4893881447733555</v>
      </c>
      <c r="Q51" s="57">
        <f t="shared" si="7"/>
        <v>2.5077204093734751</v>
      </c>
      <c r="R51" s="57">
        <f t="shared" si="7"/>
        <v>2.420916189759359</v>
      </c>
      <c r="S51" s="57">
        <f t="shared" si="7"/>
        <v>2.5208658858821504</v>
      </c>
      <c r="T51" s="57">
        <f t="shared" si="7"/>
        <v>2.5227041373559982</v>
      </c>
      <c r="U51" s="57">
        <f t="shared" si="7"/>
        <v>2.5740151289081554</v>
      </c>
      <c r="V51" s="57">
        <f t="shared" si="7"/>
        <v>2.524387391499276</v>
      </c>
      <c r="W51" s="57">
        <f t="shared" si="7"/>
        <v>2.5134695529254061</v>
      </c>
      <c r="X51" s="57">
        <f t="shared" si="7"/>
        <v>2.5790795285411963</v>
      </c>
      <c r="Y51" s="57">
        <f t="shared" si="7"/>
        <v>2.5368883881485003</v>
      </c>
      <c r="Z51" s="57">
        <f t="shared" si="7"/>
        <v>2.4923208725554722</v>
      </c>
      <c r="AA51" s="57">
        <f t="shared" si="7"/>
        <v>2.5705869581402516</v>
      </c>
      <c r="AB51" s="57">
        <f t="shared" si="7"/>
        <v>2.5501811952507247</v>
      </c>
      <c r="AC51" s="57">
        <f t="shared" si="7"/>
        <v>2.6290803769274032</v>
      </c>
      <c r="AD51" s="57">
        <f t="shared" si="7"/>
        <v>2.5825555629692412</v>
      </c>
      <c r="AE51" s="57">
        <f t="shared" si="7"/>
        <v>2.5601773590595616</v>
      </c>
      <c r="AF51" s="57">
        <f t="shared" si="7"/>
        <v>2.6225011186807268</v>
      </c>
      <c r="AG51" s="57">
        <f t="shared" si="7"/>
        <v>2.5916401698513223</v>
      </c>
      <c r="AH51" s="57">
        <f t="shared" si="7"/>
        <v>2.5613566229915623</v>
      </c>
      <c r="AI51" s="125">
        <f t="shared" si="7"/>
        <v>2.5865692076591569</v>
      </c>
      <c r="AJ51" s="125">
        <f t="shared" si="7"/>
        <v>2.5874532447237955</v>
      </c>
      <c r="AK51" s="125">
        <f t="shared" si="7"/>
        <v>2.6193954266598736</v>
      </c>
      <c r="AL51" s="125">
        <f t="shared" si="7"/>
        <v>2.613996504405522</v>
      </c>
      <c r="AM51" s="125">
        <f t="shared" ref="AM51:AN51" si="8">(AM64/$E$28)</f>
        <v>2.6057969645430368</v>
      </c>
      <c r="AN51" s="125">
        <f t="shared" si="8"/>
        <v>2.6193756081098929</v>
      </c>
    </row>
    <row r="52" spans="1:45">
      <c r="C52" s="61" t="s">
        <v>126</v>
      </c>
      <c r="D52" s="31" t="s">
        <v>488</v>
      </c>
      <c r="E52" s="57">
        <f>($E$38/2)/(E64/$E$4)</f>
        <v>1.2355081340916658</v>
      </c>
      <c r="F52" s="57">
        <f t="shared" ref="F52:AL52" si="9">($E$38/2)/(F64/$E$4)</f>
        <v>1.2771203469231323</v>
      </c>
      <c r="G52" s="57">
        <f t="shared" si="9"/>
        <v>1.2871677553297913</v>
      </c>
      <c r="H52" s="57">
        <f t="shared" si="9"/>
        <v>1.2697990246968325</v>
      </c>
      <c r="I52" s="57">
        <f t="shared" si="9"/>
        <v>1.2705286334130454</v>
      </c>
      <c r="J52" s="57">
        <f t="shared" si="9"/>
        <v>1.2777271685190279</v>
      </c>
      <c r="K52" s="57">
        <f t="shared" si="9"/>
        <v>1.2519651556332883</v>
      </c>
      <c r="L52" s="57">
        <f t="shared" si="9"/>
        <v>1.2600830143345971</v>
      </c>
      <c r="M52" s="57">
        <f t="shared" si="9"/>
        <v>1.2582331089702585</v>
      </c>
      <c r="N52" s="57">
        <f t="shared" si="9"/>
        <v>1.2572732328815934</v>
      </c>
      <c r="O52" s="57">
        <f t="shared" si="9"/>
        <v>1.2566789447965376</v>
      </c>
      <c r="P52" s="57">
        <f t="shared" si="9"/>
        <v>1.26303035195569</v>
      </c>
      <c r="Q52" s="57">
        <f t="shared" si="9"/>
        <v>1.2537971828498011</v>
      </c>
      <c r="R52" s="57">
        <f t="shared" si="9"/>
        <v>1.2987532562868054</v>
      </c>
      <c r="S52" s="57">
        <f t="shared" si="9"/>
        <v>1.2472590478755845</v>
      </c>
      <c r="T52" s="57">
        <f t="shared" si="9"/>
        <v>1.2463501914825275</v>
      </c>
      <c r="U52" s="57">
        <f t="shared" si="9"/>
        <v>1.2215051688453387</v>
      </c>
      <c r="V52" s="57">
        <f t="shared" si="9"/>
        <v>1.2455191288132825</v>
      </c>
      <c r="W52" s="57">
        <f t="shared" si="9"/>
        <v>1.2509293303306328</v>
      </c>
      <c r="X52" s="57">
        <f t="shared" si="9"/>
        <v>1.219106564901413</v>
      </c>
      <c r="Y52" s="57">
        <f t="shared" si="9"/>
        <v>1.2393815980773706</v>
      </c>
      <c r="Z52" s="57">
        <f t="shared" si="9"/>
        <v>1.2615441371413674</v>
      </c>
      <c r="AA52" s="57">
        <f t="shared" si="9"/>
        <v>1.2231341852454332</v>
      </c>
      <c r="AB52" s="57">
        <f t="shared" si="9"/>
        <v>1.2329213275130788</v>
      </c>
      <c r="AC52" s="57">
        <f t="shared" si="9"/>
        <v>1.1959211335797943</v>
      </c>
      <c r="AD52" s="57">
        <f t="shared" si="9"/>
        <v>1.2174656877594778</v>
      </c>
      <c r="AE52" s="57">
        <f t="shared" si="9"/>
        <v>1.2281074096375777</v>
      </c>
      <c r="AF52" s="57">
        <f t="shared" si="9"/>
        <v>1.1989214274307414</v>
      </c>
      <c r="AG52" s="57">
        <f t="shared" si="9"/>
        <v>1.2131980439351611</v>
      </c>
      <c r="AH52" s="57">
        <f t="shared" si="9"/>
        <v>1.2275419816296977</v>
      </c>
      <c r="AI52" s="125">
        <f t="shared" si="9"/>
        <v>1.2155765155392408</v>
      </c>
      <c r="AJ52" s="125">
        <f t="shared" si="9"/>
        <v>1.2151611980076749</v>
      </c>
      <c r="AK52" s="125">
        <f t="shared" si="9"/>
        <v>1.2003429312910996</v>
      </c>
      <c r="AL52" s="125">
        <f t="shared" si="9"/>
        <v>1.2028221075844416</v>
      </c>
      <c r="AM52" s="125">
        <f t="shared" ref="AM52:AN52" si="10">($E$38/2)/(AM64/$E$4)</f>
        <v>1.2066069718516186</v>
      </c>
      <c r="AN52" s="125">
        <f t="shared" si="10"/>
        <v>1.2003520132479994</v>
      </c>
    </row>
    <row r="53" spans="1:45">
      <c r="A53" s="343" t="s">
        <v>220</v>
      </c>
      <c r="B53" s="343"/>
      <c r="C53" s="343"/>
      <c r="D53" s="31" t="s">
        <v>137</v>
      </c>
      <c r="E53" s="31">
        <v>2.605</v>
      </c>
      <c r="F53" s="31">
        <v>2.605</v>
      </c>
      <c r="G53" s="31">
        <v>2.605</v>
      </c>
      <c r="H53" s="31">
        <v>2.605</v>
      </c>
      <c r="I53" s="31">
        <v>2.605</v>
      </c>
      <c r="J53" s="31">
        <v>2.605</v>
      </c>
      <c r="K53" s="31">
        <v>2.605</v>
      </c>
      <c r="L53" s="31">
        <v>2.605</v>
      </c>
      <c r="M53" s="31">
        <v>2.605</v>
      </c>
      <c r="N53" s="31">
        <v>2.605</v>
      </c>
      <c r="O53" s="31">
        <v>2.605</v>
      </c>
      <c r="P53" s="31">
        <v>2.605</v>
      </c>
      <c r="Q53" s="31">
        <v>2.605</v>
      </c>
      <c r="R53" s="31">
        <v>2.605</v>
      </c>
      <c r="S53" s="31">
        <v>2.605</v>
      </c>
      <c r="T53" s="31">
        <v>2.605</v>
      </c>
      <c r="U53" s="31">
        <v>2.605</v>
      </c>
      <c r="V53" s="31">
        <v>2.605</v>
      </c>
      <c r="W53" s="31">
        <v>2.605</v>
      </c>
      <c r="X53" s="31">
        <v>2.605</v>
      </c>
      <c r="Y53" s="31">
        <v>2.605</v>
      </c>
      <c r="Z53" s="31">
        <v>2.605</v>
      </c>
      <c r="AA53" s="31">
        <v>2.605</v>
      </c>
      <c r="AB53" s="31">
        <v>2.605</v>
      </c>
      <c r="AC53" s="31">
        <v>2.605</v>
      </c>
      <c r="AD53" s="31">
        <v>2.605</v>
      </c>
      <c r="AE53" s="31">
        <v>2.605</v>
      </c>
      <c r="AF53" s="31">
        <v>2.605</v>
      </c>
      <c r="AG53" s="31">
        <v>2.605</v>
      </c>
      <c r="AH53" s="31">
        <v>2.605</v>
      </c>
      <c r="AI53" s="67">
        <v>2.605</v>
      </c>
      <c r="AJ53" s="67">
        <v>2.605</v>
      </c>
      <c r="AK53" s="67">
        <v>2.605</v>
      </c>
      <c r="AL53" s="67">
        <v>2.605</v>
      </c>
      <c r="AM53" s="67">
        <v>2.605</v>
      </c>
      <c r="AN53" s="67">
        <v>2.605</v>
      </c>
    </row>
    <row r="54" spans="1:45" s="55" customFormat="1">
      <c r="A54" s="340" t="s">
        <v>470</v>
      </c>
      <c r="B54" s="340"/>
      <c r="C54" s="340"/>
      <c r="D54" s="57" t="s">
        <v>471</v>
      </c>
      <c r="E54" s="57" cm="1">
        <f t="array" ref="E54:AN54">TRANSPOSE(_xlfn._xlws.FILTER('Raw Data'!AI3:AI309,('Raw Data'!C3:C309=5)*('Raw Data'!AI3:AI309&lt;&gt;"")))</f>
        <v>23.366536</v>
      </c>
      <c r="F54" s="57">
        <v>23.407451999999999</v>
      </c>
      <c r="G54" s="57">
        <v>23.365182000000001</v>
      </c>
      <c r="H54" s="57">
        <v>23.147193000000001</v>
      </c>
      <c r="I54" s="57">
        <v>23.300184000000002</v>
      </c>
      <c r="J54" s="57">
        <v>23.141192</v>
      </c>
      <c r="K54" s="57">
        <v>23.562332999999999</v>
      </c>
      <c r="L54" s="57">
        <v>23.413194000000001</v>
      </c>
      <c r="M54" s="57">
        <v>23.366049</v>
      </c>
      <c r="N54" s="57">
        <v>23.036341</v>
      </c>
      <c r="O54" s="57">
        <v>23.473344999999998</v>
      </c>
      <c r="P54" s="57">
        <v>23.214171</v>
      </c>
      <c r="Q54" s="57">
        <v>23.303550000000001</v>
      </c>
      <c r="R54" s="57">
        <v>24.019653000000002</v>
      </c>
      <c r="S54" s="57">
        <v>22.271166999999998</v>
      </c>
      <c r="T54" s="57">
        <v>23.577528999999998</v>
      </c>
      <c r="U54" s="57">
        <v>23.665030999999999</v>
      </c>
      <c r="V54" s="57">
        <v>23.362234000000001</v>
      </c>
      <c r="W54" s="57">
        <v>23.191285000000001</v>
      </c>
      <c r="X54" s="57">
        <v>23.011741000000001</v>
      </c>
      <c r="Y54" s="57">
        <v>23.036390000000001</v>
      </c>
      <c r="Z54" s="57">
        <v>23.358440000000002</v>
      </c>
      <c r="AA54" s="57">
        <v>22.833252000000002</v>
      </c>
      <c r="AB54" s="57">
        <v>22.912787000000002</v>
      </c>
      <c r="AC54" s="57">
        <v>22.890391000000001</v>
      </c>
      <c r="AD54" s="57">
        <v>22.996292</v>
      </c>
      <c r="AE54" s="57">
        <v>22.860758000000001</v>
      </c>
      <c r="AF54" s="57">
        <v>22.695982999999998</v>
      </c>
      <c r="AG54" s="57">
        <v>22.839597999999999</v>
      </c>
      <c r="AH54" s="57">
        <v>22.728777000000001</v>
      </c>
      <c r="AI54" s="125">
        <v>23.365417999999998</v>
      </c>
      <c r="AJ54" s="125">
        <v>23.040638000000001</v>
      </c>
      <c r="AK54" s="125">
        <v>22.284676999999999</v>
      </c>
      <c r="AL54" s="125">
        <v>22.983027</v>
      </c>
      <c r="AM54" s="125">
        <v>23.349909</v>
      </c>
      <c r="AN54" s="125">
        <v>22.173625000000001</v>
      </c>
      <c r="AO54" s="57"/>
      <c r="AP54" s="57"/>
      <c r="AQ54" s="57"/>
      <c r="AR54" s="57"/>
      <c r="AS54" s="57"/>
    </row>
    <row r="55" spans="1:45" s="9" customFormat="1">
      <c r="A55" s="344" t="s">
        <v>473</v>
      </c>
      <c r="B55" s="344"/>
      <c r="C55" s="344"/>
      <c r="D55" s="34" t="s">
        <v>471</v>
      </c>
      <c r="E55" s="57" cm="1">
        <f t="array" ref="E55:AN55">TRANSPOSE(_xlfn._xlws.FILTER('Raw Data'!AJ3:AJ310,('Raw Data'!C3:C310=5)*('Raw Data'!AJ3:AJ310&lt;&gt;"")))</f>
        <v>58.075819000000003</v>
      </c>
      <c r="F55" s="34">
        <v>58.500475999999999</v>
      </c>
      <c r="G55" s="34">
        <v>58.641351999999998</v>
      </c>
      <c r="H55" s="34">
        <v>58.675472999999997</v>
      </c>
      <c r="I55" s="34">
        <v>58.568770999999998</v>
      </c>
      <c r="J55" s="34">
        <v>58.772364000000003</v>
      </c>
      <c r="K55" s="34">
        <v>58.167951000000002</v>
      </c>
      <c r="L55" s="34">
        <v>58.367153000000002</v>
      </c>
      <c r="M55" s="34">
        <v>58.384990000000002</v>
      </c>
      <c r="N55" s="34">
        <v>58.626969000000003</v>
      </c>
      <c r="O55" s="34">
        <v>58.288652999999996</v>
      </c>
      <c r="P55" s="34">
        <v>58.556694</v>
      </c>
      <c r="Q55" s="34">
        <v>58.387087000000001</v>
      </c>
      <c r="R55" s="34">
        <v>58.323152</v>
      </c>
      <c r="S55" s="34">
        <v>59.102755999999999</v>
      </c>
      <c r="T55" s="34">
        <v>58.098917</v>
      </c>
      <c r="U55" s="34">
        <v>57.751728</v>
      </c>
      <c r="V55" s="34">
        <v>58.253239999999998</v>
      </c>
      <c r="W55" s="34">
        <v>58.443252000000001</v>
      </c>
      <c r="X55" s="34">
        <v>58.216797999999997</v>
      </c>
      <c r="Y55" s="34">
        <v>58.432172999999999</v>
      </c>
      <c r="Z55" s="34">
        <v>58.434882000000002</v>
      </c>
      <c r="AA55" s="34">
        <v>58.397804000000001</v>
      </c>
      <c r="AB55" s="34">
        <v>58.454413000000002</v>
      </c>
      <c r="AC55" s="34">
        <v>58.038704000000003</v>
      </c>
      <c r="AD55" s="34">
        <v>58.212826</v>
      </c>
      <c r="AE55" s="34">
        <v>58.438696999999998</v>
      </c>
      <c r="AF55" s="34">
        <v>58.218530000000001</v>
      </c>
      <c r="AG55" s="34">
        <v>58.280489000000003</v>
      </c>
      <c r="AH55" s="34">
        <v>58.531373000000002</v>
      </c>
      <c r="AI55" s="128">
        <v>57.912018000000003</v>
      </c>
      <c r="AJ55" s="128">
        <v>58.154350999999998</v>
      </c>
      <c r="AK55" s="128">
        <v>58.551909999999999</v>
      </c>
      <c r="AL55" s="128">
        <v>58.053579999999997</v>
      </c>
      <c r="AM55" s="128">
        <v>57.821556000000001</v>
      </c>
      <c r="AN55" s="128">
        <v>58.632100999999999</v>
      </c>
      <c r="AO55" s="34"/>
      <c r="AP55" s="34"/>
      <c r="AQ55" s="34"/>
      <c r="AR55" s="34"/>
      <c r="AS55" s="34"/>
    </row>
    <row r="56" spans="1:45">
      <c r="A56" s="343" t="s">
        <v>474</v>
      </c>
      <c r="B56" s="343"/>
      <c r="C56" s="343"/>
      <c r="D56" s="31" t="s">
        <v>471</v>
      </c>
      <c r="E56" s="34">
        <f>100-E55-E54</f>
        <v>18.557644999999997</v>
      </c>
      <c r="F56" s="34">
        <f t="shared" ref="F56:AL56" si="11">100-F55-F54</f>
        <v>18.092072000000002</v>
      </c>
      <c r="G56" s="34">
        <f t="shared" si="11"/>
        <v>17.993466000000002</v>
      </c>
      <c r="H56" s="34">
        <f t="shared" si="11"/>
        <v>18.177334000000002</v>
      </c>
      <c r="I56" s="34">
        <f t="shared" si="11"/>
        <v>18.131045</v>
      </c>
      <c r="J56" s="34">
        <f t="shared" si="11"/>
        <v>18.086443999999997</v>
      </c>
      <c r="K56" s="34">
        <f t="shared" si="11"/>
        <v>18.269715999999999</v>
      </c>
      <c r="L56" s="34">
        <f t="shared" si="11"/>
        <v>18.219652999999997</v>
      </c>
      <c r="M56" s="34">
        <f t="shared" si="11"/>
        <v>18.248960999999998</v>
      </c>
      <c r="N56" s="34">
        <f t="shared" si="11"/>
        <v>18.336689999999997</v>
      </c>
      <c r="O56" s="34">
        <f t="shared" si="11"/>
        <v>18.238002000000005</v>
      </c>
      <c r="P56" s="34">
        <f t="shared" si="11"/>
        <v>18.229134999999999</v>
      </c>
      <c r="Q56" s="34">
        <f t="shared" si="11"/>
        <v>18.309362999999998</v>
      </c>
      <c r="R56" s="34">
        <f t="shared" si="11"/>
        <v>17.657194999999998</v>
      </c>
      <c r="S56" s="34">
        <f t="shared" si="11"/>
        <v>18.626077000000002</v>
      </c>
      <c r="T56" s="34">
        <f t="shared" si="11"/>
        <v>18.323554000000001</v>
      </c>
      <c r="U56" s="34">
        <f t="shared" si="11"/>
        <v>18.583241000000001</v>
      </c>
      <c r="V56" s="34">
        <f t="shared" si="11"/>
        <v>18.384526000000001</v>
      </c>
      <c r="W56" s="34">
        <f t="shared" si="11"/>
        <v>18.365462999999998</v>
      </c>
      <c r="X56" s="34">
        <f t="shared" si="11"/>
        <v>18.771461000000002</v>
      </c>
      <c r="Y56" s="34">
        <f t="shared" si="11"/>
        <v>18.531437</v>
      </c>
      <c r="Z56" s="34">
        <f t="shared" si="11"/>
        <v>18.206677999999997</v>
      </c>
      <c r="AA56" s="34">
        <f t="shared" si="11"/>
        <v>18.768943999999998</v>
      </c>
      <c r="AB56" s="34">
        <f t="shared" si="11"/>
        <v>18.632799999999996</v>
      </c>
      <c r="AC56" s="34">
        <f t="shared" si="11"/>
        <v>19.070904999999996</v>
      </c>
      <c r="AD56" s="34">
        <f t="shared" si="11"/>
        <v>18.790882</v>
      </c>
      <c r="AE56" s="34">
        <f t="shared" si="11"/>
        <v>18.700545000000002</v>
      </c>
      <c r="AF56" s="34">
        <f t="shared" si="11"/>
        <v>19.085487000000001</v>
      </c>
      <c r="AG56" s="34">
        <f t="shared" si="11"/>
        <v>18.879912999999998</v>
      </c>
      <c r="AH56" s="34">
        <f t="shared" si="11"/>
        <v>18.739849999999997</v>
      </c>
      <c r="AI56" s="128">
        <f t="shared" si="11"/>
        <v>18.722563999999998</v>
      </c>
      <c r="AJ56" s="128">
        <f t="shared" si="11"/>
        <v>18.805011</v>
      </c>
      <c r="AK56" s="128">
        <f t="shared" si="11"/>
        <v>19.163413000000002</v>
      </c>
      <c r="AL56" s="128">
        <f t="shared" si="11"/>
        <v>18.963393000000003</v>
      </c>
      <c r="AM56" s="128">
        <f t="shared" ref="AM56:AN56" si="12">100-AM55-AM54</f>
        <v>18.828534999999999</v>
      </c>
      <c r="AN56" s="128">
        <f t="shared" si="12"/>
        <v>19.194274</v>
      </c>
    </row>
    <row r="57" spans="1:45">
      <c r="A57" s="343" t="s">
        <v>475</v>
      </c>
      <c r="B57" s="343"/>
      <c r="C57" s="343"/>
      <c r="D57" s="31" t="s">
        <v>471</v>
      </c>
      <c r="E57" s="31">
        <f>SUM(E54:E56)</f>
        <v>100</v>
      </c>
      <c r="F57" s="31">
        <f t="shared" ref="F57:AL57" si="13">SUM(F54:F56)</f>
        <v>100</v>
      </c>
      <c r="G57" s="31">
        <f t="shared" si="13"/>
        <v>100</v>
      </c>
      <c r="H57" s="31">
        <f t="shared" si="13"/>
        <v>100</v>
      </c>
      <c r="I57" s="31">
        <f t="shared" si="13"/>
        <v>100</v>
      </c>
      <c r="J57" s="31">
        <f t="shared" si="13"/>
        <v>100</v>
      </c>
      <c r="K57" s="31">
        <f t="shared" si="13"/>
        <v>100</v>
      </c>
      <c r="L57" s="31">
        <f t="shared" si="13"/>
        <v>100</v>
      </c>
      <c r="M57" s="31">
        <f t="shared" si="13"/>
        <v>100</v>
      </c>
      <c r="N57" s="31">
        <f t="shared" si="13"/>
        <v>100</v>
      </c>
      <c r="O57" s="31">
        <f t="shared" si="13"/>
        <v>100</v>
      </c>
      <c r="P57" s="31">
        <f t="shared" si="13"/>
        <v>100</v>
      </c>
      <c r="Q57" s="31">
        <f t="shared" si="13"/>
        <v>100</v>
      </c>
      <c r="R57" s="31">
        <f t="shared" si="13"/>
        <v>100</v>
      </c>
      <c r="S57" s="31">
        <f t="shared" si="13"/>
        <v>100</v>
      </c>
      <c r="T57" s="31">
        <f t="shared" si="13"/>
        <v>100</v>
      </c>
      <c r="U57" s="31">
        <f t="shared" si="13"/>
        <v>100</v>
      </c>
      <c r="V57" s="31">
        <f t="shared" si="13"/>
        <v>100</v>
      </c>
      <c r="W57" s="31">
        <f t="shared" si="13"/>
        <v>100</v>
      </c>
      <c r="X57" s="31">
        <f t="shared" si="13"/>
        <v>100</v>
      </c>
      <c r="Y57" s="31">
        <f t="shared" si="13"/>
        <v>100</v>
      </c>
      <c r="Z57" s="31">
        <f t="shared" si="13"/>
        <v>100</v>
      </c>
      <c r="AA57" s="31">
        <f t="shared" si="13"/>
        <v>100</v>
      </c>
      <c r="AB57" s="31">
        <f t="shared" si="13"/>
        <v>100</v>
      </c>
      <c r="AC57" s="31">
        <f t="shared" si="13"/>
        <v>100</v>
      </c>
      <c r="AD57" s="31">
        <f t="shared" si="13"/>
        <v>100</v>
      </c>
      <c r="AE57" s="31">
        <f t="shared" si="13"/>
        <v>100</v>
      </c>
      <c r="AF57" s="31">
        <f t="shared" si="13"/>
        <v>100</v>
      </c>
      <c r="AG57" s="31">
        <f t="shared" si="13"/>
        <v>100</v>
      </c>
      <c r="AH57" s="31">
        <f t="shared" si="13"/>
        <v>100</v>
      </c>
      <c r="AI57" s="67">
        <f t="shared" si="13"/>
        <v>100</v>
      </c>
      <c r="AJ57" s="67">
        <f t="shared" si="13"/>
        <v>100</v>
      </c>
      <c r="AK57" s="67">
        <f t="shared" si="13"/>
        <v>100</v>
      </c>
      <c r="AL57" s="67">
        <f t="shared" si="13"/>
        <v>100</v>
      </c>
      <c r="AM57" s="67">
        <f t="shared" ref="AM57:AN57" si="14">SUM(AM54:AM56)</f>
        <v>100</v>
      </c>
      <c r="AN57" s="67">
        <f t="shared" si="14"/>
        <v>100</v>
      </c>
    </row>
    <row r="58" spans="1:45" s="34" customFormat="1">
      <c r="A58" s="344" t="s">
        <v>476</v>
      </c>
      <c r="B58" s="344"/>
      <c r="C58" s="344"/>
      <c r="D58" s="75" t="s">
        <v>112</v>
      </c>
      <c r="E58" s="57" cm="1">
        <f t="array" ref="E58:AN58">TRANSPOSE(_xlfn._xlws.FILTER('Raw Data'!AL3:AL313,('Raw Data'!C3:C313=5)*('Raw Data'!AL3:AL313&lt;&gt;"")))</f>
        <v>88.127716065000001</v>
      </c>
      <c r="F58" s="34">
        <v>88.090354919000006</v>
      </c>
      <c r="G58" s="34">
        <v>88.093261718999997</v>
      </c>
      <c r="H58" s="34">
        <v>88.439216614000003</v>
      </c>
      <c r="I58" s="34">
        <v>88.452522278000004</v>
      </c>
      <c r="J58" s="34">
        <v>88.477493285999998</v>
      </c>
      <c r="K58" s="34">
        <v>88.472503661999994</v>
      </c>
      <c r="L58" s="34">
        <v>88.446678161999998</v>
      </c>
      <c r="M58" s="34">
        <v>88.461212157999995</v>
      </c>
      <c r="N58" s="34">
        <v>88.470069885000001</v>
      </c>
      <c r="O58" s="34">
        <v>88.476852417000003</v>
      </c>
      <c r="P58" s="34">
        <v>88.479858398000005</v>
      </c>
      <c r="Q58" s="34">
        <v>88.483856200999995</v>
      </c>
      <c r="R58" s="34">
        <v>88.479286193999997</v>
      </c>
      <c r="S58" s="34">
        <v>88.506477356000005</v>
      </c>
      <c r="T58" s="34">
        <v>88.504211425999998</v>
      </c>
      <c r="U58" s="34">
        <v>88.510086060000006</v>
      </c>
      <c r="V58" s="34">
        <v>88.503944396999998</v>
      </c>
      <c r="W58" s="34">
        <v>88.500541686999995</v>
      </c>
      <c r="X58" s="34">
        <v>88.502143860000004</v>
      </c>
      <c r="Y58" s="34">
        <v>88.508071899000001</v>
      </c>
      <c r="Z58" s="34">
        <v>88.508193969999994</v>
      </c>
      <c r="AA58" s="34">
        <v>88.496894835999996</v>
      </c>
      <c r="AB58" s="34">
        <v>88.521095275999997</v>
      </c>
      <c r="AC58" s="34">
        <v>88.529129028</v>
      </c>
      <c r="AD58" s="34">
        <v>88.523315429999997</v>
      </c>
      <c r="AE58" s="34">
        <v>88.522918700999995</v>
      </c>
      <c r="AF58" s="34">
        <v>88.513977050999998</v>
      </c>
      <c r="AG58" s="34">
        <v>88.518737793</v>
      </c>
      <c r="AH58" s="34">
        <v>88.517562866000006</v>
      </c>
      <c r="AI58" s="128">
        <v>88.525154114000003</v>
      </c>
      <c r="AJ58" s="128">
        <v>88.535461425999998</v>
      </c>
      <c r="AK58" s="128">
        <v>88.552970885999997</v>
      </c>
      <c r="AL58" s="128">
        <v>88.542396545000003</v>
      </c>
      <c r="AM58" s="128">
        <v>88.541931152000004</v>
      </c>
      <c r="AN58" s="128">
        <v>88.531379700000002</v>
      </c>
    </row>
    <row r="59" spans="1:45" s="57" customFormat="1">
      <c r="A59" s="340" t="s">
        <v>477</v>
      </c>
      <c r="B59" s="340"/>
      <c r="C59" s="340"/>
      <c r="D59" s="57" t="s">
        <v>314</v>
      </c>
      <c r="E59" s="57" cm="1">
        <f t="array" ref="E59:AN59">TRANSPOSE(_xlfn._xlws.FILTER('Raw Data'!AM3:AM314,('Raw Data'!C3:C314=5)*('Raw Data'!AM3:AM314&lt;&gt;"")))</f>
        <v>83.605834960999999</v>
      </c>
      <c r="F59" s="57">
        <v>83.605171204000001</v>
      </c>
      <c r="G59" s="57">
        <v>83.605247497999997</v>
      </c>
      <c r="H59" s="57">
        <v>83.612030028999996</v>
      </c>
      <c r="I59" s="57">
        <v>83.612426757999998</v>
      </c>
      <c r="J59" s="57">
        <v>83.612510681000003</v>
      </c>
      <c r="K59" s="57">
        <v>83.612968445000007</v>
      </c>
      <c r="L59" s="57">
        <v>83.612258910999998</v>
      </c>
      <c r="M59" s="57">
        <v>83.612518309999999</v>
      </c>
      <c r="N59" s="57">
        <v>83.612785338999998</v>
      </c>
      <c r="O59" s="57">
        <v>83.613227843999994</v>
      </c>
      <c r="P59" s="57">
        <v>83.613136291000004</v>
      </c>
      <c r="Q59" s="57">
        <v>83.613128661999994</v>
      </c>
      <c r="R59" s="57">
        <v>83.612892150999997</v>
      </c>
      <c r="S59" s="57">
        <v>83.613586425999998</v>
      </c>
      <c r="T59" s="57">
        <v>83.613525390999996</v>
      </c>
      <c r="U59" s="57">
        <v>83.613746642999999</v>
      </c>
      <c r="V59" s="57">
        <v>83.613586425999998</v>
      </c>
      <c r="W59" s="57">
        <v>83.613426208999996</v>
      </c>
      <c r="X59" s="57">
        <v>83.613616942999997</v>
      </c>
      <c r="Y59" s="57">
        <v>83.613662719999994</v>
      </c>
      <c r="Z59" s="57">
        <v>83.613761901999993</v>
      </c>
      <c r="AA59" s="57">
        <v>83.613571167000003</v>
      </c>
      <c r="AB59" s="57">
        <v>83.614051818999997</v>
      </c>
      <c r="AC59" s="57">
        <v>83.614173889</v>
      </c>
      <c r="AD59" s="57">
        <v>83.614067078000005</v>
      </c>
      <c r="AE59" s="57">
        <v>83.613502502000003</v>
      </c>
      <c r="AF59" s="57">
        <v>83.613739014000004</v>
      </c>
      <c r="AG59" s="57">
        <v>83.61390686</v>
      </c>
      <c r="AH59" s="57">
        <v>83.614006042</v>
      </c>
      <c r="AI59" s="125">
        <v>83.613540649000001</v>
      </c>
      <c r="AJ59" s="125">
        <v>83.614135742000002</v>
      </c>
      <c r="AK59" s="125">
        <v>83.614570618000002</v>
      </c>
      <c r="AL59" s="125">
        <v>83.614677428999997</v>
      </c>
      <c r="AM59" s="125">
        <v>83.614318847999996</v>
      </c>
      <c r="AN59" s="125">
        <v>83.614219665999997</v>
      </c>
    </row>
    <row r="60" spans="1:45" s="57" customFormat="1">
      <c r="A60" s="340" t="s">
        <v>478</v>
      </c>
      <c r="B60" s="340"/>
      <c r="C60" s="340"/>
      <c r="D60" s="57" t="s">
        <v>314</v>
      </c>
      <c r="E60" s="57" cm="1">
        <f t="array" ref="E60:AN60">TRANSPOSE(_xlfn._xlws.FILTER('Raw Data'!AN3:AN315,('Raw Data'!C3:C315=5)*('Raw Data'!AN3:AN315&lt;&gt;"")))</f>
        <v>16.272115707000001</v>
      </c>
      <c r="F60" s="57">
        <v>16.287557602</v>
      </c>
      <c r="G60" s="57">
        <v>16.278394699</v>
      </c>
      <c r="H60" s="57">
        <v>16.284790039000001</v>
      </c>
      <c r="I60" s="57">
        <v>16.284427643000001</v>
      </c>
      <c r="J60" s="57">
        <v>16.283739090000001</v>
      </c>
      <c r="K60" s="57">
        <v>16.283323287999998</v>
      </c>
      <c r="L60" s="57">
        <v>16.284818649000002</v>
      </c>
      <c r="M60" s="57">
        <v>16.284172057999999</v>
      </c>
      <c r="N60" s="57">
        <v>16.283779144</v>
      </c>
      <c r="O60" s="57">
        <v>16.283212662</v>
      </c>
      <c r="P60" s="57">
        <v>16.283164977999999</v>
      </c>
      <c r="Q60" s="57">
        <v>16.283033370999998</v>
      </c>
      <c r="R60" s="57">
        <v>16.283803939999999</v>
      </c>
      <c r="S60" s="57">
        <v>16.282699585</v>
      </c>
      <c r="T60" s="57">
        <v>16.282749175999999</v>
      </c>
      <c r="U60" s="57">
        <v>16.282888412999998</v>
      </c>
      <c r="V60" s="57">
        <v>16.282754898</v>
      </c>
      <c r="W60" s="57">
        <v>16.283500670999999</v>
      </c>
      <c r="X60" s="57">
        <v>16.283210753999999</v>
      </c>
      <c r="Y60" s="57">
        <v>16.282636643</v>
      </c>
      <c r="Z60" s="57">
        <v>16.282234192000001</v>
      </c>
      <c r="AA60" s="57">
        <v>16.277875900000002</v>
      </c>
      <c r="AB60" s="57">
        <v>16.282138824</v>
      </c>
      <c r="AC60" s="57">
        <v>16.281883239999999</v>
      </c>
      <c r="AD60" s="57">
        <v>16.281736374000001</v>
      </c>
      <c r="AE60" s="57">
        <v>16.282541275</v>
      </c>
      <c r="AF60" s="57">
        <v>16.28219223</v>
      </c>
      <c r="AG60" s="57">
        <v>16.282478332</v>
      </c>
      <c r="AH60" s="57">
        <v>16.282394408999998</v>
      </c>
      <c r="AI60" s="125">
        <v>16.282724380000001</v>
      </c>
      <c r="AJ60" s="125">
        <v>16.281785965000001</v>
      </c>
      <c r="AK60" s="125">
        <v>16.280818939</v>
      </c>
      <c r="AL60" s="125">
        <v>16.281232834000001</v>
      </c>
      <c r="AM60" s="125">
        <v>16.281833648999999</v>
      </c>
      <c r="AN60" s="125">
        <v>16.281980514000001</v>
      </c>
    </row>
    <row r="61" spans="1:45">
      <c r="A61" s="343" t="s">
        <v>479</v>
      </c>
      <c r="B61" s="343"/>
      <c r="C61" s="343"/>
      <c r="D61" s="31" t="s">
        <v>12</v>
      </c>
      <c r="E61" s="58">
        <f>(E53/(E55/100))*(E54/100)*(0.0416)*2</f>
        <v>8.7202722814739814E-2</v>
      </c>
      <c r="F61" s="58">
        <f t="shared" ref="F61:AL61" si="15">(F53/(F55/100))*(F54/100)*(0.0416)*2</f>
        <v>8.6721303202250855E-2</v>
      </c>
      <c r="G61" s="58">
        <f t="shared" si="15"/>
        <v>8.6356741671849591E-2</v>
      </c>
      <c r="H61" s="58">
        <f t="shared" si="15"/>
        <v>8.5501313675784091E-2</v>
      </c>
      <c r="I61" s="58">
        <f t="shared" si="15"/>
        <v>8.6223231138382594E-2</v>
      </c>
      <c r="J61" s="58">
        <f t="shared" si="15"/>
        <v>8.5338227832931809E-2</v>
      </c>
      <c r="K61" s="58">
        <f t="shared" si="15"/>
        <v>8.7794149824668891E-2</v>
      </c>
      <c r="L61" s="58">
        <f t="shared" si="15"/>
        <v>8.6940715007703034E-2</v>
      </c>
      <c r="M61" s="58">
        <f t="shared" si="15"/>
        <v>8.6739142989730747E-2</v>
      </c>
      <c r="N61" s="58">
        <f t="shared" si="15"/>
        <v>8.5162246797646987E-2</v>
      </c>
      <c r="O61" s="58">
        <f t="shared" si="15"/>
        <v>8.7281462858989023E-2</v>
      </c>
      <c r="P61" s="58">
        <f t="shared" si="15"/>
        <v>8.5922654135084889E-2</v>
      </c>
      <c r="Q61" s="58">
        <f t="shared" si="15"/>
        <v>8.650402807045332E-2</v>
      </c>
      <c r="R61" s="58">
        <f t="shared" si="15"/>
        <v>8.9259982255554385E-2</v>
      </c>
      <c r="S61" s="58">
        <f t="shared" si="15"/>
        <v>8.1670703324088628E-2</v>
      </c>
      <c r="T61" s="58">
        <f t="shared" si="15"/>
        <v>8.7955156295667247E-2</v>
      </c>
      <c r="U61" s="58">
        <f t="shared" si="15"/>
        <v>8.8812306340270875E-2</v>
      </c>
      <c r="V61" s="58">
        <f t="shared" si="15"/>
        <v>8.6921124871749619E-2</v>
      </c>
      <c r="W61" s="58">
        <f t="shared" si="15"/>
        <v>8.6004562952109495E-2</v>
      </c>
      <c r="X61" s="58">
        <f t="shared" si="15"/>
        <v>8.5670680434468419E-2</v>
      </c>
      <c r="Y61" s="58">
        <f t="shared" si="15"/>
        <v>8.5446334899097434E-2</v>
      </c>
      <c r="Z61" s="58">
        <f t="shared" si="15"/>
        <v>8.663686275331231E-2</v>
      </c>
      <c r="AA61" s="58">
        <f t="shared" si="15"/>
        <v>8.4742702062426858E-2</v>
      </c>
      <c r="AB61" s="58">
        <f t="shared" si="15"/>
        <v>8.4955532839445319E-2</v>
      </c>
      <c r="AC61" s="58">
        <f t="shared" si="15"/>
        <v>8.5480402590933105E-2</v>
      </c>
      <c r="AD61" s="58">
        <f t="shared" si="15"/>
        <v>8.5619006761705738E-2</v>
      </c>
      <c r="AE61" s="58">
        <f t="shared" si="15"/>
        <v>8.4785416175312753E-2</v>
      </c>
      <c r="AF61" s="58">
        <f t="shared" si="15"/>
        <v>8.4492627544666618E-2</v>
      </c>
      <c r="AG61" s="58">
        <f t="shared" si="15"/>
        <v>8.4936883630609195E-2</v>
      </c>
      <c r="AH61" s="58">
        <f t="shared" si="15"/>
        <v>8.4162457830469842E-2</v>
      </c>
      <c r="AI61" s="129">
        <f t="shared" si="15"/>
        <v>8.7445186863424423E-2</v>
      </c>
      <c r="AJ61" s="129">
        <f t="shared" si="15"/>
        <v>8.5870371377164897E-2</v>
      </c>
      <c r="AK61" s="129">
        <f t="shared" si="15"/>
        <v>8.2489055511118237E-2</v>
      </c>
      <c r="AL61" s="129">
        <f t="shared" si="15"/>
        <v>8.5804343847046147E-2</v>
      </c>
      <c r="AM61" s="129">
        <f t="shared" ref="AM61:AN61" si="16">(AM53/(AM55/100))*(AM54/100)*(0.0416)*2</f>
        <v>8.7523861810706025E-2</v>
      </c>
      <c r="AN61" s="129">
        <f t="shared" si="16"/>
        <v>8.196572706818063E-2</v>
      </c>
    </row>
    <row r="62" spans="1:45">
      <c r="A62" s="343" t="s">
        <v>480</v>
      </c>
      <c r="B62" s="343"/>
      <c r="C62" s="343"/>
      <c r="D62" s="31" t="s">
        <v>12</v>
      </c>
      <c r="E62" s="57">
        <f>(E53/(E55/100))*(E56/100)*(0.0416)*(E58)</f>
        <v>3.0516947659507752</v>
      </c>
      <c r="F62" s="57">
        <f t="shared" ref="F62:AL62" si="17">(F53/(F55/100))*(F56/100)*(0.0416)*(F58)</f>
        <v>2.9522853104937585</v>
      </c>
      <c r="G62" s="57">
        <f t="shared" si="17"/>
        <v>2.9292376099697357</v>
      </c>
      <c r="H62" s="57">
        <f t="shared" si="17"/>
        <v>2.9690638226254507</v>
      </c>
      <c r="I62" s="57">
        <f t="shared" si="17"/>
        <v>2.9673447401588233</v>
      </c>
      <c r="J62" s="57">
        <f t="shared" si="17"/>
        <v>2.9506241757798088</v>
      </c>
      <c r="K62" s="57">
        <f t="shared" si="17"/>
        <v>3.0113234509990257</v>
      </c>
      <c r="L62" s="57">
        <f t="shared" si="17"/>
        <v>2.9919489295163726</v>
      </c>
      <c r="M62" s="57">
        <f t="shared" si="17"/>
        <v>2.996338518365953</v>
      </c>
      <c r="N62" s="57">
        <f t="shared" si="17"/>
        <v>2.9986165223120129</v>
      </c>
      <c r="O62" s="57">
        <f t="shared" si="17"/>
        <v>3.0000187020335849</v>
      </c>
      <c r="P62" s="57">
        <f t="shared" si="17"/>
        <v>2.9849357610981486</v>
      </c>
      <c r="Q62" s="57">
        <f t="shared" si="17"/>
        <v>3.0069175943773567</v>
      </c>
      <c r="R62" s="57">
        <f t="shared" si="17"/>
        <v>2.9028419792663942</v>
      </c>
      <c r="S62" s="57">
        <f t="shared" si="17"/>
        <v>3.02266331531334</v>
      </c>
      <c r="T62" s="57">
        <f t="shared" si="17"/>
        <v>3.0248696927020164</v>
      </c>
      <c r="U62" s="57">
        <f t="shared" si="17"/>
        <v>3.0863864033226749</v>
      </c>
      <c r="V62" s="57">
        <f t="shared" si="17"/>
        <v>3.0268858032700252</v>
      </c>
      <c r="W62" s="57">
        <f t="shared" si="17"/>
        <v>3.0138004612386453</v>
      </c>
      <c r="X62" s="57">
        <f t="shared" si="17"/>
        <v>3.0924636953569049</v>
      </c>
      <c r="Y62" s="57">
        <f t="shared" si="17"/>
        <v>3.041872442309614</v>
      </c>
      <c r="Z62" s="57">
        <f t="shared" si="17"/>
        <v>2.988429929409183</v>
      </c>
      <c r="AA62" s="57">
        <f t="shared" si="17"/>
        <v>3.082282305731848</v>
      </c>
      <c r="AB62" s="57">
        <f t="shared" si="17"/>
        <v>3.0577970391441278</v>
      </c>
      <c r="AC62" s="57">
        <f t="shared" si="17"/>
        <v>3.152396571126872</v>
      </c>
      <c r="AD62" s="57">
        <f t="shared" si="17"/>
        <v>3.096614988551766</v>
      </c>
      <c r="AE62" s="57">
        <f t="shared" si="17"/>
        <v>3.0698031158878121</v>
      </c>
      <c r="AF62" s="57">
        <f t="shared" si="17"/>
        <v>3.1445240717513965</v>
      </c>
      <c r="AG62" s="57">
        <f t="shared" si="17"/>
        <v>3.1075138470535175</v>
      </c>
      <c r="AH62" s="57">
        <f t="shared" si="17"/>
        <v>3.0711986271740268</v>
      </c>
      <c r="AI62" s="125">
        <f t="shared" si="17"/>
        <v>3.1014470784417845</v>
      </c>
      <c r="AJ62" s="125">
        <f t="shared" si="17"/>
        <v>3.1024850093954077</v>
      </c>
      <c r="AK62" s="125">
        <f t="shared" si="17"/>
        <v>3.140768937627104</v>
      </c>
      <c r="AL62" s="125">
        <f t="shared" si="17"/>
        <v>3.1342913914344654</v>
      </c>
      <c r="AM62" s="125">
        <f t="shared" ref="AM62:AN62" si="18">(AM53/(AM55/100))*(AM56/100)*(0.0416)*(AM58)</f>
        <v>3.1244731986853211</v>
      </c>
      <c r="AN62" s="125">
        <f t="shared" si="18"/>
        <v>3.140758356900438</v>
      </c>
    </row>
    <row r="63" spans="1:45">
      <c r="A63" s="343" t="s">
        <v>489</v>
      </c>
      <c r="B63" s="343"/>
      <c r="C63" s="343"/>
      <c r="D63" s="31" t="s">
        <v>12</v>
      </c>
      <c r="E63" s="57">
        <f>E62*E59/100</f>
        <v>2.5513948895342802</v>
      </c>
      <c r="F63" s="57">
        <f t="shared" ref="F63:AL63" si="19">F62*F59/100</f>
        <v>2.4682631882688497</v>
      </c>
      <c r="G63" s="57">
        <f t="shared" si="19"/>
        <v>2.4489963536196973</v>
      </c>
      <c r="H63" s="57">
        <f t="shared" si="19"/>
        <v>2.482494534953767</v>
      </c>
      <c r="I63" s="57">
        <f t="shared" si="19"/>
        <v>2.4810689475226617</v>
      </c>
      <c r="J63" s="57">
        <f t="shared" si="19"/>
        <v>2.467090954130061</v>
      </c>
      <c r="K63" s="57">
        <f t="shared" si="19"/>
        <v>2.5178569268607007</v>
      </c>
      <c r="L63" s="57">
        <f t="shared" si="19"/>
        <v>2.5016360854321222</v>
      </c>
      <c r="M63" s="57">
        <f t="shared" si="19"/>
        <v>2.505314092298315</v>
      </c>
      <c r="N63" s="57">
        <f t="shared" si="19"/>
        <v>2.5072267959405306</v>
      </c>
      <c r="O63" s="57">
        <f t="shared" si="19"/>
        <v>2.5084124726939527</v>
      </c>
      <c r="P63" s="57">
        <f t="shared" si="19"/>
        <v>2.4957984061257932</v>
      </c>
      <c r="Q63" s="57">
        <f t="shared" si="19"/>
        <v>2.5141778769470542</v>
      </c>
      <c r="R63" s="57">
        <f t="shared" si="19"/>
        <v>2.4271501334379639</v>
      </c>
      <c r="S63" s="57">
        <f t="shared" si="19"/>
        <v>2.5273572035165164</v>
      </c>
      <c r="T63" s="57">
        <f t="shared" si="19"/>
        <v>2.5292001885520641</v>
      </c>
      <c r="U63" s="57">
        <f t="shared" si="19"/>
        <v>2.5806433076982218</v>
      </c>
      <c r="V63" s="57">
        <f t="shared" si="19"/>
        <v>2.5308877771335068</v>
      </c>
      <c r="W63" s="57">
        <f t="shared" si="19"/>
        <v>2.5199418247442762</v>
      </c>
      <c r="X63" s="57">
        <f t="shared" si="19"/>
        <v>2.585720748337065</v>
      </c>
      <c r="Y63" s="57">
        <f t="shared" si="19"/>
        <v>2.5434209642853869</v>
      </c>
      <c r="Z63" s="57">
        <f t="shared" si="19"/>
        <v>2.4987386857843008</v>
      </c>
      <c r="AA63" s="57">
        <f t="shared" si="19"/>
        <v>2.5772063092709474</v>
      </c>
      <c r="AB63" s="57">
        <f t="shared" si="19"/>
        <v>2.5567480008298187</v>
      </c>
      <c r="AC63" s="57">
        <f t="shared" si="19"/>
        <v>2.6358503506528961</v>
      </c>
      <c r="AD63" s="57">
        <f t="shared" si="19"/>
        <v>2.589205733675076</v>
      </c>
      <c r="AE63" s="57">
        <f t="shared" si="19"/>
        <v>2.5667699051093296</v>
      </c>
      <c r="AF63" s="57">
        <f t="shared" si="19"/>
        <v>2.6292541505866187</v>
      </c>
      <c r="AG63" s="57">
        <f t="shared" si="19"/>
        <v>2.5983137337369313</v>
      </c>
      <c r="AH63" s="57">
        <f t="shared" si="19"/>
        <v>2.5679522056871118</v>
      </c>
      <c r="AI63" s="125">
        <f t="shared" si="19"/>
        <v>2.5932297136401443</v>
      </c>
      <c r="AJ63" s="125">
        <f t="shared" si="19"/>
        <v>2.5941160271310775</v>
      </c>
      <c r="AK63" s="125">
        <f t="shared" si="19"/>
        <v>2.6261404613004231</v>
      </c>
      <c r="AL63" s="125">
        <f t="shared" si="19"/>
        <v>2.6207276366328438</v>
      </c>
      <c r="AM63" s="125">
        <f t="shared" ref="AM63:AN63" si="20">AM62*AM59/100</f>
        <v>2.6125069826690486</v>
      </c>
      <c r="AN63" s="125">
        <f t="shared" si="20"/>
        <v>2.6261205917169845</v>
      </c>
      <c r="AO63" s="57"/>
      <c r="AP63" s="57"/>
      <c r="AQ63" s="57"/>
      <c r="AR63" s="57"/>
    </row>
    <row r="64" spans="1:45">
      <c r="A64" s="343" t="s">
        <v>490</v>
      </c>
      <c r="B64" s="343"/>
      <c r="C64" s="343"/>
      <c r="D64" s="31" t="s">
        <v>12</v>
      </c>
      <c r="E64" s="57">
        <f>E63/($E$2/100)</f>
        <v>3.0515427455259903</v>
      </c>
      <c r="F64" s="57">
        <f t="shared" ref="F64:AL64" si="21">F63/($E$2/100)</f>
        <v>2.952114804770781</v>
      </c>
      <c r="G64" s="57">
        <f t="shared" si="21"/>
        <v>2.9290711082641998</v>
      </c>
      <c r="H64" s="57">
        <f t="shared" si="21"/>
        <v>2.9691359107209272</v>
      </c>
      <c r="I64" s="57">
        <f t="shared" si="21"/>
        <v>2.9674308665502473</v>
      </c>
      <c r="J64" s="57">
        <f t="shared" si="21"/>
        <v>2.9507127785313494</v>
      </c>
      <c r="K64" s="57">
        <f t="shared" si="21"/>
        <v>3.0114303634262658</v>
      </c>
      <c r="L64" s="57">
        <f t="shared" si="21"/>
        <v>2.9920297637030528</v>
      </c>
      <c r="M64" s="57">
        <f t="shared" si="21"/>
        <v>2.9964287672507059</v>
      </c>
      <c r="N64" s="57">
        <f t="shared" si="21"/>
        <v>2.9987164166254403</v>
      </c>
      <c r="O64" s="57">
        <f t="shared" si="21"/>
        <v>3.0001345206242709</v>
      </c>
      <c r="P64" s="57">
        <f t="shared" si="21"/>
        <v>2.9850477288910335</v>
      </c>
      <c r="Q64" s="57">
        <f t="shared" si="21"/>
        <v>3.0070301123634184</v>
      </c>
      <c r="R64" s="57">
        <f t="shared" si="21"/>
        <v>2.902942391386155</v>
      </c>
      <c r="S64" s="57">
        <f t="shared" si="21"/>
        <v>3.0227929715542596</v>
      </c>
      <c r="T64" s="57">
        <f t="shared" si="21"/>
        <v>3.0249972354408134</v>
      </c>
      <c r="U64" s="57">
        <f t="shared" si="21"/>
        <v>3.0865247072099296</v>
      </c>
      <c r="V64" s="57">
        <f t="shared" si="21"/>
        <v>3.0270156406333055</v>
      </c>
      <c r="W64" s="57">
        <f t="shared" si="21"/>
        <v>3.0139239621388305</v>
      </c>
      <c r="X64" s="57">
        <f t="shared" si="21"/>
        <v>3.0925974743895051</v>
      </c>
      <c r="Y64" s="57">
        <f t="shared" si="21"/>
        <v>3.0420056982243597</v>
      </c>
      <c r="Z64" s="57">
        <f t="shared" si="21"/>
        <v>2.9885643891691198</v>
      </c>
      <c r="AA64" s="57">
        <f t="shared" si="21"/>
        <v>3.0824139567885989</v>
      </c>
      <c r="AB64" s="57">
        <f t="shared" si="21"/>
        <v>3.057945222855901</v>
      </c>
      <c r="AC64" s="57">
        <f t="shared" si="21"/>
        <v>3.1525539416970414</v>
      </c>
      <c r="AD64" s="57">
        <f t="shared" si="21"/>
        <v>3.0967656185564838</v>
      </c>
      <c r="AE64" s="57">
        <f t="shared" si="21"/>
        <v>3.0699317128445518</v>
      </c>
      <c r="AF64" s="57">
        <f t="shared" si="21"/>
        <v>3.1446646939201277</v>
      </c>
      <c r="AG64" s="57">
        <f t="shared" si="21"/>
        <v>3.1076590524302494</v>
      </c>
      <c r="AH64" s="57">
        <f t="shared" si="21"/>
        <v>3.0713457788387895</v>
      </c>
      <c r="AI64" s="125">
        <f t="shared" si="21"/>
        <v>3.1015784160269639</v>
      </c>
      <c r="AJ64" s="125">
        <f t="shared" si="21"/>
        <v>3.1026384728275058</v>
      </c>
      <c r="AK64" s="125">
        <f t="shared" si="21"/>
        <v>3.1409406306666945</v>
      </c>
      <c r="AL64" s="125">
        <f t="shared" si="21"/>
        <v>3.1344667344012009</v>
      </c>
      <c r="AM64" s="125">
        <f t="shared" ref="AM64:AN64" si="22">AM63/($E$2/100)</f>
        <v>3.124634592356236</v>
      </c>
      <c r="AN64" s="125">
        <f t="shared" si="22"/>
        <v>3.1409168660650457</v>
      </c>
    </row>
    <row r="65" spans="1:47">
      <c r="B65" s="61"/>
      <c r="C65" s="61" t="s">
        <v>491</v>
      </c>
      <c r="D65" s="31" t="s">
        <v>482</v>
      </c>
      <c r="E65" s="57">
        <f>(E56*E58)/(E54*2)</f>
        <v>34.995406880058447</v>
      </c>
      <c r="F65" s="57">
        <f t="shared" ref="F65:AL65" si="23">(F56*F58)/(F54*2)</f>
        <v>34.043368831859667</v>
      </c>
      <c r="G65" s="57">
        <f t="shared" si="23"/>
        <v>33.920196075723446</v>
      </c>
      <c r="H65" s="57">
        <f t="shared" si="23"/>
        <v>34.725359120024343</v>
      </c>
      <c r="I65" s="57">
        <f t="shared" si="23"/>
        <v>34.414678051167336</v>
      </c>
      <c r="J65" s="57">
        <f t="shared" si="23"/>
        <v>34.575643890289115</v>
      </c>
      <c r="K65" s="57">
        <f t="shared" si="23"/>
        <v>34.299819031368834</v>
      </c>
      <c r="L65" s="57">
        <f t="shared" si="23"/>
        <v>34.413668316982246</v>
      </c>
      <c r="M65" s="57">
        <f t="shared" si="23"/>
        <v>34.544248595131926</v>
      </c>
      <c r="N65" s="57">
        <f t="shared" si="23"/>
        <v>35.210631882892784</v>
      </c>
      <c r="O65" s="57">
        <f t="shared" si="23"/>
        <v>34.3717738425212</v>
      </c>
      <c r="P65" s="57">
        <f t="shared" si="23"/>
        <v>34.739799313058086</v>
      </c>
      <c r="Q65" s="57">
        <f t="shared" si="23"/>
        <v>34.760434415012078</v>
      </c>
      <c r="R65" s="57">
        <f t="shared" si="23"/>
        <v>32.521202737363971</v>
      </c>
      <c r="S65" s="57">
        <f t="shared" si="23"/>
        <v>37.010374495229925</v>
      </c>
      <c r="T65" s="57">
        <f t="shared" si="23"/>
        <v>34.391044483324109</v>
      </c>
      <c r="U65" s="57">
        <f t="shared" si="23"/>
        <v>34.751787567565849</v>
      </c>
      <c r="V65" s="57">
        <f t="shared" si="23"/>
        <v>34.823362073789703</v>
      </c>
      <c r="W65" s="57">
        <f t="shared" si="23"/>
        <v>35.042332148316831</v>
      </c>
      <c r="X65" s="57">
        <f t="shared" si="23"/>
        <v>36.097106730959197</v>
      </c>
      <c r="Y65" s="57">
        <f t="shared" si="23"/>
        <v>35.599800107303899</v>
      </c>
      <c r="Z65" s="57">
        <f t="shared" si="23"/>
        <v>34.493745900268408</v>
      </c>
      <c r="AA65" s="57">
        <f t="shared" si="23"/>
        <v>36.372244815385315</v>
      </c>
      <c r="AB65" s="57">
        <f t="shared" si="23"/>
        <v>35.992912255908728</v>
      </c>
      <c r="AC65" s="57">
        <f t="shared" si="23"/>
        <v>36.878588256219167</v>
      </c>
      <c r="AD65" s="57">
        <f t="shared" si="23"/>
        <v>36.167378081951412</v>
      </c>
      <c r="AE65" s="57">
        <f t="shared" si="23"/>
        <v>36.206735242536404</v>
      </c>
      <c r="AF65" s="57">
        <f t="shared" si="23"/>
        <v>37.216549693510942</v>
      </c>
      <c r="AG65" s="57">
        <f t="shared" si="23"/>
        <v>36.586153320247845</v>
      </c>
      <c r="AH65" s="57">
        <f t="shared" si="23"/>
        <v>36.491313423384149</v>
      </c>
      <c r="AI65" s="125">
        <f t="shared" si="23"/>
        <v>35.467327473217651</v>
      </c>
      <c r="AJ65" s="125">
        <f t="shared" si="23"/>
        <v>36.129865978667894</v>
      </c>
      <c r="AK65" s="125">
        <f t="shared" si="23"/>
        <v>38.07497756115994</v>
      </c>
      <c r="AL65" s="125">
        <f t="shared" si="23"/>
        <v>36.528353354949232</v>
      </c>
      <c r="AM65" s="125">
        <f t="shared" ref="AM65:AN65" si="24">(AM56*AM58)/(AM54*2)</f>
        <v>35.698529909967149</v>
      </c>
      <c r="AN65" s="125">
        <f t="shared" si="24"/>
        <v>38.317946649675861</v>
      </c>
      <c r="AP65" s="57">
        <f t="shared" ref="AP65" si="25">AVERAGE(E65:J65)</f>
        <v>34.445775474853725</v>
      </c>
      <c r="AQ65" s="57">
        <f t="shared" ref="AQ65" si="26">AVERAGE(K65:N65)</f>
        <v>34.617091956593946</v>
      </c>
      <c r="AR65" s="57">
        <f t="shared" ref="AR65" si="27">AVERAGE(O65:T65)</f>
        <v>34.632438214418222</v>
      </c>
      <c r="AS65" s="57">
        <f t="shared" ref="AS65" si="28">AVERAGE(U65:W65)</f>
        <v>34.872493929890794</v>
      </c>
      <c r="AT65" s="55">
        <f t="shared" ref="AT65" si="29">AVERAGE(X65:Z65)</f>
        <v>35.396884246177166</v>
      </c>
      <c r="AU65" s="55">
        <f t="shared" ref="AU65" si="30">AVERAGE(AA65:AG65)</f>
        <v>36.488651666537116</v>
      </c>
    </row>
    <row r="66" spans="1:47" s="74" customFormat="1">
      <c r="A66" s="76"/>
      <c r="B66" s="76"/>
      <c r="C66" s="76" t="s">
        <v>256</v>
      </c>
      <c r="D66" s="81" t="s">
        <v>112</v>
      </c>
      <c r="E66" s="73" cm="1">
        <f t="array" ref="E66:AN66">TRANSPOSE(_xlfn._xlws.FILTER('Raw Data'!AO3:AO305,('Raw Data'!C3:C305=5)*('Raw Data'!AO3:AO305&lt;&gt;"")))</f>
        <v>24.783336639000002</v>
      </c>
      <c r="F66" s="73">
        <v>24.812828064000001</v>
      </c>
      <c r="G66" s="73">
        <v>24.851722717000001</v>
      </c>
      <c r="H66" s="73">
        <v>24.100986481</v>
      </c>
      <c r="I66" s="73">
        <v>24.076862335000001</v>
      </c>
      <c r="J66" s="73">
        <v>24.014835357999999</v>
      </c>
      <c r="K66" s="73">
        <v>24.041326522999999</v>
      </c>
      <c r="L66" s="73">
        <v>24.085996628</v>
      </c>
      <c r="M66" s="73">
        <v>24.057136536000002</v>
      </c>
      <c r="N66" s="73">
        <v>24.042398453000001</v>
      </c>
      <c r="O66" s="73">
        <v>24.037656783999999</v>
      </c>
      <c r="P66" s="73">
        <v>24.028911591</v>
      </c>
      <c r="Q66" s="73">
        <v>24.018072128</v>
      </c>
      <c r="R66" s="73">
        <v>24.022018433</v>
      </c>
      <c r="S66" s="73">
        <v>23.972278594999999</v>
      </c>
      <c r="T66" s="73">
        <v>23.976301193000001</v>
      </c>
      <c r="U66" s="73">
        <v>23.967454910000001</v>
      </c>
      <c r="V66" s="73">
        <v>23.980377196999999</v>
      </c>
      <c r="W66" s="73">
        <v>23.983139038000001</v>
      </c>
      <c r="X66" s="73">
        <v>23.983449936</v>
      </c>
      <c r="Y66" s="73">
        <v>23.970333099000001</v>
      </c>
      <c r="Z66" s="73">
        <v>23.977010727</v>
      </c>
      <c r="AA66" s="73">
        <v>24.025753021</v>
      </c>
      <c r="AB66" s="73">
        <v>23.963333129999999</v>
      </c>
      <c r="AC66" s="73">
        <v>23.945207595999999</v>
      </c>
      <c r="AD66" s="73">
        <v>23.955171584999999</v>
      </c>
      <c r="AE66" s="73">
        <v>23.946298598999999</v>
      </c>
      <c r="AF66" s="73">
        <v>23.977022171000002</v>
      </c>
      <c r="AG66" s="73">
        <v>23.967033386000001</v>
      </c>
      <c r="AH66" s="73">
        <v>23.971340178999998</v>
      </c>
      <c r="AI66" s="130">
        <v>23.921840668000002</v>
      </c>
      <c r="AJ66" s="130">
        <v>23.922420502000001</v>
      </c>
      <c r="AK66" s="130">
        <v>23.892042159999999</v>
      </c>
      <c r="AL66" s="130">
        <v>23.913024902</v>
      </c>
      <c r="AM66" s="130">
        <v>23.902420043999999</v>
      </c>
      <c r="AN66" s="130">
        <v>23.925996779999998</v>
      </c>
      <c r="AO66" s="73"/>
      <c r="AP66" s="73"/>
      <c r="AQ66" s="73"/>
      <c r="AR66" s="73"/>
      <c r="AS66" s="73"/>
    </row>
    <row r="67" spans="1:47" s="137" customFormat="1">
      <c r="A67" s="135"/>
      <c r="B67" s="135"/>
      <c r="C67" s="135"/>
      <c r="D67" s="136"/>
      <c r="E67" s="138"/>
      <c r="F67" s="136"/>
      <c r="G67" s="136"/>
      <c r="H67" s="136"/>
      <c r="I67" s="136"/>
      <c r="J67" s="136"/>
      <c r="K67" s="136"/>
      <c r="AJ67" s="136"/>
      <c r="AK67" s="136"/>
      <c r="AL67" s="136"/>
      <c r="AM67" s="136"/>
      <c r="AN67" s="136"/>
      <c r="AO67" s="136"/>
      <c r="AP67" s="136"/>
      <c r="AQ67" s="136"/>
      <c r="AR67" s="136"/>
      <c r="AS67" s="136"/>
    </row>
    <row r="68" spans="1:47" s="31" customFormat="1">
      <c r="A68" s="61" t="s">
        <v>264</v>
      </c>
      <c r="B68" s="31">
        <v>3</v>
      </c>
      <c r="C68" s="61" t="s">
        <v>461</v>
      </c>
      <c r="D68" s="31" t="s">
        <v>314</v>
      </c>
      <c r="E68" s="34" cm="1">
        <f t="array" ref="E68:AM68">TRANSPOSE(_xlfn._xlws.FILTER('Raw Data'!DP3:DP307,('Raw Data'!C3:C307=5)*('Raw Data'!DP3:DP307&lt;&gt;"")))</f>
        <v>2.2871954999999999E-3</v>
      </c>
      <c r="F68" s="34">
        <v>1.7252481E-3</v>
      </c>
      <c r="G68" s="34">
        <v>1.9440536E-3</v>
      </c>
      <c r="H68" s="34">
        <v>8.5622810000000004E-4</v>
      </c>
      <c r="I68" s="34">
        <v>9.8062670000000009E-4</v>
      </c>
      <c r="J68" s="34">
        <v>8.4797889999999997E-4</v>
      </c>
      <c r="K68" s="34">
        <v>6.3449269999999998E-4</v>
      </c>
      <c r="L68" s="34">
        <v>1.0547199000000001E-3</v>
      </c>
      <c r="M68" s="34">
        <v>8.0128570000000002E-4</v>
      </c>
      <c r="N68" s="34">
        <v>5.6212079999999999E-4</v>
      </c>
      <c r="O68" s="34">
        <v>8.4182530000000003E-4</v>
      </c>
      <c r="P68" s="34">
        <v>8.0243839999999996E-4</v>
      </c>
      <c r="Q68" s="34">
        <v>8.5269410000000001E-4</v>
      </c>
      <c r="R68" s="34">
        <v>7.0132289999999997E-4</v>
      </c>
      <c r="S68" s="34">
        <v>7.9247840000000003E-4</v>
      </c>
      <c r="T68" s="34">
        <v>9.7740600000000011E-4</v>
      </c>
      <c r="U68" s="34">
        <v>9.6813509999999999E-4</v>
      </c>
      <c r="V68" s="34">
        <v>6.0387899999999998E-4</v>
      </c>
      <c r="W68" s="34">
        <v>9.2877689999999995E-4</v>
      </c>
      <c r="X68" s="34">
        <v>7.2155380000000005E-4</v>
      </c>
      <c r="Y68" s="34">
        <v>8.1093810000000001E-4</v>
      </c>
      <c r="Z68" s="34">
        <v>1.3758774000000001E-3</v>
      </c>
      <c r="AA68" s="34">
        <v>2.8639835999999998E-3</v>
      </c>
      <c r="AB68" s="34">
        <v>4.1431831000000004E-3</v>
      </c>
      <c r="AC68" s="34">
        <v>3.9466741000000003E-3</v>
      </c>
      <c r="AD68" s="34">
        <v>4.4967304000000001E-3</v>
      </c>
      <c r="AE68" s="34">
        <v>5.0143693E-3</v>
      </c>
      <c r="AF68" s="34">
        <v>4.8863492E-3</v>
      </c>
      <c r="AG68" s="34">
        <v>4.8674494000000004E-3</v>
      </c>
      <c r="AH68" s="34">
        <v>4.9852189000000003E-3</v>
      </c>
      <c r="AI68" s="34">
        <v>6.1184260000000002E-4</v>
      </c>
      <c r="AJ68" s="34">
        <v>4.0379830000000002E-4</v>
      </c>
      <c r="AK68" s="34">
        <v>9.6184809999999999E-4</v>
      </c>
      <c r="AL68" s="34">
        <v>7.0189489999999998E-4</v>
      </c>
      <c r="AM68" s="34">
        <v>1.2116747000000001E-3</v>
      </c>
      <c r="AN68" s="34"/>
    </row>
    <row r="69" spans="1:47" s="31" customFormat="1">
      <c r="A69" s="66" t="s">
        <v>265</v>
      </c>
      <c r="B69" s="31">
        <v>4</v>
      </c>
      <c r="C69" s="61" t="s">
        <v>462</v>
      </c>
      <c r="D69" s="31" t="s">
        <v>314</v>
      </c>
      <c r="E69" s="34" cm="1">
        <f t="array" ref="E69:AL69">TRANSPOSE(_xlfn._xlws.FILTER('Raw Data'!DQ3:DQ308,('Raw Data'!C3:C308=5)*('Raw Data'!DQ3:DQ308&lt;&gt;"")))</f>
        <v>4.6706591000000002E-3</v>
      </c>
      <c r="F69" s="34">
        <v>6.6053177999999997E-3</v>
      </c>
      <c r="G69" s="34">
        <v>1.5592150000000001E-3</v>
      </c>
      <c r="H69" s="34">
        <v>1.1520031E-3</v>
      </c>
      <c r="I69" s="34">
        <v>1.0251685999999999E-3</v>
      </c>
      <c r="J69" s="34">
        <v>1.1108504E-3</v>
      </c>
      <c r="K69" s="34">
        <v>1.5002224E-3</v>
      </c>
      <c r="L69" s="34">
        <v>1.0808152E-3</v>
      </c>
      <c r="M69" s="34">
        <v>9.6501430000000003E-4</v>
      </c>
      <c r="N69" s="34">
        <v>1.1630290000000001E-3</v>
      </c>
      <c r="O69" s="34">
        <v>9.3472960000000002E-4</v>
      </c>
      <c r="P69" s="34">
        <v>8.4350449999999997E-4</v>
      </c>
      <c r="Q69" s="34">
        <v>5.8527389999999996E-4</v>
      </c>
      <c r="R69" s="34">
        <v>6.8791480000000003E-4</v>
      </c>
      <c r="S69" s="34">
        <v>5.2742779999999996E-4</v>
      </c>
      <c r="T69" s="34">
        <v>4.619739E-4</v>
      </c>
      <c r="U69" s="34">
        <v>1.4375306E-3</v>
      </c>
      <c r="V69" s="34">
        <v>1.3706745000000001E-3</v>
      </c>
      <c r="W69" s="34">
        <v>1.3306009E-3</v>
      </c>
      <c r="X69" s="34">
        <v>1.4805271E-3</v>
      </c>
      <c r="Y69" s="34">
        <v>2.2791097999999999E-3</v>
      </c>
      <c r="Z69" s="34">
        <v>5.5994410000000001E-3</v>
      </c>
      <c r="AA69" s="34">
        <v>6.6271699000000003E-3</v>
      </c>
      <c r="AB69" s="34">
        <v>6.3597261999999996E-3</v>
      </c>
      <c r="AC69" s="34">
        <v>6.7431484000000002E-3</v>
      </c>
      <c r="AD69" s="34">
        <v>8.2992576000000002E-3</v>
      </c>
      <c r="AE69" s="34">
        <v>7.6869191E-3</v>
      </c>
      <c r="AF69" s="34">
        <v>8.0508711000000007E-3</v>
      </c>
      <c r="AG69" s="34">
        <v>7.9782745000000002E-3</v>
      </c>
      <c r="AH69" s="34">
        <v>1.3110525E-3</v>
      </c>
      <c r="AI69" s="34">
        <v>1.1209315999999999E-3</v>
      </c>
      <c r="AJ69" s="34">
        <v>1.3957322000000001E-3</v>
      </c>
      <c r="AK69" s="34">
        <v>1.4270821999999999E-3</v>
      </c>
      <c r="AL69" s="34">
        <v>1.8756235E-3</v>
      </c>
      <c r="AM69" s="34"/>
      <c r="AN69" s="34"/>
    </row>
    <row r="70" spans="1:47" s="31" customFormat="1">
      <c r="A70" s="66" t="s">
        <v>266</v>
      </c>
      <c r="B70" s="31">
        <v>4</v>
      </c>
      <c r="C70" s="61" t="s">
        <v>461</v>
      </c>
      <c r="D70" s="31" t="s">
        <v>314</v>
      </c>
      <c r="E70" s="34" cm="1">
        <f t="array" ref="E70:AM70">TRANSPOSE(_xlfn._xlws.FILTER('Raw Data'!DR3:DR309,('Raw Data'!C3:C309=5)*('Raw Data'!DR3:DR309&lt;&gt;"")))</f>
        <v>2.1307240000000001E-3</v>
      </c>
      <c r="F70" s="34">
        <v>5.9444294000000003E-3</v>
      </c>
      <c r="G70" s="34">
        <v>1.4328742000000001E-3</v>
      </c>
      <c r="H70" s="34">
        <v>1.1883206000000001E-3</v>
      </c>
      <c r="I70" s="34">
        <v>1.0681973E-3</v>
      </c>
      <c r="J70" s="34">
        <v>1.1932233000000001E-3</v>
      </c>
      <c r="K70" s="34">
        <v>1.0344943000000001E-3</v>
      </c>
      <c r="L70" s="34">
        <v>1.8687498999999999E-3</v>
      </c>
      <c r="M70" s="34">
        <v>1.1431156000000001E-3</v>
      </c>
      <c r="N70" s="34">
        <v>1.2010005E-3</v>
      </c>
      <c r="O70" s="34">
        <v>1.2057750000000001E-3</v>
      </c>
      <c r="P70" s="34">
        <v>1.1469441E-3</v>
      </c>
      <c r="Q70" s="34">
        <v>1.3474311999999999E-3</v>
      </c>
      <c r="R70" s="34">
        <v>1.0741981E-3</v>
      </c>
      <c r="S70" s="34">
        <v>1.4345760999999999E-3</v>
      </c>
      <c r="T70" s="34">
        <v>1.5794575E-3</v>
      </c>
      <c r="U70" s="34">
        <v>1.4551455000000001E-3</v>
      </c>
      <c r="V70" s="34">
        <v>4.7636789999999998E-4</v>
      </c>
      <c r="W70" s="34">
        <v>4.0718189999999999E-4</v>
      </c>
      <c r="X70" s="34">
        <v>5.497322E-4</v>
      </c>
      <c r="Y70" s="34">
        <v>6.7049160000000004E-4</v>
      </c>
      <c r="Z70" s="34">
        <v>9.5992729999999995E-4</v>
      </c>
      <c r="AA70" s="34">
        <v>4.1091712000000001E-3</v>
      </c>
      <c r="AB70" s="34">
        <v>1.217002E-3</v>
      </c>
      <c r="AC70" s="34">
        <v>1.140584E-3</v>
      </c>
      <c r="AD70" s="34">
        <v>1.0140259999999999E-3</v>
      </c>
      <c r="AE70" s="34">
        <v>1.4116911000000001E-3</v>
      </c>
      <c r="AF70" s="34">
        <v>1.4065067999999999E-3</v>
      </c>
      <c r="AG70" s="34">
        <v>1.1359480999999999E-3</v>
      </c>
      <c r="AH70" s="34">
        <v>1.2903258E-3</v>
      </c>
      <c r="AI70" s="34">
        <v>4.2874010000000003E-4</v>
      </c>
      <c r="AJ70" s="34">
        <v>1.6127762999999999E-3</v>
      </c>
      <c r="AK70" s="34">
        <v>3.86478268E-2</v>
      </c>
      <c r="AL70" s="34">
        <v>3.5769250000000001E-4</v>
      </c>
      <c r="AM70" s="34">
        <v>4.0082573900000001E-2</v>
      </c>
      <c r="AN70" s="34"/>
    </row>
    <row r="71" spans="1:47" s="31" customFormat="1">
      <c r="A71" s="66" t="s">
        <v>267</v>
      </c>
      <c r="B71" s="31">
        <v>5</v>
      </c>
      <c r="C71" s="61" t="s">
        <v>462</v>
      </c>
      <c r="D71" s="31" t="s">
        <v>314</v>
      </c>
      <c r="E71" s="34" cm="1">
        <f t="array" ref="E71:AM71">TRANSPOSE(_xlfn._xlws.FILTER('Raw Data'!DS3:DS310,('Raw Data'!C3:C310=5)*('Raw Data'!DS3:DS310&lt;&gt;"")))</f>
        <v>8.2377474999999999E-3</v>
      </c>
      <c r="F71" s="34">
        <v>1.5077635E-3</v>
      </c>
      <c r="G71" s="34">
        <v>1.3690860900000001E-2</v>
      </c>
      <c r="H71" s="34">
        <v>3.7639387000000003E-2</v>
      </c>
      <c r="I71" s="34">
        <v>3.69951315E-2</v>
      </c>
      <c r="J71" s="34">
        <v>3.7488348800000001E-2</v>
      </c>
      <c r="K71" s="34">
        <v>3.7757098699999998E-2</v>
      </c>
      <c r="L71" s="34">
        <v>1.0315118E-3</v>
      </c>
      <c r="M71" s="34">
        <v>3.75302806E-2</v>
      </c>
      <c r="N71" s="34">
        <v>3.7995636499999999E-2</v>
      </c>
      <c r="O71" s="34">
        <v>3.7954121799999997E-2</v>
      </c>
      <c r="P71" s="34">
        <v>3.84786539E-2</v>
      </c>
      <c r="Q71" s="34">
        <v>3.8316760200000001E-2</v>
      </c>
      <c r="R71" s="34">
        <v>1.3118958E-3</v>
      </c>
      <c r="S71" s="34">
        <v>3.8807828000000003E-2</v>
      </c>
      <c r="T71" s="34">
        <v>3.9264958400000001E-2</v>
      </c>
      <c r="U71" s="34">
        <v>3.9229445199999997E-2</v>
      </c>
      <c r="V71" s="34">
        <v>6.1682879999999999E-4</v>
      </c>
      <c r="W71" s="34">
        <v>5.7943220000000002E-4</v>
      </c>
      <c r="X71" s="34">
        <v>1.7406918E-3</v>
      </c>
      <c r="Y71" s="34">
        <v>1.9807313E-3</v>
      </c>
      <c r="Z71" s="34">
        <v>5.2642770000000001E-4</v>
      </c>
      <c r="AA71" s="34">
        <v>1.3306311999999999E-3</v>
      </c>
      <c r="AB71" s="34">
        <v>1.5876256E-3</v>
      </c>
      <c r="AC71" s="34">
        <v>1.4897167999999999E-3</v>
      </c>
      <c r="AD71" s="34">
        <v>1.3810025000000001E-3</v>
      </c>
      <c r="AE71" s="34">
        <v>1.5864231E-3</v>
      </c>
      <c r="AF71" s="34">
        <v>1.633303E-3</v>
      </c>
      <c r="AG71" s="34">
        <v>1.5772798000000001E-3</v>
      </c>
      <c r="AH71" s="34">
        <v>1.6448019000000001E-3</v>
      </c>
      <c r="AI71" s="34">
        <v>1.6919501E-3</v>
      </c>
      <c r="AJ71" s="34">
        <v>3.8772735699999998E-2</v>
      </c>
      <c r="AK71" s="34">
        <v>0.3749681413</v>
      </c>
      <c r="AL71" s="34">
        <v>1.8306001E-3</v>
      </c>
      <c r="AM71" s="34">
        <v>0.37499034399999998</v>
      </c>
      <c r="AN71" s="34"/>
    </row>
    <row r="72" spans="1:47" s="31" customFormat="1">
      <c r="A72" s="66" t="s">
        <v>268</v>
      </c>
      <c r="B72" s="31">
        <v>5</v>
      </c>
      <c r="C72" s="61" t="s">
        <v>461</v>
      </c>
      <c r="D72" s="31" t="s">
        <v>314</v>
      </c>
      <c r="E72" s="34" cm="1">
        <f t="array" ref="E72:AM72">TRANSPOSE(_xlfn._xlws.FILTER('Raw Data'!DT3:DT311,('Raw Data'!C3:C311=5)*('Raw Data'!DT3:DT311&lt;&gt;"")))</f>
        <v>1.7271515000000001E-2</v>
      </c>
      <c r="F72" s="34">
        <v>4.1467022200000002E-2</v>
      </c>
      <c r="G72" s="34">
        <v>1.7522933000000001E-2</v>
      </c>
      <c r="H72" s="34">
        <v>0.37717413900000002</v>
      </c>
      <c r="I72" s="34">
        <v>0.37686920169999999</v>
      </c>
      <c r="J72" s="34">
        <v>0.37776497009999999</v>
      </c>
      <c r="K72" s="34">
        <v>0.37690985199999999</v>
      </c>
      <c r="L72" s="34">
        <v>3.8011852700000001E-2</v>
      </c>
      <c r="M72" s="34">
        <v>0.37738686799999999</v>
      </c>
      <c r="N72" s="34">
        <v>0.37752506139999997</v>
      </c>
      <c r="O72" s="34">
        <v>0.37674984340000001</v>
      </c>
      <c r="P72" s="34">
        <v>0.37687569859999998</v>
      </c>
      <c r="Q72" s="34">
        <v>0.37677103280000002</v>
      </c>
      <c r="R72" s="34">
        <v>3.9365552400000003E-2</v>
      </c>
      <c r="S72" s="34">
        <v>0.37684890630000001</v>
      </c>
      <c r="T72" s="34">
        <v>0.37725210190000003</v>
      </c>
      <c r="U72" s="34">
        <v>0.37716439369999999</v>
      </c>
      <c r="V72" s="34">
        <v>1.8313754E-3</v>
      </c>
      <c r="W72" s="34">
        <v>1.9064067000000001E-3</v>
      </c>
      <c r="X72" s="34">
        <v>4.0499638800000001E-2</v>
      </c>
      <c r="Y72" s="34">
        <v>4.0666498199999998E-2</v>
      </c>
      <c r="Z72" s="34">
        <v>6.3117580000000004E-4</v>
      </c>
      <c r="AA72" s="34">
        <v>7.2129890000000004E-3</v>
      </c>
      <c r="AB72" s="34">
        <v>9.8850299999999995E-4</v>
      </c>
      <c r="AC72" s="34">
        <v>6.5968229999999997E-4</v>
      </c>
      <c r="AD72" s="34">
        <v>7.6982060000000004E-4</v>
      </c>
      <c r="AE72" s="34">
        <v>6.4342369999999998E-4</v>
      </c>
      <c r="AF72" s="34">
        <v>8.3020079999999996E-4</v>
      </c>
      <c r="AG72" s="34">
        <v>9.2556850000000005E-4</v>
      </c>
      <c r="AH72" s="34">
        <v>5.6010049999999996E-4</v>
      </c>
      <c r="AI72" s="34">
        <v>3.9497744299999998E-2</v>
      </c>
      <c r="AJ72" s="34">
        <v>0.37501078840000002</v>
      </c>
      <c r="AK72" s="34">
        <v>83.925193786600005</v>
      </c>
      <c r="AL72" s="34">
        <v>4.03574742E-2</v>
      </c>
      <c r="AM72" s="34">
        <v>84.008392334000007</v>
      </c>
      <c r="AN72" s="34"/>
    </row>
    <row r="73" spans="1:47" s="31" customFormat="1">
      <c r="A73" s="66" t="s">
        <v>269</v>
      </c>
      <c r="B73" s="31">
        <v>6</v>
      </c>
      <c r="C73" s="61" t="s">
        <v>462</v>
      </c>
      <c r="D73" s="31" t="s">
        <v>314</v>
      </c>
      <c r="E73" s="34" cm="1">
        <f t="array" ref="E73:AM73">TRANSPOSE(_xlfn._xlws.FILTER('Raw Data'!DU3:DU312,('Raw Data'!C3:C312=5)*('Raw Data'!DU3:DU312&lt;&gt;"")))</f>
        <v>2.1631352600000001E-2</v>
      </c>
      <c r="F73" s="34">
        <v>0.38566085700000002</v>
      </c>
      <c r="G73" s="34">
        <v>1.9310142000000001E-3</v>
      </c>
      <c r="H73" s="34">
        <v>84.510887146000002</v>
      </c>
      <c r="I73" s="34">
        <v>84.438575744600001</v>
      </c>
      <c r="J73" s="34">
        <v>84.349372863799999</v>
      </c>
      <c r="K73" s="34">
        <v>84.353538513199993</v>
      </c>
      <c r="L73" s="34">
        <v>0.37746563550000001</v>
      </c>
      <c r="M73" s="34">
        <v>84.401252746599994</v>
      </c>
      <c r="N73" s="34">
        <v>84.367050170900001</v>
      </c>
      <c r="O73" s="34">
        <v>84.313453674300007</v>
      </c>
      <c r="P73" s="34">
        <v>84.312217712399999</v>
      </c>
      <c r="Q73" s="34">
        <v>84.299316406299994</v>
      </c>
      <c r="R73" s="34">
        <v>0.37736350299999999</v>
      </c>
      <c r="S73" s="34">
        <v>84.189064025899995</v>
      </c>
      <c r="T73" s="34">
        <v>84.203292846699995</v>
      </c>
      <c r="U73" s="34">
        <v>84.163146972700005</v>
      </c>
      <c r="V73" s="34">
        <v>4.0653590099999998E-2</v>
      </c>
      <c r="W73" s="34">
        <v>4.0763571899999997E-2</v>
      </c>
      <c r="X73" s="34">
        <v>0.37746492030000001</v>
      </c>
      <c r="Y73" s="34">
        <v>0.37686827779999998</v>
      </c>
      <c r="Z73" s="34">
        <v>2.4375593999999999E-3</v>
      </c>
      <c r="AA73" s="34">
        <v>8.0299442999999995E-3</v>
      </c>
      <c r="AB73" s="34">
        <v>2.2994843000000002E-3</v>
      </c>
      <c r="AC73" s="34">
        <v>2.3361202000000002E-3</v>
      </c>
      <c r="AD73" s="34">
        <v>2.5430075000000001E-3</v>
      </c>
      <c r="AE73" s="34">
        <v>3.1186088E-3</v>
      </c>
      <c r="AF73" s="34">
        <v>3.3920336999999998E-3</v>
      </c>
      <c r="AG73" s="34">
        <v>2.7365847E-3</v>
      </c>
      <c r="AH73" s="34">
        <v>2.8979201E-3</v>
      </c>
      <c r="AI73" s="34">
        <v>0.37542563680000002</v>
      </c>
      <c r="AJ73" s="34">
        <v>84.013420104999994</v>
      </c>
      <c r="AK73" s="34">
        <v>0.55691158770000004</v>
      </c>
      <c r="AL73" s="34">
        <v>0.37599554660000001</v>
      </c>
      <c r="AM73" s="34">
        <v>0.55836814639999999</v>
      </c>
      <c r="AN73" s="34"/>
    </row>
    <row r="74" spans="1:47" s="31" customFormat="1">
      <c r="A74" s="66" t="s">
        <v>270</v>
      </c>
      <c r="B74" s="31">
        <v>6</v>
      </c>
      <c r="C74" s="61" t="s">
        <v>462</v>
      </c>
      <c r="D74" s="31" t="s">
        <v>314</v>
      </c>
      <c r="E74" s="34" cm="1">
        <f t="array" ref="E74:AM74">TRANSPOSE(_xlfn._xlws.FILTER('Raw Data'!DV3:DV313,('Raw Data'!C3:C313=5)*('Raw Data'!DV3:DV313&lt;&gt;"")))</f>
        <v>2.1088840000000001E-3</v>
      </c>
      <c r="F74" s="34">
        <v>86.158538818400004</v>
      </c>
      <c r="G74" s="34">
        <v>4.7891959499999998E-2</v>
      </c>
      <c r="H74" s="34">
        <v>0.56267410520000005</v>
      </c>
      <c r="I74" s="34">
        <v>0.56614291670000005</v>
      </c>
      <c r="J74" s="34">
        <v>0.5394189358</v>
      </c>
      <c r="K74" s="34">
        <v>0.5674031973</v>
      </c>
      <c r="L74" s="34">
        <v>84.4634933472</v>
      </c>
      <c r="M74" s="34">
        <v>0.55962121490000005</v>
      </c>
      <c r="N74" s="34">
        <v>0.56205815079999999</v>
      </c>
      <c r="O74" s="34">
        <v>0.57543355230000004</v>
      </c>
      <c r="P74" s="34">
        <v>0.56984019279999998</v>
      </c>
      <c r="Q74" s="34">
        <v>0.56402087209999996</v>
      </c>
      <c r="R74" s="34">
        <v>84.335464477499997</v>
      </c>
      <c r="S74" s="34">
        <v>0.56127566100000004</v>
      </c>
      <c r="T74" s="34">
        <v>0.55955052380000003</v>
      </c>
      <c r="U74" s="34">
        <v>0.56566697359999996</v>
      </c>
      <c r="V74" s="34">
        <v>0.37785416840000002</v>
      </c>
      <c r="W74" s="34">
        <v>0.37821525340000001</v>
      </c>
      <c r="X74" s="34">
        <v>84.198638915999993</v>
      </c>
      <c r="Y74" s="34">
        <v>84.169113159199995</v>
      </c>
      <c r="Z74" s="34">
        <v>4.3521098799999998E-2</v>
      </c>
      <c r="AA74" s="34">
        <v>1.5822213999999999E-3</v>
      </c>
      <c r="AB74" s="34">
        <v>5.6341789E-3</v>
      </c>
      <c r="AC74" s="34">
        <v>5.7202978000000003E-3</v>
      </c>
      <c r="AD74" s="34">
        <v>5.4282853000000002E-3</v>
      </c>
      <c r="AE74" s="34">
        <v>6.5723518E-3</v>
      </c>
      <c r="AF74" s="34">
        <v>7.1187554999999998E-3</v>
      </c>
      <c r="AG74" s="34">
        <v>6.3166376000000002E-3</v>
      </c>
      <c r="AH74" s="34">
        <v>6.7416788000000004E-3</v>
      </c>
      <c r="AI74" s="34">
        <v>84.062538146999998</v>
      </c>
      <c r="AJ74" s="34">
        <v>0.55446863170000005</v>
      </c>
      <c r="AK74" s="34">
        <v>1.06021482E-2</v>
      </c>
      <c r="AL74" s="34">
        <v>83.981857299799998</v>
      </c>
      <c r="AM74" s="34">
        <v>9.7798845000000006E-3</v>
      </c>
      <c r="AN74" s="34"/>
    </row>
    <row r="75" spans="1:47" s="31" customFormat="1">
      <c r="A75" s="66" t="s">
        <v>169</v>
      </c>
      <c r="B75" s="31">
        <v>6</v>
      </c>
      <c r="C75" s="61" t="s">
        <v>462</v>
      </c>
      <c r="D75" s="31" t="s">
        <v>314</v>
      </c>
      <c r="E75" s="34" cm="1">
        <f t="array" ref="E75:AM75">TRANSPOSE(_xlfn._xlws.FILTER('Raw Data'!DW3:DW314,('Raw Data'!C3:C314=5)*('Raw Data'!DW3:DW314&lt;&gt;"")))</f>
        <v>4.9772981600000002E-2</v>
      </c>
      <c r="F75" s="34">
        <v>0.57991617920000005</v>
      </c>
      <c r="G75" s="34">
        <v>0.38978886600000001</v>
      </c>
      <c r="H75" s="34">
        <v>1.05563141E-2</v>
      </c>
      <c r="I75" s="34">
        <v>9.5940903000000001E-3</v>
      </c>
      <c r="J75" s="34">
        <v>9.5249562999999999E-3</v>
      </c>
      <c r="K75" s="34">
        <v>9.5033543000000009E-3</v>
      </c>
      <c r="L75" s="34">
        <v>0.56228065490000001</v>
      </c>
      <c r="M75" s="34">
        <v>9.6892854000000007E-3</v>
      </c>
      <c r="N75" s="34">
        <v>1.1004802000000001E-3</v>
      </c>
      <c r="O75" s="34">
        <v>9.7372829999999994E-3</v>
      </c>
      <c r="P75" s="34">
        <v>1.00434758E-2</v>
      </c>
      <c r="Q75" s="34">
        <v>9.6808271000000008E-3</v>
      </c>
      <c r="R75" s="34">
        <v>0.55745309590000003</v>
      </c>
      <c r="S75" s="34">
        <v>1.0071771199999999E-2</v>
      </c>
      <c r="T75" s="34">
        <v>9.6772807000000006E-3</v>
      </c>
      <c r="U75" s="34">
        <v>1.0003441000000001E-3</v>
      </c>
      <c r="V75" s="34">
        <v>84.186790466299996</v>
      </c>
      <c r="W75" s="34">
        <v>84.204772949200006</v>
      </c>
      <c r="X75" s="34">
        <v>0.56694680450000001</v>
      </c>
      <c r="Y75" s="34">
        <v>0.56200045350000005</v>
      </c>
      <c r="Z75" s="34">
        <v>0.37870252129999998</v>
      </c>
      <c r="AA75" s="34">
        <v>4.4700210000000002E-3</v>
      </c>
      <c r="AB75" s="34">
        <v>5.5384241000000001E-2</v>
      </c>
      <c r="AC75" s="34">
        <v>5.53144068E-2</v>
      </c>
      <c r="AD75" s="34">
        <v>5.4114941499999999E-2</v>
      </c>
      <c r="AE75" s="34">
        <v>5.9334412199999999E-2</v>
      </c>
      <c r="AF75" s="34">
        <v>6.11400343E-2</v>
      </c>
      <c r="AG75" s="34">
        <v>5.7984720900000002E-2</v>
      </c>
      <c r="AH75" s="34">
        <v>5.7776209000000002E-2</v>
      </c>
      <c r="AI75" s="34">
        <v>0.53966957329999998</v>
      </c>
      <c r="AJ75" s="34">
        <v>1.0361544800000001E-2</v>
      </c>
      <c r="AK75" s="34">
        <v>9.9624786377000003</v>
      </c>
      <c r="AL75" s="34">
        <v>0.57508313659999999</v>
      </c>
      <c r="AM75" s="34">
        <v>9.8609819412000004</v>
      </c>
      <c r="AN75" s="34"/>
    </row>
    <row r="76" spans="1:47" s="31" customFormat="1">
      <c r="A76" s="66" t="s">
        <v>171</v>
      </c>
      <c r="B76" s="31">
        <v>6</v>
      </c>
      <c r="C76" s="61" t="s">
        <v>462</v>
      </c>
      <c r="D76" s="31" t="s">
        <v>314</v>
      </c>
      <c r="E76" s="34" cm="1">
        <f t="array" ref="E76:AM76">TRANSPOSE(_xlfn._xlws.FILTER('Raw Data'!DX3:DX315,('Raw Data'!C3:C315=5)*('Raw Data'!DX3:DX315&lt;&gt;"")))</f>
        <v>0.39089658859999998</v>
      </c>
      <c r="F76" s="34">
        <v>4.1954946000000003E-3</v>
      </c>
      <c r="G76" s="34">
        <v>86.127342224100005</v>
      </c>
      <c r="H76" s="34">
        <v>9.7420129776</v>
      </c>
      <c r="I76" s="34">
        <v>9.7669162749999998</v>
      </c>
      <c r="J76" s="34">
        <v>9.7883787155000004</v>
      </c>
      <c r="K76" s="34">
        <v>9.7609434127999997</v>
      </c>
      <c r="L76" s="34">
        <v>9.2701538999999996E-3</v>
      </c>
      <c r="M76" s="34">
        <v>9.7806339264000002</v>
      </c>
      <c r="N76" s="34">
        <v>9.9874781000000006E-3</v>
      </c>
      <c r="O76" s="34">
        <v>9.7848577499000005</v>
      </c>
      <c r="P76" s="34">
        <v>9.7712974547999991</v>
      </c>
      <c r="Q76" s="34">
        <v>9.7768087386999998</v>
      </c>
      <c r="R76" s="34">
        <v>1.0102536E-3</v>
      </c>
      <c r="S76" s="34">
        <v>9.8000898360999997</v>
      </c>
      <c r="T76" s="34">
        <v>9.7930755615000002</v>
      </c>
      <c r="U76" s="34">
        <v>9.2647345999999995E-3</v>
      </c>
      <c r="V76" s="34">
        <v>0.56464338300000005</v>
      </c>
      <c r="W76" s="34">
        <v>0.56156200170000004</v>
      </c>
      <c r="X76" s="34">
        <v>1.027755E-3</v>
      </c>
      <c r="Y76" s="34">
        <v>1.01500154E-2</v>
      </c>
      <c r="Z76" s="34">
        <v>84.151672363299994</v>
      </c>
      <c r="AA76" s="34">
        <v>5.4353725200000001E-2</v>
      </c>
      <c r="AB76" s="34">
        <v>0.38564530009999998</v>
      </c>
      <c r="AC76" s="34">
        <v>0.3850339055</v>
      </c>
      <c r="AD76" s="34">
        <v>0.38421750069999999</v>
      </c>
      <c r="AE76" s="34">
        <v>0.38977366689999998</v>
      </c>
      <c r="AF76" s="34">
        <v>0.38883590699999998</v>
      </c>
      <c r="AG76" s="34">
        <v>0.38690367339999998</v>
      </c>
      <c r="AH76" s="34">
        <v>0.38629749419999998</v>
      </c>
      <c r="AI76" s="34">
        <v>1.0402450299999999E-2</v>
      </c>
      <c r="AJ76" s="34">
        <v>9.9329414368000002</v>
      </c>
      <c r="AK76" s="34">
        <v>0.13687410950000001</v>
      </c>
      <c r="AL76" s="34">
        <v>9.8535372E-3</v>
      </c>
      <c r="AM76" s="34">
        <v>0.13585226240000001</v>
      </c>
      <c r="AN76" s="34"/>
    </row>
    <row r="77" spans="1:47" s="31" customFormat="1">
      <c r="A77" s="66" t="s">
        <v>174</v>
      </c>
      <c r="B77" s="31">
        <v>6</v>
      </c>
      <c r="C77" s="61" t="s">
        <v>461</v>
      </c>
      <c r="D77" s="31" t="s">
        <v>314</v>
      </c>
      <c r="E77" s="34" cm="1">
        <f t="array" ref="E77:AL77">TRANSPOSE(_xlfn._xlws.FILTER('Raw Data'!DY3:DY317,('Raw Data'!C3:C317=5)*('Raw Data'!DY3:DY317&lt;&gt;"")))</f>
        <v>3.9784516999999998E-3</v>
      </c>
      <c r="F77" s="34">
        <v>0.59057122470000001</v>
      </c>
      <c r="G77" s="34">
        <v>0.1299643368</v>
      </c>
      <c r="H77" s="34">
        <v>0.13082467019999999</v>
      </c>
      <c r="I77" s="34">
        <v>0.13429534439999999</v>
      </c>
      <c r="J77" s="34">
        <v>0.13413415849999999</v>
      </c>
      <c r="K77" s="34">
        <v>9.7617053986000002</v>
      </c>
      <c r="L77" s="34">
        <v>0.1317083389</v>
      </c>
      <c r="M77" s="34">
        <v>9.7617483139000001</v>
      </c>
      <c r="N77" s="34">
        <v>0.1331404299</v>
      </c>
      <c r="O77" s="34">
        <v>0.13334232569999999</v>
      </c>
      <c r="P77" s="34">
        <v>0.13499380650000001</v>
      </c>
      <c r="Q77" s="34">
        <v>1.00886198E-2</v>
      </c>
      <c r="R77" s="34">
        <v>0.13501442969999999</v>
      </c>
      <c r="S77" s="34">
        <v>0.1357632577</v>
      </c>
      <c r="T77" s="34">
        <v>9.8048591613999996</v>
      </c>
      <c r="U77" s="34">
        <v>1.172099E-3</v>
      </c>
      <c r="V77" s="34">
        <v>9.9398568000000007E-3</v>
      </c>
      <c r="W77" s="34">
        <v>9.6914758999999996E-3</v>
      </c>
      <c r="X77" s="34">
        <v>9.8086290358999992</v>
      </c>
      <c r="Y77" s="34">
        <v>0.56699264049999998</v>
      </c>
      <c r="Z77" s="34">
        <v>0.3847062886</v>
      </c>
      <c r="AA77" s="34">
        <v>84.017440795900001</v>
      </c>
      <c r="AB77" s="34">
        <v>83.991882324200006</v>
      </c>
      <c r="AC77" s="34">
        <v>84.023933410599994</v>
      </c>
      <c r="AD77" s="34">
        <v>84.023864746100003</v>
      </c>
      <c r="AE77" s="34">
        <v>84.057823181200007</v>
      </c>
      <c r="AF77" s="34">
        <v>84.021926879899993</v>
      </c>
      <c r="AG77" s="34">
        <v>84.032447814899996</v>
      </c>
      <c r="AH77" s="34">
        <v>9.9468832016000004</v>
      </c>
      <c r="AI77" s="34">
        <v>0.13617047669999999</v>
      </c>
      <c r="AJ77" s="34">
        <v>4.9718050956999997</v>
      </c>
      <c r="AK77" s="34">
        <v>9.8654432297000003</v>
      </c>
      <c r="AL77" s="34">
        <v>4.9898428917000004</v>
      </c>
      <c r="AM77" s="34"/>
      <c r="AN77" s="34"/>
    </row>
    <row r="78" spans="1:47" s="31" customFormat="1">
      <c r="A78" s="66" t="s">
        <v>272</v>
      </c>
      <c r="B78" s="31">
        <v>6</v>
      </c>
      <c r="C78" s="61" t="s">
        <v>463</v>
      </c>
      <c r="D78" s="31" t="s">
        <v>314</v>
      </c>
      <c r="E78" s="34" cm="1">
        <f t="array" ref="E78:AM78">TRANSPOSE(_xlfn._xlws.FILTER('Raw Data'!DZ3:DZ318,('Raw Data'!C3:C318=5)*('Raw Data'!DZ3:DZ318&lt;&gt;"")))</f>
        <v>86.000259399399994</v>
      </c>
      <c r="F78" s="34">
        <v>1.01307724E-2</v>
      </c>
      <c r="G78" s="34">
        <v>1.03283534E-2</v>
      </c>
      <c r="H78" s="34">
        <v>4.6059398650999999</v>
      </c>
      <c r="I78" s="34">
        <v>4.6515245437999999</v>
      </c>
      <c r="J78" s="34">
        <v>4.7408914566</v>
      </c>
      <c r="K78" s="34">
        <v>4.7373228073</v>
      </c>
      <c r="L78" s="34">
        <v>0.1300426573</v>
      </c>
      <c r="M78" s="34">
        <v>4.6796135901999998</v>
      </c>
      <c r="N78" s="34">
        <v>0.1327156723</v>
      </c>
      <c r="O78" s="34">
        <v>4.7457108498</v>
      </c>
      <c r="P78" s="34">
        <v>4.7652106285000002</v>
      </c>
      <c r="Q78" s="34">
        <v>4.7776937484999999</v>
      </c>
      <c r="R78" s="34">
        <v>9.7409734726000003</v>
      </c>
      <c r="S78" s="34">
        <v>4.8674988746999999</v>
      </c>
      <c r="T78" s="34">
        <v>4.8608593941000002</v>
      </c>
      <c r="U78" s="34">
        <v>0.13489468399999999</v>
      </c>
      <c r="V78" s="34">
        <v>1.0231511699999999E-2</v>
      </c>
      <c r="W78" s="34">
        <v>9.7916707993000003</v>
      </c>
      <c r="X78" s="34">
        <v>9.7837610245000004</v>
      </c>
      <c r="Y78" s="34">
        <v>0.13524566590000001</v>
      </c>
      <c r="Z78" s="34">
        <v>9.7948749999999998E-3</v>
      </c>
      <c r="AA78" s="34">
        <v>84.140258789100002</v>
      </c>
      <c r="AB78" s="34">
        <v>0.56913030149999999</v>
      </c>
      <c r="AC78" s="34">
        <v>0.56429165599999997</v>
      </c>
      <c r="AD78" s="34">
        <v>0.56344276670000004</v>
      </c>
      <c r="AE78" s="34">
        <v>0.53959405419999995</v>
      </c>
      <c r="AF78" s="34">
        <v>0.55825990439999995</v>
      </c>
      <c r="AG78" s="34">
        <v>0.56564110519999999</v>
      </c>
      <c r="AH78" s="34">
        <v>0.56877851489999998</v>
      </c>
      <c r="AI78" s="34">
        <v>0.13529223200000001</v>
      </c>
      <c r="AJ78" s="34">
        <v>4.9178557396000002</v>
      </c>
      <c r="AK78" s="34">
        <v>2.01652516E-2</v>
      </c>
      <c r="AL78" s="34">
        <v>0.13706482950000001</v>
      </c>
      <c r="AM78" s="34">
        <v>1.8604172400000001E-2</v>
      </c>
      <c r="AN78" s="34"/>
    </row>
    <row r="79" spans="1:47" s="31" customFormat="1">
      <c r="A79" s="66" t="s">
        <v>273</v>
      </c>
      <c r="B79" s="31">
        <v>7</v>
      </c>
      <c r="C79" s="61" t="s">
        <v>462</v>
      </c>
      <c r="D79" s="31" t="s">
        <v>314</v>
      </c>
      <c r="E79" s="34" cm="1">
        <f t="array" ref="E79:AK79">TRANSPOSE(_xlfn._xlws.FILTER('Raw Data'!EA3:EA319,('Raw Data'!C3:C319=5)*('Raw Data'!EA3:EA319&lt;&gt;"")))</f>
        <v>0.55101698639999996</v>
      </c>
      <c r="F79" s="34">
        <v>9.4968061447000007</v>
      </c>
      <c r="G79" s="34">
        <v>9.3007161999999997E-3</v>
      </c>
      <c r="H79" s="34">
        <v>1.9541544800000001E-2</v>
      </c>
      <c r="I79" s="34">
        <v>1.9360782600000001E-2</v>
      </c>
      <c r="J79" s="34">
        <v>1.98148023E-2</v>
      </c>
      <c r="K79" s="34">
        <v>1.9709199699999999E-2</v>
      </c>
      <c r="L79" s="34">
        <v>4.6329221724999998</v>
      </c>
      <c r="M79" s="34">
        <v>1.9525900499999999E-2</v>
      </c>
      <c r="N79" s="34">
        <v>4.7279505730000002</v>
      </c>
      <c r="O79" s="34">
        <v>1.9716890500000001E-2</v>
      </c>
      <c r="P79" s="34">
        <v>1.9813707100000001E-2</v>
      </c>
      <c r="Q79" s="34">
        <v>1.9359039099999999E-2</v>
      </c>
      <c r="R79" s="34">
        <v>0.132880792</v>
      </c>
      <c r="S79" s="34">
        <v>1.84179433E-2</v>
      </c>
      <c r="T79" s="34">
        <v>1.8172785600000001E-2</v>
      </c>
      <c r="U79" s="34">
        <v>4.8848061561999998</v>
      </c>
      <c r="V79" s="34">
        <v>9.7994785309000001</v>
      </c>
      <c r="W79" s="34">
        <v>0.13326673210000001</v>
      </c>
      <c r="X79" s="34">
        <v>0.13300359249999999</v>
      </c>
      <c r="Y79" s="34">
        <v>4.8741545676999998</v>
      </c>
      <c r="Z79" s="34">
        <v>9.8102045058999998</v>
      </c>
      <c r="AA79" s="34">
        <v>0.56731784340000002</v>
      </c>
      <c r="AB79" s="34">
        <v>1.6450373999999999E-3</v>
      </c>
      <c r="AC79" s="34">
        <v>1.6179923000000001E-3</v>
      </c>
      <c r="AD79" s="34">
        <v>1.00083975E-2</v>
      </c>
      <c r="AE79" s="34">
        <v>1.2912746E-3</v>
      </c>
      <c r="AF79" s="34">
        <v>8.2410070000000005E-4</v>
      </c>
      <c r="AG79" s="34">
        <v>1.2665478999999999E-3</v>
      </c>
      <c r="AH79" s="34">
        <v>8.9511359999999999E-4</v>
      </c>
      <c r="AI79" s="34">
        <v>4.8682699203000004</v>
      </c>
      <c r="AJ79" s="34">
        <v>1.78570077E-2</v>
      </c>
      <c r="AK79" s="34">
        <v>4.9913063049000002</v>
      </c>
      <c r="AL79" s="34"/>
      <c r="AM79" s="34"/>
      <c r="AN79" s="34"/>
    </row>
    <row r="80" spans="1:47" s="31" customFormat="1">
      <c r="A80" s="66" t="s">
        <v>274</v>
      </c>
      <c r="B80" s="31">
        <v>7</v>
      </c>
      <c r="C80" s="61" t="s">
        <v>462</v>
      </c>
      <c r="D80" s="31" t="s">
        <v>314</v>
      </c>
      <c r="E80" s="34" cm="1">
        <f t="array" ref="E80:Y80">TRANSPOSE(_xlfn._xlws.FILTER('Raw Data'!EB3:EB320,('Raw Data'!C3:C320=5)*('Raw Data'!EB3:EB320&lt;&gt;"")))</f>
        <v>0.10982592400000001</v>
      </c>
      <c r="F80" s="34">
        <v>1.0101865E-2</v>
      </c>
      <c r="G80" s="34">
        <v>1.93629526E-2</v>
      </c>
      <c r="H80" s="34">
        <v>1.9142150899999998E-2</v>
      </c>
      <c r="I80" s="34">
        <v>4.7835602760000002</v>
      </c>
      <c r="J80" s="34">
        <v>1.7097145300000002E-2</v>
      </c>
      <c r="K80" s="34">
        <v>0.13482901450000001</v>
      </c>
      <c r="L80" s="34">
        <v>4.8581562042000002</v>
      </c>
      <c r="M80" s="34">
        <v>4.8669090271000002</v>
      </c>
      <c r="N80" s="34">
        <v>1.82169732E-2</v>
      </c>
      <c r="O80" s="34">
        <v>0.13582529130000001</v>
      </c>
      <c r="P80" s="34">
        <v>4.6073566000000002E-3</v>
      </c>
      <c r="Q80" s="34">
        <v>9.5873390999999999E-3</v>
      </c>
      <c r="R80" s="34">
        <v>1.01034148E-2</v>
      </c>
      <c r="S80" s="34">
        <v>9.8374710082999997</v>
      </c>
      <c r="T80" s="34">
        <v>1.0094735800000001E-2</v>
      </c>
      <c r="U80" s="34">
        <v>1.4091829E-3</v>
      </c>
      <c r="V80" s="34">
        <v>1.0776870900000001E-2</v>
      </c>
      <c r="W80" s="34">
        <v>1.0343967000000001E-2</v>
      </c>
      <c r="X80" s="34">
        <v>1.7968518700000002E-2</v>
      </c>
      <c r="Y80" s="34">
        <v>1.87363233E-2</v>
      </c>
      <c r="Z80" s="34"/>
      <c r="AA80" s="34"/>
      <c r="AB80" s="34"/>
      <c r="AC80" s="34"/>
      <c r="AD80" s="34"/>
      <c r="AE80" s="34"/>
      <c r="AF80" s="34"/>
      <c r="AG80" s="34"/>
      <c r="AH80" s="34"/>
      <c r="AI80" s="34"/>
      <c r="AJ80" s="34"/>
      <c r="AK80" s="34"/>
      <c r="AL80" s="34"/>
      <c r="AM80" s="34"/>
      <c r="AN80" s="34"/>
    </row>
    <row r="81" spans="1:45" s="31" customFormat="1">
      <c r="A81" s="66" t="s">
        <v>177</v>
      </c>
      <c r="B81" s="31">
        <v>7</v>
      </c>
      <c r="C81" s="61" t="s">
        <v>462</v>
      </c>
      <c r="D81" s="31" t="s">
        <v>314</v>
      </c>
      <c r="E81" s="34" cm="1">
        <f t="array" ref="E81:T81">TRANSPOSE(_xlfn._xlws.FILTER('Raw Data'!EC3:EC321,('Raw Data'!C3:C321=5)*('Raw Data'!EC3:EC321&lt;&gt;"")))</f>
        <v>1.12941302E-2</v>
      </c>
      <c r="F81" s="34">
        <v>3.1296949387000002</v>
      </c>
      <c r="G81" s="34">
        <v>9.4545297623</v>
      </c>
      <c r="H81" s="34">
        <v>1.8156129900000002E-2</v>
      </c>
      <c r="I81" s="34">
        <v>4.8612732886999996</v>
      </c>
      <c r="J81" s="34">
        <v>1.6462195700000001E-2</v>
      </c>
      <c r="K81" s="34">
        <v>1.7710788200000001E-2</v>
      </c>
      <c r="L81" s="34">
        <v>4.8755164145999998</v>
      </c>
      <c r="M81" s="34">
        <v>4.9778441999999996E-3</v>
      </c>
      <c r="N81" s="34">
        <v>9.8492746353000005</v>
      </c>
      <c r="O81" s="34">
        <v>9.8465261459000004</v>
      </c>
      <c r="P81" s="34">
        <v>0.1373592615</v>
      </c>
      <c r="Q81" s="34">
        <v>9.8485507964999996</v>
      </c>
      <c r="R81" s="34">
        <v>1.0935544E-2</v>
      </c>
      <c r="S81" s="34">
        <v>9.8403902054000003</v>
      </c>
      <c r="T81" s="34">
        <v>9.8212480544999998</v>
      </c>
      <c r="U81" s="34"/>
      <c r="V81" s="34"/>
      <c r="W81" s="34"/>
      <c r="X81" s="34"/>
      <c r="Y81" s="34"/>
      <c r="Z81" s="34"/>
      <c r="AA81" s="34"/>
      <c r="AB81" s="34"/>
      <c r="AC81" s="34"/>
      <c r="AD81" s="34"/>
      <c r="AE81" s="34"/>
      <c r="AF81" s="34"/>
      <c r="AG81" s="34"/>
      <c r="AH81" s="34"/>
      <c r="AI81" s="34"/>
      <c r="AJ81" s="34"/>
      <c r="AK81" s="34"/>
      <c r="AL81" s="34"/>
      <c r="AM81" s="34"/>
      <c r="AN81" s="34"/>
    </row>
    <row r="82" spans="1:45" s="31" customFormat="1">
      <c r="A82" s="66" t="s">
        <v>175</v>
      </c>
      <c r="B82" s="31">
        <v>8</v>
      </c>
      <c r="C82" s="61" t="s">
        <v>461</v>
      </c>
      <c r="D82" s="31" t="s">
        <v>314</v>
      </c>
      <c r="E82" s="34" cm="1">
        <f t="array" ref="E82:Q82">TRANSPOSE(_xlfn._xlws.FILTER('Raw Data'!ED3:ED322,('Raw Data'!C3:C322=5)*('Raw Data'!ED3:ED322&lt;&gt;"")))</f>
        <v>9.5096435547000002</v>
      </c>
      <c r="F82" s="34">
        <v>6.5932862499999995E-2</v>
      </c>
      <c r="G82" s="34">
        <v>0.1216615885</v>
      </c>
      <c r="H82" s="34">
        <v>1.81112103E-2</v>
      </c>
      <c r="I82" s="34">
        <v>1.95474736E-2</v>
      </c>
      <c r="J82" s="34">
        <v>1.03177307E-2</v>
      </c>
      <c r="K82" s="34">
        <v>0.13572414220000001</v>
      </c>
      <c r="L82" s="34">
        <v>0.13776423039999999</v>
      </c>
      <c r="M82" s="34">
        <v>4.9478139877</v>
      </c>
      <c r="N82" s="34">
        <v>0.1364448667</v>
      </c>
      <c r="O82" s="34">
        <v>9.8162183762000002</v>
      </c>
      <c r="P82" s="34">
        <v>0.1352211535</v>
      </c>
      <c r="Q82" s="34">
        <v>0.13485297560000001</v>
      </c>
      <c r="R82" s="34"/>
      <c r="S82" s="34"/>
      <c r="T82" s="34"/>
      <c r="U82" s="34"/>
      <c r="V82" s="34"/>
      <c r="W82" s="34"/>
      <c r="X82" s="34"/>
      <c r="Y82" s="34"/>
      <c r="Z82" s="34"/>
      <c r="AA82" s="34"/>
      <c r="AB82" s="34"/>
      <c r="AC82" s="34"/>
      <c r="AD82" s="34"/>
      <c r="AE82" s="34"/>
      <c r="AF82" s="34"/>
      <c r="AG82" s="34"/>
      <c r="AH82" s="34"/>
      <c r="AI82" s="34"/>
      <c r="AJ82" s="34"/>
      <c r="AK82" s="34"/>
      <c r="AL82" s="34"/>
      <c r="AM82" s="34"/>
      <c r="AN82" s="34"/>
    </row>
    <row r="83" spans="1:45" s="31" customFormat="1">
      <c r="A83" s="61" t="s">
        <v>464</v>
      </c>
      <c r="B83" s="31">
        <v>3</v>
      </c>
      <c r="D83" s="31" t="s">
        <v>314</v>
      </c>
      <c r="E83" s="34" cm="1">
        <f t="array" ref="E83:N83">TRANSPOSE(_xlfn._xlws.FILTER('Raw Data'!EE3:EE323,('Raw Data'!C3:C323=5)*('Raw Data'!EE3:EE323&lt;&gt;"")))</f>
        <v>0.13413476939999999</v>
      </c>
      <c r="F83" s="34">
        <v>3.0926148891</v>
      </c>
      <c r="G83" s="34">
        <v>9.8306779860999995</v>
      </c>
      <c r="H83" s="34">
        <v>4.9351754189000001</v>
      </c>
      <c r="I83" s="34">
        <v>4.9686980247000001</v>
      </c>
      <c r="J83" s="34">
        <v>1.92384068E-2</v>
      </c>
      <c r="K83" s="34">
        <v>4.9460492134000003</v>
      </c>
      <c r="L83" s="34">
        <v>0.13620857889999999</v>
      </c>
      <c r="M83" s="34">
        <v>4.9373307227999996</v>
      </c>
      <c r="N83" s="34">
        <v>4.9433674812000001</v>
      </c>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row>
    <row r="84" spans="1:45">
      <c r="A84" s="61" t="s">
        <v>465</v>
      </c>
      <c r="B84" s="31">
        <v>7</v>
      </c>
      <c r="D84" s="31" t="s">
        <v>314</v>
      </c>
      <c r="E84" s="34" cm="1">
        <f t="array" ref="E84:M84">TRANSPOSE(_xlfn._xlws.FILTER('Raw Data'!EF3:EF324,('Raw Data'!C3:C324=5)*('Raw Data'!EF3:EF324&lt;&gt;"")))</f>
        <v>3.1500020027</v>
      </c>
      <c r="F84" s="34">
        <v>0.1027482599</v>
      </c>
      <c r="G84" s="34">
        <v>0.1424494684</v>
      </c>
      <c r="H84" s="34">
        <v>1.85037404E-2</v>
      </c>
      <c r="I84" s="34">
        <v>1.70877036E-2</v>
      </c>
      <c r="J84" s="34">
        <v>1.8327672E-2</v>
      </c>
      <c r="K84" s="34">
        <v>4.9224867821</v>
      </c>
      <c r="L84" s="34">
        <v>1.69625729E-2</v>
      </c>
      <c r="M84" s="34">
        <v>1.7893975600000001E-2</v>
      </c>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row>
    <row r="85" spans="1:45">
      <c r="A85" s="61" t="s">
        <v>466</v>
      </c>
      <c r="B85" s="31">
        <v>8</v>
      </c>
      <c r="D85" s="31" t="s">
        <v>314</v>
      </c>
      <c r="E85" s="34" cm="1">
        <f t="array" ref="E85:G85">TRANSPOSE(_xlfn._xlws.FILTER('Raw Data'!EG3:EG325,('Raw Data'!C3:C325=5)*('Raw Data'!EG3:EG325&lt;&gt;"")))</f>
        <v>0.1243695989</v>
      </c>
      <c r="F85" s="34">
        <v>4.7879657744999999</v>
      </c>
      <c r="G85" s="34">
        <v>1.8919203400000001E-2</v>
      </c>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row>
    <row r="86" spans="1:45">
      <c r="A86" s="61" t="s">
        <v>467</v>
      </c>
      <c r="B86" s="31" t="s">
        <v>492</v>
      </c>
      <c r="D86" s="31" t="s">
        <v>314</v>
      </c>
      <c r="E86" s="34" cm="1">
        <f t="array" ref="E86">TRANSPOSE(_xlfn._xlws.FILTER('Raw Data'!EH3:EH326,('Raw Data'!C3:C326=5)*('Raw Data'!EH3:EH326&lt;&gt;"")))</f>
        <v>3.7166569400000002E-2</v>
      </c>
      <c r="F86" s="34"/>
      <c r="G86" s="34"/>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row>
    <row r="87" spans="1:45" s="137" customFormat="1">
      <c r="A87" s="135" t="s">
        <v>468</v>
      </c>
      <c r="B87" s="136"/>
      <c r="C87" s="136"/>
      <c r="D87" s="136" t="s">
        <v>314</v>
      </c>
      <c r="E87" s="136"/>
      <c r="F87" s="136"/>
      <c r="G87" s="136"/>
      <c r="H87" s="136"/>
      <c r="I87" s="136"/>
      <c r="J87" s="136"/>
      <c r="K87" s="136"/>
      <c r="Z87" s="139">
        <f>SUM(Z68:Z86)</f>
        <v>94.790132061499989</v>
      </c>
      <c r="AJ87" s="136"/>
      <c r="AK87" s="136"/>
      <c r="AL87" s="136"/>
      <c r="AM87" s="136"/>
      <c r="AN87" s="136"/>
      <c r="AO87" s="136"/>
      <c r="AP87" s="136"/>
      <c r="AQ87" s="136"/>
      <c r="AR87" s="136"/>
      <c r="AS87" s="136"/>
    </row>
    <row r="88" spans="1:45">
      <c r="A88" s="61" t="s">
        <v>264</v>
      </c>
      <c r="B88" s="31">
        <v>3</v>
      </c>
      <c r="C88" s="61" t="s">
        <v>461</v>
      </c>
      <c r="D88" s="31" t="s">
        <v>12</v>
      </c>
      <c r="Z88" s="57">
        <f>$Z$62*Z68/100</f>
        <v>4.1117132013576902E-5</v>
      </c>
    </row>
    <row r="89" spans="1:45">
      <c r="A89" s="66" t="s">
        <v>265</v>
      </c>
      <c r="B89" s="31">
        <v>4</v>
      </c>
      <c r="C89" s="61" t="s">
        <v>462</v>
      </c>
      <c r="D89" s="31" t="s">
        <v>12</v>
      </c>
      <c r="Z89" s="57">
        <f t="shared" ref="Z89:Z106" si="31">$Z$62*Z69/100</f>
        <v>1.6733537072360883E-4</v>
      </c>
    </row>
    <row r="90" spans="1:45">
      <c r="A90" s="66" t="s">
        <v>266</v>
      </c>
      <c r="B90" s="31">
        <v>4</v>
      </c>
      <c r="C90" s="61" t="s">
        <v>461</v>
      </c>
      <c r="D90" s="31" t="s">
        <v>12</v>
      </c>
      <c r="Z90" s="57">
        <f t="shared" si="31"/>
        <v>2.8686754733769472E-5</v>
      </c>
    </row>
    <row r="91" spans="1:45">
      <c r="A91" s="66" t="s">
        <v>267</v>
      </c>
      <c r="B91" s="31">
        <v>5</v>
      </c>
      <c r="C91" s="61" t="s">
        <v>462</v>
      </c>
      <c r="D91" s="31" t="s">
        <v>12</v>
      </c>
      <c r="Z91" s="57">
        <f t="shared" si="31"/>
        <v>1.5731922943500386E-5</v>
      </c>
    </row>
    <row r="92" spans="1:45">
      <c r="A92" s="66" t="s">
        <v>268</v>
      </c>
      <c r="B92" s="31">
        <v>5</v>
      </c>
      <c r="C92" s="61" t="s">
        <v>461</v>
      </c>
      <c r="D92" s="31" t="s">
        <v>12</v>
      </c>
      <c r="Z92" s="57">
        <f t="shared" si="31"/>
        <v>1.8862246514387848E-5</v>
      </c>
    </row>
    <row r="93" spans="1:45">
      <c r="A93" s="66" t="s">
        <v>269</v>
      </c>
      <c r="B93" s="31">
        <v>6</v>
      </c>
      <c r="C93" s="61" t="s">
        <v>462</v>
      </c>
      <c r="D93" s="31" t="s">
        <v>12</v>
      </c>
      <c r="Z93" s="57">
        <f t="shared" si="31"/>
        <v>7.2844754656726902E-5</v>
      </c>
    </row>
    <row r="94" spans="1:45">
      <c r="A94" s="66" t="s">
        <v>270</v>
      </c>
      <c r="B94" s="31">
        <v>6</v>
      </c>
      <c r="C94" s="61" t="s">
        <v>462</v>
      </c>
      <c r="D94" s="31" t="s">
        <v>12</v>
      </c>
      <c r="Z94" s="57">
        <f t="shared" si="31"/>
        <v>1.3005975421469407E-3</v>
      </c>
    </row>
    <row r="95" spans="1:45">
      <c r="A95" s="66" t="s">
        <v>169</v>
      </c>
      <c r="B95" s="31">
        <v>6</v>
      </c>
      <c r="C95" s="61" t="s">
        <v>462</v>
      </c>
      <c r="D95" s="31" t="s">
        <v>12</v>
      </c>
      <c r="Z95" s="57">
        <f t="shared" si="31"/>
        <v>1.1317259489956386E-2</v>
      </c>
    </row>
    <row r="96" spans="1:45">
      <c r="A96" s="66" t="s">
        <v>171</v>
      </c>
      <c r="B96" s="31">
        <v>6</v>
      </c>
      <c r="C96" s="61" t="s">
        <v>462</v>
      </c>
      <c r="D96" s="31" t="s">
        <v>12</v>
      </c>
      <c r="Z96" s="57">
        <f t="shared" si="31"/>
        <v>2.5148137630032128</v>
      </c>
    </row>
    <row r="97" spans="1:45">
      <c r="A97" s="66" t="s">
        <v>174</v>
      </c>
      <c r="B97" s="31">
        <v>6</v>
      </c>
      <c r="C97" s="61" t="s">
        <v>461</v>
      </c>
      <c r="D97" s="31" t="s">
        <v>12</v>
      </c>
      <c r="Z97" s="57">
        <f t="shared" si="31"/>
        <v>1.1496677868841667E-2</v>
      </c>
    </row>
    <row r="98" spans="1:45">
      <c r="A98" s="66" t="s">
        <v>272</v>
      </c>
      <c r="B98" s="31">
        <v>6</v>
      </c>
      <c r="C98" s="61" t="s">
        <v>463</v>
      </c>
      <c r="D98" s="31" t="s">
        <v>12</v>
      </c>
      <c r="Z98" s="57">
        <f t="shared" si="31"/>
        <v>2.9271297604821771E-4</v>
      </c>
    </row>
    <row r="99" spans="1:45">
      <c r="A99" s="66" t="s">
        <v>273</v>
      </c>
      <c r="B99" s="31">
        <v>7</v>
      </c>
      <c r="C99" s="61" t="s">
        <v>462</v>
      </c>
      <c r="D99" s="31" t="s">
        <v>12</v>
      </c>
      <c r="Z99" s="57">
        <f t="shared" si="31"/>
        <v>0.29317108759056387</v>
      </c>
    </row>
    <row r="100" spans="1:45">
      <c r="A100" s="66" t="s">
        <v>274</v>
      </c>
      <c r="B100" s="31">
        <v>7</v>
      </c>
      <c r="C100" s="61" t="s">
        <v>462</v>
      </c>
      <c r="D100" s="31" t="s">
        <v>12</v>
      </c>
      <c r="Z100" s="57">
        <f t="shared" si="31"/>
        <v>0</v>
      </c>
    </row>
    <row r="101" spans="1:45">
      <c r="A101" s="66" t="s">
        <v>177</v>
      </c>
      <c r="B101" s="31">
        <v>7</v>
      </c>
      <c r="C101" s="61" t="s">
        <v>462</v>
      </c>
      <c r="D101" s="31" t="s">
        <v>12</v>
      </c>
      <c r="Z101" s="57">
        <f t="shared" si="31"/>
        <v>0</v>
      </c>
    </row>
    <row r="102" spans="1:45">
      <c r="A102" s="66" t="s">
        <v>175</v>
      </c>
      <c r="B102" s="31">
        <v>8</v>
      </c>
      <c r="C102" s="61" t="s">
        <v>461</v>
      </c>
      <c r="D102" s="31" t="s">
        <v>12</v>
      </c>
      <c r="Z102" s="57">
        <f t="shared" si="31"/>
        <v>0</v>
      </c>
    </row>
    <row r="103" spans="1:45">
      <c r="A103" s="61" t="s">
        <v>464</v>
      </c>
      <c r="B103" s="31">
        <v>3</v>
      </c>
      <c r="C103" s="61"/>
      <c r="D103" s="31" t="s">
        <v>12</v>
      </c>
      <c r="Z103" s="57">
        <f t="shared" si="31"/>
        <v>0</v>
      </c>
    </row>
    <row r="104" spans="1:45">
      <c r="A104" s="61" t="s">
        <v>465</v>
      </c>
      <c r="B104" s="31">
        <v>7</v>
      </c>
      <c r="D104" s="31" t="s">
        <v>12</v>
      </c>
      <c r="Z104" s="57">
        <f t="shared" si="31"/>
        <v>0</v>
      </c>
    </row>
    <row r="105" spans="1:45">
      <c r="A105" s="61" t="s">
        <v>466</v>
      </c>
      <c r="B105" s="31">
        <v>8</v>
      </c>
      <c r="D105" s="31" t="s">
        <v>12</v>
      </c>
      <c r="Z105" s="57">
        <f t="shared" si="31"/>
        <v>0</v>
      </c>
    </row>
    <row r="106" spans="1:45">
      <c r="A106" s="61" t="s">
        <v>467</v>
      </c>
      <c r="B106" s="31" t="s">
        <v>492</v>
      </c>
      <c r="D106" s="31" t="s">
        <v>12</v>
      </c>
      <c r="Z106" s="57">
        <f t="shared" si="31"/>
        <v>0</v>
      </c>
    </row>
    <row r="107" spans="1:45" s="137" customFormat="1">
      <c r="A107" s="135" t="s">
        <v>468</v>
      </c>
      <c r="B107" s="136"/>
      <c r="C107" s="136"/>
      <c r="D107" s="136" t="s">
        <v>12</v>
      </c>
      <c r="E107" s="136"/>
      <c r="F107" s="136"/>
      <c r="G107" s="136"/>
      <c r="H107" s="136"/>
      <c r="I107" s="136"/>
      <c r="J107" s="136"/>
      <c r="K107" s="136"/>
      <c r="Z107" s="138">
        <f>SUM(Z88:Z106)</f>
        <v>2.8327366766523556</v>
      </c>
      <c r="AJ107" s="136"/>
      <c r="AK107" s="136"/>
      <c r="AL107" s="136"/>
      <c r="AM107" s="136"/>
      <c r="AN107" s="136"/>
      <c r="AO107" s="136"/>
      <c r="AP107" s="136"/>
      <c r="AQ107" s="136"/>
      <c r="AR107" s="136"/>
      <c r="AS107" s="136"/>
    </row>
    <row r="108" spans="1:45" s="137" customFormat="1">
      <c r="A108" s="135" t="s">
        <v>493</v>
      </c>
      <c r="B108" s="136"/>
      <c r="C108" s="136"/>
      <c r="D108" s="136"/>
      <c r="E108" s="136"/>
      <c r="F108" s="136"/>
      <c r="G108" s="136"/>
      <c r="H108" s="136"/>
      <c r="I108" s="136"/>
      <c r="J108" s="136"/>
      <c r="K108" s="136"/>
      <c r="Z108" s="138"/>
      <c r="AJ108" s="136"/>
      <c r="AK108" s="136"/>
      <c r="AL108" s="136"/>
      <c r="AM108" s="136"/>
      <c r="AN108" s="136"/>
      <c r="AO108" s="136"/>
      <c r="AP108" s="136"/>
      <c r="AQ108" s="136"/>
      <c r="AR108" s="136"/>
      <c r="AS108" s="136"/>
    </row>
    <row r="109" spans="1:45">
      <c r="B109" s="1"/>
      <c r="C109" s="61" t="s">
        <v>494</v>
      </c>
      <c r="D109" s="31" t="s">
        <v>495</v>
      </c>
      <c r="Z109" s="57">
        <f>Z103/Z64*100</f>
        <v>0</v>
      </c>
    </row>
    <row r="110" spans="1:45">
      <c r="B110" s="1"/>
      <c r="C110" s="61" t="s">
        <v>301</v>
      </c>
      <c r="D110" s="31" t="s">
        <v>495</v>
      </c>
      <c r="Z110" s="57">
        <f>Z88/$Z$64*100</f>
        <v>1.3758154973200455E-3</v>
      </c>
    </row>
    <row r="111" spans="1:45">
      <c r="B111" s="1"/>
      <c r="C111" s="61" t="s">
        <v>302</v>
      </c>
      <c r="D111" s="31" t="s">
        <v>495</v>
      </c>
      <c r="Z111" s="57">
        <f>SUM(Z89:Z90)/Z64*100</f>
        <v>6.5590731846964269E-3</v>
      </c>
    </row>
    <row r="112" spans="1:45">
      <c r="B112" s="1"/>
      <c r="C112" s="61" t="s">
        <v>496</v>
      </c>
      <c r="D112" s="31" t="s">
        <v>495</v>
      </c>
      <c r="Z112" s="57">
        <f>SUM(Z111+Z110)</f>
        <v>7.9348886820164721E-3</v>
      </c>
    </row>
    <row r="113" spans="1:45">
      <c r="B113" s="1"/>
      <c r="C113" s="61" t="s">
        <v>497</v>
      </c>
      <c r="D113" s="31" t="s">
        <v>495</v>
      </c>
      <c r="Z113" s="57">
        <f>(SUM(Z91:Z102,Z104:Z106))/$Z$64*100</f>
        <v>94.777932430037936</v>
      </c>
    </row>
    <row r="114" spans="1:45" s="137" customFormat="1">
      <c r="A114" s="135"/>
      <c r="C114" s="135" t="s">
        <v>11</v>
      </c>
      <c r="D114" s="136" t="s">
        <v>495</v>
      </c>
      <c r="E114" s="136"/>
      <c r="F114" s="136"/>
      <c r="G114" s="136"/>
      <c r="H114" s="136"/>
      <c r="I114" s="136"/>
      <c r="J114" s="136"/>
      <c r="K114" s="136"/>
      <c r="Z114" s="138">
        <f>SUM(Z112:Z113)</f>
        <v>94.785867318719951</v>
      </c>
      <c r="AJ114" s="136"/>
      <c r="AK114" s="136"/>
      <c r="AL114" s="136"/>
      <c r="AM114" s="136"/>
      <c r="AN114" s="136"/>
      <c r="AO114" s="136"/>
      <c r="AP114" s="136"/>
      <c r="AQ114" s="136"/>
      <c r="AR114" s="136"/>
      <c r="AS114" s="136"/>
    </row>
    <row r="115" spans="1:45">
      <c r="B115" s="1"/>
      <c r="C115" s="61" t="s">
        <v>498</v>
      </c>
      <c r="D115" s="31" t="s">
        <v>495</v>
      </c>
      <c r="Z115" s="57">
        <f>SUM(Z112:Z113)-100</f>
        <v>-5.2141326812800486</v>
      </c>
    </row>
    <row r="116" spans="1:45">
      <c r="C116" s="61" t="s">
        <v>499</v>
      </c>
      <c r="D116" s="31" t="s">
        <v>495</v>
      </c>
      <c r="Z116" s="34">
        <f>100*((Z64*$E$15/100)-Z97)/(Z64*$E$15/100)</f>
        <v>99.547424729273843</v>
      </c>
      <c r="AA116" s="58"/>
    </row>
    <row r="117" spans="1:45">
      <c r="C117" s="61" t="s">
        <v>500</v>
      </c>
      <c r="D117" s="31" t="s">
        <v>495</v>
      </c>
      <c r="Z117" s="34">
        <f>((Z64*$E$19/100)-Z101)/(Z64*$E$19/100)*100</f>
        <v>100</v>
      </c>
    </row>
    <row r="118" spans="1:45">
      <c r="C118" s="61" t="s">
        <v>501</v>
      </c>
      <c r="D118" s="31" t="s">
        <v>495</v>
      </c>
      <c r="Z118" s="34">
        <f>((Z64*$E$20/100)-Z103)/(Z64*$E$20/100)*100</f>
        <v>100</v>
      </c>
    </row>
    <row r="119" spans="1:45">
      <c r="C119" s="61"/>
    </row>
    <row r="120" spans="1:45">
      <c r="C120" s="61" t="s">
        <v>502</v>
      </c>
      <c r="D120" s="31" t="s">
        <v>314</v>
      </c>
      <c r="Z120" s="34">
        <f>100*(Z93)/((Z64*$E$15/100)-Z97)</f>
        <v>2.8806249145204928E-3</v>
      </c>
      <c r="AA120" s="34"/>
    </row>
    <row r="121" spans="1:45">
      <c r="C121" s="61" t="s">
        <v>503</v>
      </c>
      <c r="D121" s="31" t="s">
        <v>314</v>
      </c>
      <c r="Z121" s="34">
        <f>100*(Z94)/((Z64*$E$15/100)-Z97)</f>
        <v>5.1431756498154638E-2</v>
      </c>
      <c r="AA121" s="34"/>
    </row>
    <row r="122" spans="1:45">
      <c r="C122" s="66" t="s">
        <v>504</v>
      </c>
      <c r="D122" s="31" t="s">
        <v>314</v>
      </c>
      <c r="Z122" s="34">
        <f>(Z95)/((Z64*$E$15/100)-Z97)*100</f>
        <v>0.44753777817619861</v>
      </c>
      <c r="AA122" s="34"/>
      <c r="AB122" s="140"/>
    </row>
    <row r="123" spans="1:45">
      <c r="C123" s="66" t="s">
        <v>505</v>
      </c>
      <c r="D123" s="31" t="s">
        <v>314</v>
      </c>
      <c r="Z123" s="34">
        <f>100*(Z96)/((Z64*$E$15/100)-Z97)</f>
        <v>99.447588439603791</v>
      </c>
      <c r="AA123" s="34"/>
    </row>
    <row r="124" spans="1:45" s="86" customFormat="1">
      <c r="A124" s="83"/>
      <c r="B124" s="84"/>
      <c r="C124" s="83" t="s">
        <v>506</v>
      </c>
      <c r="D124" s="84" t="s">
        <v>314</v>
      </c>
      <c r="E124" s="84"/>
      <c r="F124" s="84"/>
      <c r="G124" s="84"/>
      <c r="H124" s="84"/>
      <c r="I124" s="84"/>
      <c r="J124" s="84"/>
      <c r="K124" s="84"/>
      <c r="Z124" s="141">
        <f>SUM(Z120:Z123)</f>
        <v>99.949438599192661</v>
      </c>
      <c r="AJ124" s="84"/>
      <c r="AK124" s="84"/>
      <c r="AL124" s="84"/>
      <c r="AM124" s="84"/>
      <c r="AN124" s="84"/>
      <c r="AO124" s="84"/>
      <c r="AP124" s="84"/>
      <c r="AQ124" s="84"/>
      <c r="AR124" s="84"/>
      <c r="AS124" s="84"/>
    </row>
    <row r="126" spans="1:45">
      <c r="C126" s="66" t="s">
        <v>507</v>
      </c>
      <c r="D126" s="31" t="s">
        <v>314</v>
      </c>
      <c r="Z126" s="34">
        <f>100*(Z99)/((Z64*$E$19/100)-Z101)</f>
        <v>98.097631308546525</v>
      </c>
    </row>
    <row r="127" spans="1:45">
      <c r="C127" s="66" t="s">
        <v>508</v>
      </c>
      <c r="D127" s="31" t="s">
        <v>314</v>
      </c>
      <c r="Z127" s="34">
        <f>100*(Z100)/((Z64*$E$19/100)-Z101)</f>
        <v>0</v>
      </c>
    </row>
    <row r="128" spans="1:45" s="86" customFormat="1">
      <c r="A128" s="83"/>
      <c r="B128" s="84"/>
      <c r="C128" s="83" t="s">
        <v>509</v>
      </c>
      <c r="D128" s="84" t="s">
        <v>314</v>
      </c>
      <c r="E128" s="84"/>
      <c r="F128" s="84"/>
      <c r="G128" s="84"/>
      <c r="H128" s="84"/>
      <c r="I128" s="84"/>
      <c r="J128" s="84"/>
      <c r="K128" s="84"/>
      <c r="Z128" s="141">
        <f>SUM(Z126:Z127)</f>
        <v>98.097631308546525</v>
      </c>
      <c r="AJ128" s="84"/>
      <c r="AK128" s="84"/>
      <c r="AL128" s="84"/>
      <c r="AM128" s="84"/>
      <c r="AN128" s="84"/>
      <c r="AO128" s="84"/>
      <c r="AP128" s="84"/>
      <c r="AQ128" s="84"/>
      <c r="AR128" s="84"/>
      <c r="AS128" s="84"/>
    </row>
    <row r="129" spans="1:45">
      <c r="C129" s="61" t="s">
        <v>465</v>
      </c>
      <c r="D129" s="84" t="s">
        <v>314</v>
      </c>
      <c r="Z129" s="34">
        <f>100*(Z104)/((Z64*$E$15/100-Z97))</f>
        <v>0</v>
      </c>
    </row>
    <row r="131" spans="1:45" s="86" customFormat="1">
      <c r="A131" s="83"/>
      <c r="B131" s="84"/>
      <c r="C131" s="83" t="s">
        <v>466</v>
      </c>
      <c r="D131" s="84" t="s">
        <v>314</v>
      </c>
      <c r="E131" s="84"/>
      <c r="F131" s="84"/>
      <c r="G131" s="84"/>
      <c r="H131" s="84"/>
      <c r="I131" s="84"/>
      <c r="J131" s="84"/>
      <c r="K131" s="84"/>
      <c r="Z131" s="141">
        <f>100*(Z105)/((Z64*$E$20/100)-Z102)</f>
        <v>0</v>
      </c>
      <c r="AJ131" s="84"/>
      <c r="AK131" s="84"/>
      <c r="AL131" s="84"/>
      <c r="AM131" s="84"/>
      <c r="AN131" s="84"/>
      <c r="AO131" s="84"/>
      <c r="AP131" s="84"/>
      <c r="AQ131" s="84"/>
      <c r="AR131" s="84"/>
      <c r="AS131" s="84"/>
    </row>
    <row r="132" spans="1:45">
      <c r="C132" s="83" t="s">
        <v>510</v>
      </c>
      <c r="D132" s="84" t="s">
        <v>314</v>
      </c>
      <c r="Z132" s="34">
        <f>100*(Z98)/((Z64*$E$16/100))</f>
        <v>1.9588868629301825</v>
      </c>
    </row>
    <row r="133" spans="1:45">
      <c r="C133" s="61" t="str">
        <f>A98</f>
        <v>Methylcyclopentane</v>
      </c>
      <c r="D133" s="31" t="s">
        <v>495</v>
      </c>
    </row>
    <row r="134" spans="1:45">
      <c r="Z134" s="134"/>
    </row>
    <row r="141" spans="1:45">
      <c r="C141" s="61"/>
    </row>
    <row r="142" spans="1:45">
      <c r="C142" s="66"/>
    </row>
    <row r="143" spans="1:45">
      <c r="C143" s="66"/>
    </row>
    <row r="144" spans="1:45">
      <c r="C144" s="66"/>
    </row>
    <row r="145" spans="3:3">
      <c r="C145" s="66"/>
    </row>
    <row r="146" spans="3:3">
      <c r="C146" s="66"/>
    </row>
    <row r="147" spans="3:3">
      <c r="C147" s="66"/>
    </row>
    <row r="148" spans="3:3">
      <c r="C148" s="66"/>
    </row>
    <row r="149" spans="3:3">
      <c r="C149" s="66"/>
    </row>
    <row r="150" spans="3:3">
      <c r="C150" s="66"/>
    </row>
    <row r="151" spans="3:3">
      <c r="C151" s="66"/>
    </row>
    <row r="152" spans="3:3">
      <c r="C152" s="66"/>
    </row>
    <row r="153" spans="3:3">
      <c r="C153" s="66"/>
    </row>
    <row r="154" spans="3:3">
      <c r="C154" s="66"/>
    </row>
    <row r="155" spans="3:3">
      <c r="C155" s="66"/>
    </row>
    <row r="156" spans="3:3">
      <c r="C156" s="61"/>
    </row>
    <row r="157" spans="3:3">
      <c r="C157" s="61"/>
    </row>
    <row r="158" spans="3:3">
      <c r="C158" s="61"/>
    </row>
    <row r="159" spans="3:3">
      <c r="C159" s="61"/>
    </row>
  </sheetData>
  <mergeCells count="16">
    <mergeCell ref="A61:C61"/>
    <mergeCell ref="A62:C62"/>
    <mergeCell ref="A63:C63"/>
    <mergeCell ref="A64:C64"/>
    <mergeCell ref="A55:C55"/>
    <mergeCell ref="A56:C56"/>
    <mergeCell ref="A57:C57"/>
    <mergeCell ref="A58:C58"/>
    <mergeCell ref="A59:C59"/>
    <mergeCell ref="A60:C60"/>
    <mergeCell ref="A54:C54"/>
    <mergeCell ref="A1:E1"/>
    <mergeCell ref="A2:C2"/>
    <mergeCell ref="A3:C3"/>
    <mergeCell ref="A4:C4"/>
    <mergeCell ref="A53:C53"/>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D0BC7-D20C-4F19-87AC-CFF5A3C6C614}">
  <sheetPr codeName="Sheet9"/>
  <dimension ref="A1:AY159"/>
  <sheetViews>
    <sheetView topLeftCell="A31" zoomScaleNormal="100" workbookViewId="0">
      <selection activeCell="E58" sqref="E58:E66"/>
    </sheetView>
  </sheetViews>
  <sheetFormatPr defaultColWidth="9.140625" defaultRowHeight="15"/>
  <cols>
    <col min="1" max="1" width="19.7109375" style="61" bestFit="1" customWidth="1"/>
    <col min="2" max="2" width="14.85546875" style="31" bestFit="1" customWidth="1"/>
    <col min="3" max="3" width="29.7109375" style="31" bestFit="1" customWidth="1"/>
    <col min="4" max="4" width="13.140625" style="31" customWidth="1"/>
    <col min="5" max="5" width="15.85546875" style="31" bestFit="1" customWidth="1"/>
    <col min="6" max="11" width="13.140625" style="31" bestFit="1" customWidth="1"/>
    <col min="12" max="27" width="13.28515625" style="1" bestFit="1" customWidth="1"/>
    <col min="28" max="28" width="19" style="1" bestFit="1" customWidth="1"/>
    <col min="29" max="35" width="13.28515625" style="1" bestFit="1" customWidth="1"/>
    <col min="36" max="41" width="13.28515625" style="31" bestFit="1" customWidth="1"/>
    <col min="42" max="42" width="15.85546875" style="31" bestFit="1" customWidth="1"/>
    <col min="43" max="45" width="11.140625" style="31" bestFit="1" customWidth="1"/>
    <col min="46" max="47" width="11.140625" style="1" bestFit="1" customWidth="1"/>
    <col min="48" max="48" width="9.140625" style="1"/>
    <col min="49" max="49" width="26.85546875" style="1" customWidth="1"/>
    <col min="50" max="50" width="5" style="1" bestFit="1" customWidth="1"/>
    <col min="51" max="51" width="14.5703125" style="1" bestFit="1" customWidth="1"/>
    <col min="52" max="16384" width="9.140625" style="1"/>
  </cols>
  <sheetData>
    <row r="1" spans="1:9">
      <c r="A1" s="341" t="s">
        <v>456</v>
      </c>
      <c r="B1" s="341"/>
      <c r="C1" s="341"/>
      <c r="D1" s="341"/>
      <c r="E1" s="341"/>
    </row>
    <row r="2" spans="1:9">
      <c r="A2" s="342" t="s">
        <v>457</v>
      </c>
      <c r="B2" s="342"/>
      <c r="C2" s="342"/>
      <c r="D2" s="62" t="s">
        <v>314</v>
      </c>
      <c r="E2" s="156">
        <f>E36</f>
        <v>83.67495952464084</v>
      </c>
      <c r="H2" s="1"/>
    </row>
    <row r="3" spans="1:9">
      <c r="A3" s="342" t="s">
        <v>458</v>
      </c>
      <c r="B3" s="342"/>
      <c r="C3" s="342"/>
      <c r="D3" s="62" t="s">
        <v>314</v>
      </c>
      <c r="E3" s="156">
        <f>E37</f>
        <v>16.32504047535916</v>
      </c>
    </row>
    <row r="4" spans="1:9">
      <c r="A4" s="342" t="s">
        <v>459</v>
      </c>
      <c r="B4" s="342"/>
      <c r="C4" s="342"/>
      <c r="D4" s="62" t="s">
        <v>314</v>
      </c>
      <c r="E4" s="62">
        <v>88.5</v>
      </c>
    </row>
    <row r="5" spans="1:9">
      <c r="A5" s="64"/>
      <c r="B5" s="64"/>
      <c r="C5" s="64" t="s">
        <v>256</v>
      </c>
      <c r="D5" s="62" t="s">
        <v>460</v>
      </c>
      <c r="E5" s="62"/>
      <c r="H5" s="31" t="s">
        <v>457</v>
      </c>
      <c r="I5" s="31" t="s">
        <v>458</v>
      </c>
    </row>
    <row r="6" spans="1:9">
      <c r="A6" s="63" t="s">
        <v>264</v>
      </c>
      <c r="B6" s="65">
        <v>3</v>
      </c>
      <c r="C6" s="63" t="s">
        <v>461</v>
      </c>
      <c r="D6" s="65" t="s">
        <v>314</v>
      </c>
      <c r="E6" s="65"/>
      <c r="H6" s="122">
        <v>0.81699999999999995</v>
      </c>
      <c r="I6" s="122">
        <f>1-H6</f>
        <v>0.18300000000000005</v>
      </c>
    </row>
    <row r="7" spans="1:9">
      <c r="A7" s="63" t="s">
        <v>265</v>
      </c>
      <c r="B7" s="65">
        <v>4</v>
      </c>
      <c r="C7" s="63" t="s">
        <v>462</v>
      </c>
      <c r="D7" s="65" t="s">
        <v>314</v>
      </c>
      <c r="E7" s="65"/>
      <c r="H7" s="122">
        <v>0.8276</v>
      </c>
      <c r="I7" s="122">
        <f t="shared" ref="I7:I24" si="0">1-H7</f>
        <v>0.1724</v>
      </c>
    </row>
    <row r="8" spans="1:9">
      <c r="A8" s="63" t="s">
        <v>266</v>
      </c>
      <c r="B8" s="65">
        <v>4</v>
      </c>
      <c r="C8" s="63" t="s">
        <v>461</v>
      </c>
      <c r="D8" s="65" t="s">
        <v>314</v>
      </c>
      <c r="E8" s="65"/>
      <c r="H8" s="122">
        <v>0.8276</v>
      </c>
      <c r="I8" s="122">
        <f t="shared" si="0"/>
        <v>0.1724</v>
      </c>
    </row>
    <row r="9" spans="1:9">
      <c r="A9" s="63" t="s">
        <v>267</v>
      </c>
      <c r="B9" s="65">
        <v>5</v>
      </c>
      <c r="C9" s="63" t="s">
        <v>462</v>
      </c>
      <c r="D9" s="65" t="s">
        <v>314</v>
      </c>
      <c r="E9" s="65"/>
      <c r="H9" s="122">
        <v>0.83160000000000001</v>
      </c>
      <c r="I9" s="122">
        <f t="shared" si="0"/>
        <v>0.16839999999999999</v>
      </c>
    </row>
    <row r="10" spans="1:9">
      <c r="A10" s="63" t="s">
        <v>268</v>
      </c>
      <c r="B10" s="65">
        <v>5</v>
      </c>
      <c r="C10" s="63" t="s">
        <v>461</v>
      </c>
      <c r="D10" s="65" t="s">
        <v>314</v>
      </c>
      <c r="E10" s="65"/>
      <c r="H10" s="122">
        <v>0.83160000000000001</v>
      </c>
      <c r="I10" s="122">
        <f t="shared" si="0"/>
        <v>0.16839999999999999</v>
      </c>
    </row>
    <row r="11" spans="1:9">
      <c r="A11" s="63" t="s">
        <v>269</v>
      </c>
      <c r="B11" s="65">
        <v>6</v>
      </c>
      <c r="C11" s="63" t="s">
        <v>462</v>
      </c>
      <c r="D11" s="65" t="s">
        <v>314</v>
      </c>
      <c r="E11" s="65"/>
      <c r="H11" s="122">
        <v>0.83589999999999998</v>
      </c>
      <c r="I11" s="122">
        <f t="shared" si="0"/>
        <v>0.16410000000000002</v>
      </c>
    </row>
    <row r="12" spans="1:9">
      <c r="A12" s="63" t="s">
        <v>270</v>
      </c>
      <c r="B12" s="65">
        <v>6</v>
      </c>
      <c r="C12" s="63" t="s">
        <v>462</v>
      </c>
      <c r="D12" s="65" t="s">
        <v>314</v>
      </c>
      <c r="E12" s="65"/>
      <c r="H12" s="122">
        <v>0.83589999999999998</v>
      </c>
      <c r="I12" s="122">
        <f t="shared" si="0"/>
        <v>0.16410000000000002</v>
      </c>
    </row>
    <row r="13" spans="1:9">
      <c r="A13" s="63" t="s">
        <v>169</v>
      </c>
      <c r="B13" s="65">
        <v>6</v>
      </c>
      <c r="C13" s="63" t="s">
        <v>462</v>
      </c>
      <c r="D13" s="65" t="s">
        <v>314</v>
      </c>
      <c r="H13" s="122">
        <v>0.83589999999999998</v>
      </c>
      <c r="I13" s="122">
        <f t="shared" si="0"/>
        <v>0.16410000000000002</v>
      </c>
    </row>
    <row r="14" spans="1:9">
      <c r="A14" s="63" t="s">
        <v>171</v>
      </c>
      <c r="B14" s="65">
        <v>6</v>
      </c>
      <c r="C14" s="63" t="s">
        <v>462</v>
      </c>
      <c r="D14" s="65" t="s">
        <v>314</v>
      </c>
      <c r="E14" s="132">
        <f>AVERAGEIF('Raw Data'!C:C,5,'Raw Data'!BJ:BJ)</f>
        <v>0.42656852055833344</v>
      </c>
      <c r="H14" s="122">
        <v>0.83589999999999998</v>
      </c>
      <c r="I14" s="122">
        <f t="shared" si="0"/>
        <v>0.16410000000000002</v>
      </c>
    </row>
    <row r="15" spans="1:9">
      <c r="A15" s="63" t="s">
        <v>174</v>
      </c>
      <c r="B15" s="65">
        <v>6</v>
      </c>
      <c r="C15" s="63" t="s">
        <v>461</v>
      </c>
      <c r="D15" s="65" t="s">
        <v>314</v>
      </c>
      <c r="E15" s="132">
        <f>AVERAGEIF('Raw Data'!C:C,5,'Raw Data'!AU:AU)</f>
        <v>84.322809007444448</v>
      </c>
      <c r="H15" s="122">
        <v>0.83589999999999998</v>
      </c>
      <c r="I15" s="122">
        <f t="shared" si="0"/>
        <v>0.16410000000000002</v>
      </c>
    </row>
    <row r="16" spans="1:9">
      <c r="A16" s="63" t="s">
        <v>272</v>
      </c>
      <c r="B16" s="65">
        <v>6</v>
      </c>
      <c r="C16" s="63" t="s">
        <v>463</v>
      </c>
      <c r="D16" s="65" t="s">
        <v>314</v>
      </c>
      <c r="E16" s="132">
        <f>AVERAGEIF('Raw Data'!C:C,5,'Raw Data'!CN:CN)</f>
        <v>0.56272851096111109</v>
      </c>
      <c r="H16" s="122">
        <v>0.85629999999999995</v>
      </c>
      <c r="I16" s="122">
        <f t="shared" si="0"/>
        <v>0.14370000000000005</v>
      </c>
    </row>
    <row r="17" spans="1:35">
      <c r="A17" s="63" t="s">
        <v>273</v>
      </c>
      <c r="B17" s="65">
        <v>7</v>
      </c>
      <c r="C17" s="63" t="s">
        <v>462</v>
      </c>
      <c r="D17" s="65" t="s">
        <v>314</v>
      </c>
      <c r="H17" s="122">
        <v>0.84050000000000002</v>
      </c>
      <c r="I17" s="122">
        <f t="shared" si="0"/>
        <v>0.15949999999999998</v>
      </c>
    </row>
    <row r="18" spans="1:35">
      <c r="A18" s="63" t="s">
        <v>274</v>
      </c>
      <c r="B18" s="65">
        <v>7</v>
      </c>
      <c r="C18" s="63" t="s">
        <v>462</v>
      </c>
      <c r="D18" s="65" t="s">
        <v>314</v>
      </c>
      <c r="E18" s="65"/>
      <c r="H18" s="122">
        <v>0.84050000000000002</v>
      </c>
      <c r="I18" s="122">
        <f t="shared" si="0"/>
        <v>0.15949999999999998</v>
      </c>
    </row>
    <row r="19" spans="1:35">
      <c r="A19" s="63" t="s">
        <v>177</v>
      </c>
      <c r="B19" s="65">
        <v>7</v>
      </c>
      <c r="C19" s="63" t="s">
        <v>462</v>
      </c>
      <c r="D19" s="65" t="s">
        <v>314</v>
      </c>
      <c r="E19" s="132">
        <f>AVERAGEIF('Raw Data'!C:C,5,'Raw Data'!AV:AV)</f>
        <v>9.7863740921027755</v>
      </c>
      <c r="H19" s="122">
        <v>0.84050000000000002</v>
      </c>
      <c r="I19" s="122">
        <f t="shared" si="0"/>
        <v>0.15949999999999998</v>
      </c>
    </row>
    <row r="20" spans="1:35" s="31" customFormat="1">
      <c r="A20" s="63" t="s">
        <v>175</v>
      </c>
      <c r="B20" s="65">
        <v>8</v>
      </c>
      <c r="C20" s="63" t="s">
        <v>461</v>
      </c>
      <c r="D20" s="65" t="s">
        <v>314</v>
      </c>
      <c r="E20" s="132">
        <f>AVERAGEIF('Raw Data'!C:C,5,'Raw Data'!AW:AW)</f>
        <v>4.700572364858334</v>
      </c>
      <c r="H20" s="122">
        <v>0.84209999999999996</v>
      </c>
      <c r="I20" s="122">
        <f t="shared" si="0"/>
        <v>0.15790000000000004</v>
      </c>
      <c r="L20" s="1"/>
      <c r="M20" s="1"/>
      <c r="N20" s="1"/>
      <c r="O20" s="1"/>
      <c r="P20" s="1"/>
      <c r="Q20" s="1"/>
      <c r="R20" s="1"/>
      <c r="S20" s="1"/>
      <c r="T20" s="1"/>
      <c r="U20" s="1"/>
      <c r="V20" s="1"/>
      <c r="W20" s="1"/>
      <c r="X20" s="1"/>
      <c r="Y20" s="1"/>
      <c r="Z20" s="1"/>
      <c r="AA20" s="1"/>
      <c r="AB20" s="1"/>
      <c r="AC20" s="1"/>
      <c r="AD20" s="1"/>
      <c r="AE20" s="1"/>
      <c r="AF20" s="1"/>
      <c r="AG20" s="1"/>
      <c r="AH20" s="1"/>
      <c r="AI20" s="1"/>
    </row>
    <row r="21" spans="1:35" s="31" customFormat="1">
      <c r="A21" s="63" t="s">
        <v>464</v>
      </c>
      <c r="B21" s="65"/>
      <c r="C21" s="65"/>
      <c r="D21" s="65" t="s">
        <v>314</v>
      </c>
      <c r="E21" s="345">
        <v>0.2</v>
      </c>
      <c r="H21" s="31">
        <v>0.79879999999999995</v>
      </c>
      <c r="I21" s="122">
        <f t="shared" si="0"/>
        <v>0.20120000000000005</v>
      </c>
      <c r="L21" s="1"/>
      <c r="M21" s="1"/>
      <c r="N21" s="1"/>
      <c r="O21" s="1"/>
      <c r="P21" s="1"/>
      <c r="Q21" s="1"/>
      <c r="R21" s="1"/>
      <c r="S21" s="1"/>
      <c r="T21" s="1"/>
      <c r="U21" s="1"/>
      <c r="V21" s="1"/>
      <c r="W21" s="1"/>
      <c r="X21" s="1"/>
      <c r="Y21" s="1"/>
      <c r="Z21" s="1"/>
      <c r="AA21" s="1"/>
      <c r="AB21" s="1"/>
      <c r="AC21" s="1"/>
      <c r="AD21" s="1"/>
      <c r="AE21" s="1"/>
      <c r="AF21" s="1"/>
      <c r="AG21" s="1"/>
      <c r="AH21" s="1"/>
      <c r="AI21" s="1"/>
    </row>
    <row r="22" spans="1:35" s="31" customFormat="1">
      <c r="A22" s="63" t="s">
        <v>465</v>
      </c>
      <c r="B22" s="65"/>
      <c r="C22" s="65"/>
      <c r="D22" s="65" t="s">
        <v>314</v>
      </c>
      <c r="E22" s="324"/>
      <c r="H22" s="122">
        <v>0.84050000000000002</v>
      </c>
      <c r="I22" s="122">
        <f t="shared" si="0"/>
        <v>0.15949999999999998</v>
      </c>
      <c r="L22" s="1"/>
      <c r="M22" s="1"/>
      <c r="N22" s="1"/>
      <c r="O22" s="1"/>
      <c r="P22" s="1"/>
      <c r="Q22" s="1"/>
      <c r="R22" s="1"/>
      <c r="S22" s="1"/>
      <c r="T22" s="1"/>
      <c r="U22" s="1"/>
      <c r="V22" s="1"/>
      <c r="W22" s="1"/>
      <c r="X22" s="1"/>
      <c r="Y22" s="1"/>
      <c r="Z22" s="1"/>
      <c r="AA22" s="1"/>
      <c r="AB22" s="1"/>
      <c r="AC22" s="1"/>
      <c r="AD22" s="1"/>
      <c r="AE22" s="1"/>
      <c r="AF22" s="1"/>
      <c r="AG22" s="1"/>
      <c r="AH22" s="1"/>
      <c r="AI22" s="1"/>
    </row>
    <row r="23" spans="1:35" s="31" customFormat="1">
      <c r="A23" s="63" t="s">
        <v>466</v>
      </c>
      <c r="B23" s="65"/>
      <c r="C23" s="65"/>
      <c r="D23" s="65" t="s">
        <v>314</v>
      </c>
      <c r="E23" s="324"/>
      <c r="H23" s="122">
        <v>0.84050000000000002</v>
      </c>
      <c r="I23" s="122">
        <f t="shared" si="0"/>
        <v>0.15949999999999998</v>
      </c>
      <c r="L23" s="1"/>
      <c r="M23" s="1"/>
      <c r="N23" s="1"/>
      <c r="O23" s="1"/>
      <c r="P23" s="1"/>
      <c r="Q23" s="1"/>
      <c r="R23" s="1"/>
      <c r="S23" s="1"/>
      <c r="T23" s="1"/>
      <c r="U23" s="1"/>
      <c r="V23" s="1"/>
      <c r="W23" s="1"/>
      <c r="X23" s="1"/>
      <c r="Y23" s="1"/>
      <c r="Z23" s="1"/>
      <c r="AA23" s="1"/>
      <c r="AB23" s="1"/>
      <c r="AC23" s="1"/>
      <c r="AD23" s="1"/>
      <c r="AE23" s="1"/>
      <c r="AF23" s="1"/>
      <c r="AG23" s="1"/>
      <c r="AH23" s="1"/>
      <c r="AI23" s="1"/>
    </row>
    <row r="24" spans="1:35" s="31" customFormat="1">
      <c r="A24" s="63" t="s">
        <v>467</v>
      </c>
      <c r="B24" s="65"/>
      <c r="C24" s="65"/>
      <c r="D24" s="65" t="s">
        <v>314</v>
      </c>
      <c r="E24" s="346"/>
      <c r="H24" s="31">
        <v>0.84260000000000002</v>
      </c>
      <c r="I24" s="122">
        <f t="shared" si="0"/>
        <v>0.15739999999999998</v>
      </c>
      <c r="L24" s="1"/>
      <c r="M24" s="1"/>
      <c r="N24" s="1"/>
      <c r="O24" s="1"/>
      <c r="P24" s="1"/>
      <c r="Q24" s="1"/>
      <c r="R24" s="1"/>
      <c r="S24" s="1"/>
      <c r="T24" s="1"/>
      <c r="U24" s="1"/>
      <c r="V24" s="1"/>
      <c r="W24" s="1"/>
      <c r="X24" s="1"/>
      <c r="Y24" s="1"/>
      <c r="Z24" s="1"/>
      <c r="AA24" s="1"/>
      <c r="AB24" s="1"/>
      <c r="AC24" s="1"/>
      <c r="AD24" s="1"/>
      <c r="AE24" s="1"/>
      <c r="AF24" s="1"/>
      <c r="AG24" s="1"/>
      <c r="AH24" s="1"/>
      <c r="AI24" s="1"/>
    </row>
    <row r="25" spans="1:35" s="31" customFormat="1">
      <c r="A25" s="63" t="s">
        <v>468</v>
      </c>
      <c r="B25" s="65"/>
      <c r="C25" s="65"/>
      <c r="D25" s="65" t="s">
        <v>314</v>
      </c>
      <c r="E25" s="72">
        <f>SUM(E6:E24)</f>
        <v>99.999052495925</v>
      </c>
      <c r="L25" s="1"/>
      <c r="M25" s="1"/>
      <c r="N25" s="1"/>
      <c r="O25" s="1"/>
      <c r="P25" s="1"/>
      <c r="Q25" s="1"/>
      <c r="R25" s="1"/>
      <c r="S25" s="1"/>
      <c r="T25" s="1"/>
      <c r="U25" s="1"/>
      <c r="V25" s="1"/>
      <c r="W25" s="1"/>
      <c r="X25" s="1"/>
      <c r="Y25" s="1"/>
      <c r="Z25" s="1"/>
      <c r="AA25" s="1"/>
      <c r="AB25" s="1"/>
      <c r="AC25" s="1"/>
      <c r="AD25" s="1"/>
      <c r="AE25" s="1"/>
      <c r="AF25" s="1"/>
      <c r="AG25" s="1"/>
      <c r="AH25" s="1"/>
      <c r="AI25" s="1"/>
    </row>
    <row r="26" spans="1:35" s="31" customFormat="1">
      <c r="A26" s="63"/>
      <c r="B26" s="65"/>
      <c r="C26" s="63"/>
      <c r="D26" s="65"/>
      <c r="E26" s="65"/>
      <c r="L26" s="1"/>
      <c r="M26" s="1"/>
      <c r="N26" s="1"/>
      <c r="O26" s="1"/>
      <c r="P26" s="1"/>
      <c r="Q26" s="1"/>
      <c r="R26" s="1"/>
      <c r="S26" s="1"/>
      <c r="T26" s="1"/>
      <c r="U26" s="1"/>
      <c r="V26" s="1"/>
      <c r="W26" s="1"/>
      <c r="X26" s="1"/>
      <c r="Y26" s="1"/>
      <c r="Z26" s="1"/>
      <c r="AA26" s="1"/>
      <c r="AB26" s="1"/>
      <c r="AC26" s="1"/>
      <c r="AD26" s="1"/>
      <c r="AE26" s="1"/>
      <c r="AF26" s="1"/>
      <c r="AG26" s="1"/>
      <c r="AH26" s="1"/>
      <c r="AI26" s="1"/>
    </row>
    <row r="27" spans="1:35" s="31" customFormat="1">
      <c r="A27" s="63"/>
      <c r="B27" s="65"/>
      <c r="C27" s="63"/>
      <c r="D27" s="65"/>
      <c r="E27" s="65"/>
      <c r="L27" s="1"/>
      <c r="M27" s="1"/>
      <c r="N27" s="1"/>
      <c r="O27" s="1"/>
      <c r="P27" s="1"/>
      <c r="Q27" s="1"/>
      <c r="R27" s="1"/>
      <c r="S27" s="1"/>
      <c r="T27" s="1"/>
      <c r="U27" s="1"/>
      <c r="V27" s="1"/>
      <c r="W27" s="1"/>
      <c r="X27" s="1"/>
      <c r="Y27" s="1"/>
      <c r="Z27" s="1"/>
      <c r="AA27" s="1"/>
      <c r="AB27" s="1"/>
      <c r="AC27" s="1"/>
      <c r="AD27" s="1"/>
      <c r="AE27" s="1"/>
      <c r="AF27" s="1"/>
      <c r="AG27" s="1"/>
      <c r="AH27" s="1"/>
      <c r="AI27" s="1"/>
    </row>
    <row r="28" spans="1:35" s="31" customFormat="1">
      <c r="A28" s="63"/>
      <c r="B28" s="69"/>
      <c r="C28" s="63" t="s">
        <v>120</v>
      </c>
      <c r="D28" s="65" t="s">
        <v>121</v>
      </c>
      <c r="E28" s="70">
        <f>1.2426*0.965</f>
        <v>1.199109</v>
      </c>
      <c r="F28" s="71"/>
      <c r="G28" s="1"/>
      <c r="H28" s="1"/>
      <c r="L28" s="1"/>
      <c r="M28" s="1"/>
      <c r="N28" s="1"/>
      <c r="O28" s="1"/>
      <c r="P28" s="1"/>
      <c r="Q28" s="1"/>
      <c r="R28" s="1"/>
      <c r="S28" s="1"/>
      <c r="T28" s="1"/>
      <c r="U28" s="1"/>
      <c r="V28" s="1"/>
      <c r="W28" s="1"/>
      <c r="X28" s="1"/>
      <c r="Y28" s="1"/>
      <c r="Z28" s="1"/>
      <c r="AA28" s="1"/>
      <c r="AB28" s="1"/>
      <c r="AC28" s="1"/>
      <c r="AD28" s="1"/>
      <c r="AE28" s="1"/>
      <c r="AF28" s="1"/>
      <c r="AG28" s="1"/>
      <c r="AH28" s="1"/>
      <c r="AI28" s="1"/>
    </row>
    <row r="29" spans="1:35" s="31" customFormat="1">
      <c r="A29" s="63"/>
      <c r="B29" s="69"/>
      <c r="C29" s="63" t="s">
        <v>120</v>
      </c>
      <c r="D29" s="65" t="s">
        <v>99</v>
      </c>
      <c r="E29" s="132">
        <f>E28/0.654</f>
        <v>1.8334999999999999</v>
      </c>
      <c r="F29" s="71" t="s">
        <v>469</v>
      </c>
      <c r="G29" s="1"/>
      <c r="H29" s="1"/>
      <c r="L29" s="1"/>
      <c r="M29" s="1"/>
      <c r="N29" s="1"/>
      <c r="O29" s="1"/>
      <c r="P29" s="1"/>
      <c r="Q29" s="1"/>
      <c r="R29" s="1"/>
      <c r="S29" s="1"/>
      <c r="T29" s="1"/>
      <c r="U29" s="1"/>
      <c r="V29" s="1"/>
      <c r="W29" s="1"/>
      <c r="X29" s="1"/>
      <c r="Y29" s="1"/>
      <c r="Z29" s="1"/>
      <c r="AA29" s="1"/>
      <c r="AB29" s="1"/>
      <c r="AC29" s="1"/>
      <c r="AD29" s="1"/>
      <c r="AE29" s="1"/>
      <c r="AF29" s="1"/>
      <c r="AG29" s="1"/>
      <c r="AH29" s="1"/>
      <c r="AI29" s="1"/>
    </row>
    <row r="30" spans="1:35" s="31" customFormat="1">
      <c r="A30" s="63"/>
      <c r="B30" s="69"/>
      <c r="C30" s="63" t="s">
        <v>220</v>
      </c>
      <c r="D30" s="65" t="s">
        <v>137</v>
      </c>
      <c r="E30" s="70">
        <f>E53</f>
        <v>2.6</v>
      </c>
      <c r="F30" s="71"/>
      <c r="G30" s="1"/>
      <c r="H30" s="1"/>
      <c r="L30" s="1"/>
      <c r="M30" s="1"/>
      <c r="N30" s="1"/>
      <c r="O30" s="1"/>
      <c r="P30" s="1"/>
      <c r="Q30" s="1"/>
      <c r="R30" s="1"/>
      <c r="S30" s="1"/>
      <c r="T30" s="1"/>
      <c r="U30" s="1"/>
      <c r="V30" s="1"/>
      <c r="W30" s="1"/>
      <c r="X30" s="1"/>
      <c r="Y30" s="1"/>
      <c r="Z30" s="1"/>
      <c r="AA30" s="1"/>
      <c r="AB30" s="1"/>
      <c r="AC30" s="1"/>
      <c r="AD30" s="1"/>
      <c r="AE30" s="1"/>
      <c r="AF30" s="1"/>
      <c r="AG30" s="1"/>
      <c r="AH30" s="1"/>
      <c r="AI30" s="1"/>
    </row>
    <row r="31" spans="1:35" s="31" customFormat="1">
      <c r="A31" s="63"/>
      <c r="B31" s="69"/>
      <c r="C31" s="63" t="s">
        <v>470</v>
      </c>
      <c r="D31" s="65" t="s">
        <v>471</v>
      </c>
      <c r="E31" s="72">
        <f>AVERAGE(AH54:AL54)</f>
        <v>23.967545600000001</v>
      </c>
      <c r="F31" s="71" t="s">
        <v>472</v>
      </c>
      <c r="G31" s="1"/>
      <c r="H31" s="1"/>
      <c r="L31" s="1"/>
      <c r="M31" s="1"/>
      <c r="N31" s="1"/>
      <c r="O31" s="1"/>
      <c r="P31" s="1"/>
      <c r="Q31" s="1"/>
      <c r="R31" s="1"/>
      <c r="S31" s="1"/>
      <c r="T31" s="1"/>
      <c r="U31" s="1"/>
      <c r="V31" s="1"/>
      <c r="W31" s="1"/>
      <c r="X31" s="1"/>
      <c r="Y31" s="1"/>
      <c r="Z31" s="1"/>
      <c r="AA31" s="1"/>
      <c r="AB31" s="1"/>
      <c r="AC31" s="1"/>
      <c r="AD31" s="1"/>
      <c r="AE31" s="1"/>
      <c r="AF31" s="1"/>
      <c r="AG31" s="1"/>
      <c r="AH31" s="1"/>
      <c r="AI31" s="1"/>
    </row>
    <row r="32" spans="1:35" s="31" customFormat="1">
      <c r="A32" s="63"/>
      <c r="B32" s="69"/>
      <c r="C32" s="63" t="s">
        <v>473</v>
      </c>
      <c r="D32" s="65" t="s">
        <v>471</v>
      </c>
      <c r="E32" s="72">
        <f>AVERAGE(AH55:AL55)</f>
        <v>58.2548624</v>
      </c>
      <c r="F32" s="71" t="s">
        <v>472</v>
      </c>
      <c r="G32" s="1"/>
      <c r="H32" s="1"/>
      <c r="L32" s="1"/>
      <c r="M32" s="1"/>
      <c r="N32" s="1"/>
      <c r="O32" s="1"/>
      <c r="P32" s="1"/>
      <c r="Q32" s="1"/>
      <c r="R32" s="1"/>
      <c r="S32" s="1"/>
      <c r="T32" s="1"/>
      <c r="U32" s="1"/>
      <c r="V32" s="1"/>
      <c r="W32" s="1"/>
      <c r="X32" s="1"/>
      <c r="Y32" s="1"/>
      <c r="Z32" s="1"/>
      <c r="AA32" s="1"/>
      <c r="AB32" s="1"/>
      <c r="AC32" s="1"/>
      <c r="AD32" s="1"/>
      <c r="AE32" s="1"/>
      <c r="AF32" s="1"/>
      <c r="AG32" s="1"/>
      <c r="AH32" s="1"/>
      <c r="AI32" s="1"/>
    </row>
    <row r="33" spans="1:48" s="31" customFormat="1">
      <c r="A33" s="63"/>
      <c r="B33" s="69"/>
      <c r="C33" s="63" t="s">
        <v>474</v>
      </c>
      <c r="D33" s="65" t="s">
        <v>471</v>
      </c>
      <c r="E33" s="72">
        <f>100-E32-E31</f>
        <v>17.777591999999999</v>
      </c>
      <c r="F33" s="71" t="s">
        <v>472</v>
      </c>
      <c r="G33" s="1"/>
      <c r="H33" s="1"/>
      <c r="L33" s="1"/>
      <c r="M33" s="1"/>
      <c r="N33" s="1"/>
      <c r="O33" s="1"/>
      <c r="P33" s="1"/>
      <c r="Q33" s="1"/>
      <c r="R33" s="1"/>
      <c r="S33" s="1"/>
      <c r="T33" s="1"/>
      <c r="U33" s="1"/>
      <c r="V33" s="1"/>
      <c r="W33" s="1"/>
      <c r="X33" s="1"/>
      <c r="Y33" s="1"/>
      <c r="Z33" s="1"/>
      <c r="AA33" s="1"/>
      <c r="AB33" s="1"/>
      <c r="AC33" s="1"/>
      <c r="AD33" s="1"/>
      <c r="AE33" s="1"/>
      <c r="AF33" s="1"/>
      <c r="AG33" s="1"/>
      <c r="AH33" s="1"/>
      <c r="AI33" s="1"/>
    </row>
    <row r="34" spans="1:48" s="31" customFormat="1">
      <c r="A34" s="63"/>
      <c r="B34" s="69"/>
      <c r="C34" s="63" t="s">
        <v>475</v>
      </c>
      <c r="D34" s="65" t="s">
        <v>471</v>
      </c>
      <c r="E34" s="72">
        <f>SUM(E31:E33)</f>
        <v>100</v>
      </c>
      <c r="F34" s="71" t="s">
        <v>472</v>
      </c>
      <c r="G34" s="1"/>
      <c r="H34" s="1"/>
      <c r="L34" s="1"/>
      <c r="M34" s="1"/>
      <c r="N34" s="1"/>
      <c r="O34" s="1"/>
      <c r="P34" s="1"/>
      <c r="Q34" s="1"/>
      <c r="R34" s="1"/>
      <c r="S34" s="1"/>
      <c r="T34" s="1"/>
      <c r="U34" s="1"/>
      <c r="V34" s="1"/>
      <c r="W34" s="1"/>
      <c r="X34" s="1"/>
      <c r="Y34" s="1"/>
      <c r="Z34" s="1"/>
      <c r="AA34" s="1"/>
      <c r="AB34" s="1"/>
      <c r="AC34" s="1"/>
      <c r="AD34" s="1"/>
      <c r="AE34" s="1"/>
      <c r="AF34" s="1"/>
      <c r="AG34" s="1"/>
      <c r="AH34" s="1"/>
      <c r="AI34" s="1"/>
    </row>
    <row r="35" spans="1:48" s="31" customFormat="1">
      <c r="A35" s="63"/>
      <c r="B35" s="69"/>
      <c r="C35" s="63" t="s">
        <v>476</v>
      </c>
      <c r="D35" s="133" t="s">
        <v>112</v>
      </c>
      <c r="E35" s="131">
        <f>AVERAGE(AH58:AL58)</f>
        <v>88.5787277222</v>
      </c>
      <c r="F35" s="71" t="s">
        <v>472</v>
      </c>
      <c r="G35" s="1"/>
      <c r="H35" s="1"/>
      <c r="L35" s="1"/>
      <c r="M35" s="1"/>
      <c r="N35" s="1"/>
      <c r="O35" s="1"/>
      <c r="P35" s="1"/>
      <c r="Q35" s="1"/>
      <c r="R35" s="1"/>
      <c r="S35" s="1"/>
      <c r="T35" s="1"/>
      <c r="U35" s="1"/>
      <c r="V35" s="1"/>
      <c r="W35" s="1"/>
      <c r="X35" s="1"/>
      <c r="Y35" s="1"/>
      <c r="Z35" s="1"/>
      <c r="AA35" s="1"/>
      <c r="AB35" s="1"/>
      <c r="AC35" s="1"/>
      <c r="AD35" s="1"/>
      <c r="AE35" s="1"/>
      <c r="AF35" s="1"/>
      <c r="AG35" s="1"/>
      <c r="AH35" s="1"/>
      <c r="AI35" s="1"/>
    </row>
    <row r="36" spans="1:48">
      <c r="A36" s="63"/>
      <c r="B36" s="69"/>
      <c r="C36" s="63" t="s">
        <v>477</v>
      </c>
      <c r="D36" s="65" t="s">
        <v>314</v>
      </c>
      <c r="E36" s="132">
        <f>AVERAGE(AH59:AL59)</f>
        <v>83.67495952464084</v>
      </c>
      <c r="F36" s="71" t="s">
        <v>472</v>
      </c>
      <c r="G36" s="1"/>
      <c r="H36" s="1"/>
    </row>
    <row r="37" spans="1:48">
      <c r="A37" s="63"/>
      <c r="B37" s="69"/>
      <c r="C37" s="63" t="s">
        <v>478</v>
      </c>
      <c r="D37" s="65" t="s">
        <v>314</v>
      </c>
      <c r="E37" s="132">
        <f>AVERAGE(AH60:AL60)</f>
        <v>16.32504047535916</v>
      </c>
      <c r="F37" s="71" t="s">
        <v>472</v>
      </c>
      <c r="G37" s="1"/>
      <c r="H37" s="1"/>
    </row>
    <row r="38" spans="1:48">
      <c r="A38" s="63"/>
      <c r="B38" s="69"/>
      <c r="C38" s="63" t="s">
        <v>479</v>
      </c>
      <c r="D38" s="65" t="s">
        <v>12</v>
      </c>
      <c r="E38" s="132">
        <f>AVERAGE(AH61:AL61)</f>
        <v>8.9179686608990533E-2</v>
      </c>
      <c r="F38" s="71" t="s">
        <v>472</v>
      </c>
      <c r="G38" s="1"/>
      <c r="H38" s="1"/>
    </row>
    <row r="39" spans="1:48">
      <c r="A39" s="63"/>
      <c r="B39" s="69"/>
      <c r="C39" s="63" t="s">
        <v>480</v>
      </c>
      <c r="D39" s="65" t="s">
        <v>12</v>
      </c>
      <c r="E39" s="132">
        <f>AVERAGE(AH62:AL62)</f>
        <v>2.9294444365896464</v>
      </c>
      <c r="F39" s="71" t="s">
        <v>472</v>
      </c>
      <c r="G39" s="1"/>
      <c r="H39" s="1"/>
    </row>
    <row r="40" spans="1:48">
      <c r="A40" s="63"/>
      <c r="B40" s="69"/>
      <c r="C40" s="63" t="s">
        <v>481</v>
      </c>
      <c r="D40" s="65" t="s">
        <v>482</v>
      </c>
      <c r="E40" s="131">
        <f>E39/E38</f>
        <v>32.848785950928857</v>
      </c>
      <c r="F40" s="71" t="s">
        <v>472</v>
      </c>
      <c r="G40" s="1"/>
      <c r="H40" s="1"/>
    </row>
    <row r="41" spans="1:48">
      <c r="A41" s="63"/>
      <c r="B41" s="69"/>
      <c r="C41" s="63" t="s">
        <v>481</v>
      </c>
      <c r="D41" s="65" t="s">
        <v>483</v>
      </c>
      <c r="E41" s="132">
        <f>_xlfn.STDEV.S(AH65:AL65)</f>
        <v>1.014877938762522</v>
      </c>
      <c r="F41" s="69" t="s">
        <v>472</v>
      </c>
      <c r="G41" s="1"/>
      <c r="H41" s="1"/>
    </row>
    <row r="42" spans="1:48">
      <c r="B42" s="1"/>
      <c r="C42" s="61"/>
      <c r="E42" s="58"/>
      <c r="F42" s="1"/>
      <c r="G42" s="1"/>
      <c r="H42" s="1"/>
    </row>
    <row r="43" spans="1:48">
      <c r="B43" s="1"/>
      <c r="C43" s="61"/>
      <c r="E43" s="58"/>
      <c r="F43" s="1"/>
      <c r="G43" s="1"/>
      <c r="H43" s="1"/>
    </row>
    <row r="44" spans="1:48">
      <c r="B44" s="1"/>
      <c r="C44" s="61"/>
      <c r="E44" s="58"/>
      <c r="F44" s="1"/>
      <c r="G44" s="1"/>
      <c r="H44" s="1"/>
      <c r="AH44" s="68"/>
      <c r="AI44" s="68"/>
      <c r="AJ44" s="67"/>
      <c r="AK44" s="67" t="s">
        <v>472</v>
      </c>
      <c r="AL44" s="67"/>
      <c r="AM44" s="67"/>
      <c r="AN44" s="67"/>
    </row>
    <row r="45" spans="1:48" s="78" customFormat="1">
      <c r="A45" s="80"/>
      <c r="B45" s="79"/>
      <c r="C45" s="80" t="s">
        <v>240</v>
      </c>
      <c r="D45" s="82" t="s">
        <v>112</v>
      </c>
      <c r="E45" s="79" cm="1">
        <f t="array" ref="E45:AL45">TRANSPOSE(_xlfn._xlws.FILTER('Raw Data'!A3:A300,('Raw Data'!C3:C300=1)*('Raw Data'!A3:A300&lt;&gt;"")))</f>
        <v>46120</v>
      </c>
      <c r="F45" s="79">
        <v>46120</v>
      </c>
      <c r="G45" s="79">
        <v>46121</v>
      </c>
      <c r="H45" s="79">
        <v>46122</v>
      </c>
      <c r="I45" s="79">
        <v>46122</v>
      </c>
      <c r="J45" s="79">
        <v>46123</v>
      </c>
      <c r="K45" s="79">
        <v>46123</v>
      </c>
      <c r="L45" s="78">
        <v>46124</v>
      </c>
      <c r="M45" s="78">
        <v>46125</v>
      </c>
      <c r="N45" s="78">
        <v>46125</v>
      </c>
      <c r="O45" s="78">
        <v>46125</v>
      </c>
      <c r="P45" s="78">
        <v>46126</v>
      </c>
      <c r="Q45" s="78">
        <v>46126</v>
      </c>
      <c r="R45" s="78">
        <v>46126</v>
      </c>
      <c r="S45" s="78">
        <v>46127</v>
      </c>
      <c r="T45" s="78">
        <v>46127</v>
      </c>
      <c r="U45" s="78">
        <v>46127</v>
      </c>
      <c r="V45" s="78">
        <v>46128</v>
      </c>
      <c r="W45" s="78">
        <v>46128</v>
      </c>
      <c r="X45" s="78">
        <v>46128</v>
      </c>
      <c r="Y45" s="78">
        <v>46129</v>
      </c>
      <c r="Z45" s="78">
        <v>46129</v>
      </c>
      <c r="AA45" s="78">
        <v>46130</v>
      </c>
      <c r="AB45" s="78">
        <v>46130</v>
      </c>
      <c r="AC45" s="78">
        <v>46130</v>
      </c>
      <c r="AD45" s="78">
        <v>46131</v>
      </c>
      <c r="AE45" s="78">
        <v>46131</v>
      </c>
      <c r="AF45" s="78">
        <v>46131</v>
      </c>
      <c r="AG45" s="78">
        <v>46132</v>
      </c>
      <c r="AH45" s="123">
        <v>46132</v>
      </c>
      <c r="AI45" s="123">
        <v>46133</v>
      </c>
      <c r="AJ45" s="124">
        <v>46133</v>
      </c>
      <c r="AK45" s="124">
        <v>46134</v>
      </c>
      <c r="AL45" s="124">
        <v>46134</v>
      </c>
      <c r="AM45" s="124"/>
      <c r="AN45" s="124"/>
      <c r="AO45" s="79"/>
      <c r="AP45" s="31">
        <v>1</v>
      </c>
      <c r="AQ45" s="31">
        <v>2</v>
      </c>
      <c r="AR45" s="31">
        <v>3</v>
      </c>
      <c r="AS45" s="31">
        <v>4</v>
      </c>
      <c r="AT45" s="31">
        <v>5</v>
      </c>
      <c r="AU45" s="31">
        <v>6</v>
      </c>
      <c r="AV45" s="79"/>
    </row>
    <row r="46" spans="1:48" s="78" customFormat="1">
      <c r="A46" s="80"/>
      <c r="B46" s="79"/>
      <c r="C46" s="80" t="s">
        <v>484</v>
      </c>
      <c r="D46" s="82" t="s">
        <v>112</v>
      </c>
      <c r="E46" s="79" t="str" cm="1">
        <f t="array" ref="E46:AL46">TRANSPOSE(_xlfn._xlws.FILTER('Raw Data'!D3:D301,('Raw Data'!C3:C301=1)*('Raw Data'!D3:D301&lt;&gt;"")))</f>
        <v>13:15:12</v>
      </c>
      <c r="F46" s="79" t="str">
        <v>21:31:52</v>
      </c>
      <c r="G46" s="79" t="str">
        <v>05:48:33</v>
      </c>
      <c r="H46" s="79" t="str">
        <v>14:55:28</v>
      </c>
      <c r="I46" s="79" t="str">
        <v>23:12:11</v>
      </c>
      <c r="J46" s="79" t="str">
        <v>07:28:56</v>
      </c>
      <c r="K46" s="79" t="str">
        <v>15:45:38</v>
      </c>
      <c r="L46" s="78" t="str">
        <v>16:35:48</v>
      </c>
      <c r="M46" s="78" t="str">
        <v>00:52:29</v>
      </c>
      <c r="N46" s="78" t="str">
        <v>09:09:12</v>
      </c>
      <c r="O46" s="78" t="str">
        <v>17:25:55</v>
      </c>
      <c r="P46" s="78" t="str">
        <v>01:42:37</v>
      </c>
      <c r="Q46" s="78" t="str">
        <v>09:59:20</v>
      </c>
      <c r="R46" s="78" t="str">
        <v>18:16:03</v>
      </c>
      <c r="S46" s="78" t="str">
        <v>02:32:46</v>
      </c>
      <c r="T46" s="78" t="str">
        <v>10:49:30</v>
      </c>
      <c r="U46" s="78" t="str">
        <v>19:06:14</v>
      </c>
      <c r="V46" s="78" t="str">
        <v>03:22:57</v>
      </c>
      <c r="W46" s="78" t="str">
        <v>11:39:40</v>
      </c>
      <c r="X46" s="78" t="str">
        <v>19:56:24</v>
      </c>
      <c r="Y46" s="78" t="str">
        <v>04:13:08</v>
      </c>
      <c r="Z46" s="78" t="str">
        <v>12:29:51</v>
      </c>
      <c r="AA46" s="78" t="str">
        <v>05:03:17</v>
      </c>
      <c r="AB46" s="78" t="str">
        <v>13:20:02</v>
      </c>
      <c r="AC46" s="78" t="str">
        <v>21:36:46</v>
      </c>
      <c r="AD46" s="78" t="str">
        <v>05:53:27</v>
      </c>
      <c r="AE46" s="78" t="str">
        <v>14:10:11</v>
      </c>
      <c r="AF46" s="78" t="str">
        <v>22:26:54</v>
      </c>
      <c r="AG46" s="78" t="str">
        <v>06:43:36</v>
      </c>
      <c r="AH46" s="123" t="str">
        <v>23:17:00</v>
      </c>
      <c r="AI46" s="123" t="str">
        <v>07:33:42</v>
      </c>
      <c r="AJ46" s="124" t="str">
        <v>15:50:26</v>
      </c>
      <c r="AK46" s="124" t="str">
        <v>00:07:08</v>
      </c>
      <c r="AL46" s="124" t="str">
        <v>08:23:51</v>
      </c>
      <c r="AM46" s="124"/>
      <c r="AN46" s="124"/>
      <c r="AO46" s="79"/>
      <c r="AP46" s="79"/>
      <c r="AQ46" s="79"/>
      <c r="AR46" s="79"/>
      <c r="AS46" s="79"/>
    </row>
    <row r="47" spans="1:48" s="78" customFormat="1">
      <c r="A47" s="80"/>
      <c r="B47" s="79"/>
      <c r="C47" s="80" t="s">
        <v>128</v>
      </c>
      <c r="D47" s="79" t="s">
        <v>129</v>
      </c>
      <c r="E47" s="73">
        <v>0</v>
      </c>
      <c r="F47" s="57">
        <f>((F45+F46)-(E45+E46))*24</f>
        <v>8.2777777778101154</v>
      </c>
      <c r="G47" s="57">
        <f t="shared" ref="G47:AL47" si="1">((G45+G46)-(F45+F46))*24</f>
        <v>8.278055555478204</v>
      </c>
      <c r="H47" s="57">
        <f t="shared" si="1"/>
        <v>33.115277777833398</v>
      </c>
      <c r="I47" s="57">
        <f t="shared" si="1"/>
        <v>8.2786111111636274</v>
      </c>
      <c r="J47" s="57">
        <f t="shared" si="1"/>
        <v>8.2791666666744277</v>
      </c>
      <c r="K47" s="57">
        <f t="shared" si="1"/>
        <v>8.2783333333209157</v>
      </c>
      <c r="L47" s="57">
        <f t="shared" si="1"/>
        <v>24.836111111158971</v>
      </c>
      <c r="M47" s="57">
        <f t="shared" si="1"/>
        <v>8.278055555478204</v>
      </c>
      <c r="N47" s="57">
        <f t="shared" si="1"/>
        <v>8.2786111111636274</v>
      </c>
      <c r="O47" s="57">
        <f t="shared" si="1"/>
        <v>8.2786111109890044</v>
      </c>
      <c r="P47" s="57">
        <f t="shared" si="1"/>
        <v>8.2783333334955387</v>
      </c>
      <c r="Q47" s="57">
        <f t="shared" si="1"/>
        <v>8.2786111109890044</v>
      </c>
      <c r="R47" s="57">
        <f t="shared" si="1"/>
        <v>8.2786111111636274</v>
      </c>
      <c r="S47" s="57">
        <f t="shared" si="1"/>
        <v>8.2786111111636274</v>
      </c>
      <c r="T47" s="57">
        <f t="shared" si="1"/>
        <v>8.278888888831716</v>
      </c>
      <c r="U47" s="57">
        <f t="shared" si="1"/>
        <v>8.278888888831716</v>
      </c>
      <c r="V47" s="57">
        <f t="shared" si="1"/>
        <v>8.2786111111636274</v>
      </c>
      <c r="W47" s="57">
        <f t="shared" si="1"/>
        <v>8.2786111111636274</v>
      </c>
      <c r="X47" s="57">
        <f t="shared" si="1"/>
        <v>8.278888888831716</v>
      </c>
      <c r="Y47" s="57">
        <f t="shared" si="1"/>
        <v>8.278888888831716</v>
      </c>
      <c r="Z47" s="57">
        <f t="shared" si="1"/>
        <v>8.2786111111636274</v>
      </c>
      <c r="AA47" s="57">
        <f t="shared" si="1"/>
        <v>16.557222222152632</v>
      </c>
      <c r="AB47" s="57">
        <f t="shared" si="1"/>
        <v>8.2791666666744277</v>
      </c>
      <c r="AC47" s="57">
        <f t="shared" si="1"/>
        <v>8.278888889006339</v>
      </c>
      <c r="AD47" s="57">
        <f t="shared" si="1"/>
        <v>8.278055555478204</v>
      </c>
      <c r="AE47" s="57">
        <f t="shared" si="1"/>
        <v>8.278888888831716</v>
      </c>
      <c r="AF47" s="57">
        <f t="shared" si="1"/>
        <v>8.2786111111636274</v>
      </c>
      <c r="AG47" s="57">
        <f t="shared" si="1"/>
        <v>8.2783333333209157</v>
      </c>
      <c r="AH47" s="125">
        <f t="shared" si="1"/>
        <v>16.556666666641831</v>
      </c>
      <c r="AI47" s="125">
        <f t="shared" si="1"/>
        <v>8.2783333333209157</v>
      </c>
      <c r="AJ47" s="125">
        <f t="shared" si="1"/>
        <v>8.278888889006339</v>
      </c>
      <c r="AK47" s="125">
        <f t="shared" si="1"/>
        <v>8.2783333333209157</v>
      </c>
      <c r="AL47" s="125">
        <f t="shared" si="1"/>
        <v>8.2786111111636274</v>
      </c>
      <c r="AM47" s="125"/>
      <c r="AN47" s="125"/>
      <c r="AO47" s="57"/>
      <c r="AP47" s="57"/>
      <c r="AQ47" s="57"/>
      <c r="AR47" s="57"/>
      <c r="AS47" s="57"/>
    </row>
    <row r="48" spans="1:48" s="73" customFormat="1">
      <c r="A48" s="76"/>
      <c r="C48" s="76" t="s">
        <v>485</v>
      </c>
      <c r="D48" s="73" t="s">
        <v>486</v>
      </c>
      <c r="E48" s="73">
        <v>0</v>
      </c>
      <c r="F48" s="77">
        <f>F47+E48</f>
        <v>8.2777777778101154</v>
      </c>
      <c r="G48" s="77">
        <f t="shared" ref="G48:AL48" si="2">G47+F48</f>
        <v>16.555833333288319</v>
      </c>
      <c r="H48" s="77">
        <f t="shared" si="2"/>
        <v>49.671111111121718</v>
      </c>
      <c r="I48" s="77">
        <f t="shared" si="2"/>
        <v>57.949722222285345</v>
      </c>
      <c r="J48" s="77">
        <f t="shared" si="2"/>
        <v>66.228888888959773</v>
      </c>
      <c r="K48" s="77">
        <f t="shared" si="2"/>
        <v>74.507222222280689</v>
      </c>
      <c r="L48" s="77">
        <f t="shared" si="2"/>
        <v>99.343333333439659</v>
      </c>
      <c r="M48" s="77">
        <f t="shared" si="2"/>
        <v>107.62138888891786</v>
      </c>
      <c r="N48" s="77">
        <f t="shared" si="2"/>
        <v>115.90000000008149</v>
      </c>
      <c r="O48" s="77">
        <f t="shared" si="2"/>
        <v>124.1786111110705</v>
      </c>
      <c r="P48" s="77">
        <f t="shared" si="2"/>
        <v>132.45694444456603</v>
      </c>
      <c r="Q48" s="77">
        <f t="shared" si="2"/>
        <v>140.73555555555504</v>
      </c>
      <c r="R48" s="77">
        <f t="shared" si="2"/>
        <v>149.01416666671867</v>
      </c>
      <c r="S48" s="77">
        <f t="shared" si="2"/>
        <v>157.29277777788229</v>
      </c>
      <c r="T48" s="77">
        <f t="shared" si="2"/>
        <v>165.57166666671401</v>
      </c>
      <c r="U48" s="77">
        <f t="shared" si="2"/>
        <v>173.85055555554572</v>
      </c>
      <c r="V48" s="77">
        <f t="shared" si="2"/>
        <v>182.12916666670935</v>
      </c>
      <c r="W48" s="77">
        <f t="shared" si="2"/>
        <v>190.40777777787298</v>
      </c>
      <c r="X48" s="77">
        <f t="shared" si="2"/>
        <v>198.6866666667047</v>
      </c>
      <c r="Y48" s="77">
        <f t="shared" si="2"/>
        <v>206.96555555553641</v>
      </c>
      <c r="Z48" s="77">
        <f t="shared" si="2"/>
        <v>215.24416666670004</v>
      </c>
      <c r="AA48" s="77">
        <f t="shared" si="2"/>
        <v>231.80138888885267</v>
      </c>
      <c r="AB48" s="77">
        <f t="shared" si="2"/>
        <v>240.0805555555271</v>
      </c>
      <c r="AC48" s="77">
        <f t="shared" si="2"/>
        <v>248.35944444453344</v>
      </c>
      <c r="AD48" s="77">
        <f t="shared" si="2"/>
        <v>256.63750000001164</v>
      </c>
      <c r="AE48" s="77">
        <f t="shared" si="2"/>
        <v>264.91638888884336</v>
      </c>
      <c r="AF48" s="77">
        <f t="shared" si="2"/>
        <v>273.19500000000698</v>
      </c>
      <c r="AG48" s="77">
        <f t="shared" si="2"/>
        <v>281.4733333333279</v>
      </c>
      <c r="AH48" s="126">
        <f t="shared" si="2"/>
        <v>298.02999999996973</v>
      </c>
      <c r="AI48" s="126">
        <f t="shared" si="2"/>
        <v>306.30833333329065</v>
      </c>
      <c r="AJ48" s="126">
        <f t="shared" si="2"/>
        <v>314.58722222229699</v>
      </c>
      <c r="AK48" s="126">
        <f t="shared" si="2"/>
        <v>322.8655555556179</v>
      </c>
      <c r="AL48" s="126">
        <f t="shared" si="2"/>
        <v>331.14416666678153</v>
      </c>
      <c r="AM48" s="126"/>
      <c r="AN48" s="126"/>
      <c r="AO48" s="77"/>
      <c r="AP48" s="77"/>
      <c r="AQ48" s="77"/>
      <c r="AR48" s="77"/>
      <c r="AS48" s="77"/>
    </row>
    <row r="49" spans="1:47" s="86" customFormat="1">
      <c r="A49" s="83"/>
      <c r="B49" s="84"/>
      <c r="C49" s="83" t="s">
        <v>27</v>
      </c>
      <c r="D49" s="84" t="s">
        <v>123</v>
      </c>
      <c r="E49" s="85" cm="1">
        <f t="array" ref="E49:AL49">TRANSPOSE(_xlfn._xlws.FILTER('Raw Data'!G3:G304,('Raw Data'!C3:C304=1)*('Raw Data'!G3:G304&lt;&gt;"")))</f>
        <v>24.0046</v>
      </c>
      <c r="F49" s="85">
        <v>24.013300000000001</v>
      </c>
      <c r="G49" s="85">
        <v>24.0032</v>
      </c>
      <c r="H49" s="85">
        <v>24.016200000000001</v>
      </c>
      <c r="I49" s="85">
        <v>24.049499999999998</v>
      </c>
      <c r="J49" s="85">
        <v>23.984400000000001</v>
      </c>
      <c r="K49" s="85">
        <v>24.0046</v>
      </c>
      <c r="L49" s="85">
        <v>24.013300000000001</v>
      </c>
      <c r="M49" s="85">
        <v>23.994499999999999</v>
      </c>
      <c r="N49" s="85">
        <v>23.990200000000002</v>
      </c>
      <c r="O49" s="85">
        <v>23.994499999999999</v>
      </c>
      <c r="P49" s="85">
        <v>24.0075</v>
      </c>
      <c r="Q49" s="85">
        <v>24.0017</v>
      </c>
      <c r="R49" s="85">
        <v>24.0046</v>
      </c>
      <c r="S49" s="85">
        <v>23.9786</v>
      </c>
      <c r="T49" s="85">
        <v>23.972799999999999</v>
      </c>
      <c r="U49" s="85">
        <v>23.98</v>
      </c>
      <c r="V49" s="85">
        <v>24.0032</v>
      </c>
      <c r="W49" s="85">
        <v>23.982900000000001</v>
      </c>
      <c r="X49" s="85">
        <v>24.020499999999998</v>
      </c>
      <c r="Y49" s="85">
        <v>24.009</v>
      </c>
      <c r="Z49" s="85">
        <v>24.000299999999999</v>
      </c>
      <c r="AA49" s="85">
        <v>15.0159</v>
      </c>
      <c r="AB49" s="85">
        <v>15.013</v>
      </c>
      <c r="AC49" s="85">
        <v>15.013</v>
      </c>
      <c r="AD49" s="85">
        <v>15.0014</v>
      </c>
      <c r="AE49" s="85">
        <v>15.0014</v>
      </c>
      <c r="AF49" s="85">
        <v>15.018800000000001</v>
      </c>
      <c r="AG49" s="85">
        <v>14.9884</v>
      </c>
      <c r="AH49" s="127">
        <v>24.0046</v>
      </c>
      <c r="AI49" s="127">
        <v>23.990200000000002</v>
      </c>
      <c r="AJ49" s="127">
        <v>23.984400000000001</v>
      </c>
      <c r="AK49" s="127">
        <v>14.9884</v>
      </c>
      <c r="AL49" s="127">
        <v>15.0116</v>
      </c>
      <c r="AM49" s="127"/>
      <c r="AN49" s="127"/>
      <c r="AO49" s="85"/>
      <c r="AP49" s="85"/>
      <c r="AQ49" s="85"/>
      <c r="AR49" s="85"/>
      <c r="AS49" s="85"/>
    </row>
    <row r="50" spans="1:47" s="86" customFormat="1">
      <c r="A50" s="83"/>
      <c r="B50" s="84"/>
      <c r="C50" s="83" t="s">
        <v>61</v>
      </c>
      <c r="D50" s="84" t="s">
        <v>487</v>
      </c>
      <c r="E50" s="85" cm="1">
        <f t="array" ref="E50:AL50">TRANSPOSE(_xlfn._xlws.FILTER('Raw Data'!E3:E305,('Raw Data'!C3:C305=1)*('Raw Data'!E3:E305&lt;&gt;"")))</f>
        <v>190</v>
      </c>
      <c r="F50" s="85">
        <v>190</v>
      </c>
      <c r="G50" s="85">
        <v>190</v>
      </c>
      <c r="H50" s="85">
        <v>190</v>
      </c>
      <c r="I50" s="85">
        <v>190</v>
      </c>
      <c r="J50" s="85">
        <v>190</v>
      </c>
      <c r="K50" s="85">
        <v>200</v>
      </c>
      <c r="L50" s="85">
        <v>200</v>
      </c>
      <c r="M50" s="85">
        <v>200</v>
      </c>
      <c r="N50" s="85">
        <v>200</v>
      </c>
      <c r="O50" s="85">
        <v>210</v>
      </c>
      <c r="P50" s="85">
        <v>210</v>
      </c>
      <c r="Q50" s="85">
        <v>210</v>
      </c>
      <c r="R50" s="85">
        <v>210</v>
      </c>
      <c r="S50" s="85">
        <v>209.9</v>
      </c>
      <c r="T50" s="85">
        <v>209.9</v>
      </c>
      <c r="U50" s="85">
        <v>220</v>
      </c>
      <c r="V50" s="85">
        <v>220</v>
      </c>
      <c r="W50" s="85">
        <v>220</v>
      </c>
      <c r="X50" s="85">
        <v>233.8</v>
      </c>
      <c r="Y50" s="85">
        <v>230</v>
      </c>
      <c r="Z50" s="85">
        <v>230</v>
      </c>
      <c r="AA50" s="85">
        <v>230</v>
      </c>
      <c r="AB50" s="85">
        <v>230</v>
      </c>
      <c r="AC50" s="85">
        <v>230</v>
      </c>
      <c r="AD50" s="85">
        <v>230</v>
      </c>
      <c r="AE50" s="85">
        <v>229.9</v>
      </c>
      <c r="AF50" s="85">
        <v>230</v>
      </c>
      <c r="AG50" s="85">
        <v>230</v>
      </c>
      <c r="AH50" s="127">
        <v>154.6</v>
      </c>
      <c r="AI50" s="127">
        <v>160.9</v>
      </c>
      <c r="AJ50" s="89">
        <v>161.69999999999999</v>
      </c>
      <c r="AK50" s="127">
        <v>161.80000000000001</v>
      </c>
      <c r="AL50" s="127">
        <v>161.69999999999999</v>
      </c>
      <c r="AM50" s="127"/>
      <c r="AN50" s="127"/>
      <c r="AO50" s="85"/>
      <c r="AP50" s="57">
        <f>AVERAGE(E50:J50)</f>
        <v>190</v>
      </c>
      <c r="AQ50" s="57">
        <f>AVERAGE(K50:N50)</f>
        <v>200</v>
      </c>
      <c r="AR50" s="57">
        <f>AVERAGE(O50:T50)</f>
        <v>209.9666666666667</v>
      </c>
      <c r="AS50" s="57">
        <f>AVERAGE(U50:W50)</f>
        <v>220</v>
      </c>
      <c r="AT50" s="55">
        <f>AVERAGE(X50:Z50)</f>
        <v>231.26666666666665</v>
      </c>
      <c r="AU50" s="55">
        <f>AVERAGE(AA50:AG50)</f>
        <v>229.98571428571429</v>
      </c>
    </row>
    <row r="51" spans="1:47">
      <c r="C51" s="61" t="s">
        <v>31</v>
      </c>
      <c r="D51" s="31" t="s">
        <v>125</v>
      </c>
      <c r="E51" s="57">
        <f>(E64/$E$28)</f>
        <v>2.4202671471790169</v>
      </c>
      <c r="F51" s="57">
        <f t="shared" ref="F51:AL51" si="3">(F64/$E$28)</f>
        <v>2.3203676831526452</v>
      </c>
      <c r="G51" s="57">
        <f t="shared" si="3"/>
        <v>2.2821320973641552</v>
      </c>
      <c r="H51" s="57">
        <f t="shared" si="3"/>
        <v>2.349213637522126</v>
      </c>
      <c r="I51" s="57">
        <f t="shared" si="3"/>
        <v>2.2650399357179754</v>
      </c>
      <c r="J51" s="57">
        <f t="shared" si="3"/>
        <v>2.3133699066436395</v>
      </c>
      <c r="K51" s="57">
        <f t="shared" si="3"/>
        <v>2.3541927384742136</v>
      </c>
      <c r="L51" s="57">
        <f t="shared" si="3"/>
        <v>2.3849899576599864</v>
      </c>
      <c r="M51" s="57">
        <f t="shared" si="3"/>
        <v>2.3459308504985286</v>
      </c>
      <c r="N51" s="57">
        <f t="shared" si="3"/>
        <v>2.3162598016834499</v>
      </c>
      <c r="O51" s="57">
        <f t="shared" si="3"/>
        <v>2.3677897262739624</v>
      </c>
      <c r="P51" s="57">
        <f t="shared" si="3"/>
        <v>2.344263015183111</v>
      </c>
      <c r="Q51" s="57">
        <f t="shared" si="3"/>
        <v>2.3028900057375452</v>
      </c>
      <c r="R51" s="57">
        <f t="shared" si="3"/>
        <v>2.39134251088936</v>
      </c>
      <c r="S51" s="57">
        <f t="shared" si="3"/>
        <v>2.3739779411883464</v>
      </c>
      <c r="T51" s="57">
        <f t="shared" si="3"/>
        <v>2.3516890682374831</v>
      </c>
      <c r="U51" s="57">
        <f t="shared" si="3"/>
        <v>2.3852445218285863</v>
      </c>
      <c r="V51" s="57">
        <f t="shared" si="3"/>
        <v>2.3680701214881559</v>
      </c>
      <c r="W51" s="57">
        <f t="shared" si="3"/>
        <v>2.342910748167863</v>
      </c>
      <c r="X51" s="57">
        <f t="shared" si="3"/>
        <v>2.3865703936424634</v>
      </c>
      <c r="Y51" s="57">
        <f t="shared" si="3"/>
        <v>2.3449549186082552</v>
      </c>
      <c r="Z51" s="57">
        <f t="shared" si="3"/>
        <v>2.3217764309053508</v>
      </c>
      <c r="AA51" s="57">
        <f t="shared" si="3"/>
        <v>2.3709330393850712</v>
      </c>
      <c r="AB51" s="57">
        <f t="shared" si="3"/>
        <v>2.371114818788306</v>
      </c>
      <c r="AC51" s="57">
        <f t="shared" si="3"/>
        <v>2.3474579944649121</v>
      </c>
      <c r="AD51" s="57">
        <f t="shared" si="3"/>
        <v>2.3695811670791054</v>
      </c>
      <c r="AE51" s="57">
        <f t="shared" si="3"/>
        <v>2.3877009380381367</v>
      </c>
      <c r="AF51" s="57">
        <f t="shared" si="3"/>
        <v>2.3481146511991775</v>
      </c>
      <c r="AG51" s="57">
        <f t="shared" si="3"/>
        <v>2.3848516344375645</v>
      </c>
      <c r="AH51" s="125">
        <f t="shared" si="3"/>
        <v>2.4969219705805412</v>
      </c>
      <c r="AI51" s="125">
        <f t="shared" si="3"/>
        <v>2.3846270208898357</v>
      </c>
      <c r="AJ51" s="125">
        <f t="shared" si="3"/>
        <v>2.4655412659118165</v>
      </c>
      <c r="AK51" s="125">
        <f t="shared" si="3"/>
        <v>2.433776910915924</v>
      </c>
      <c r="AL51" s="125">
        <f t="shared" si="3"/>
        <v>2.4342245964651981</v>
      </c>
      <c r="AM51" s="125"/>
      <c r="AN51" s="125"/>
      <c r="AP51" s="57">
        <f t="shared" ref="AP51:AP65" si="4">AVERAGE(E51:J51)</f>
        <v>2.3250650679299265</v>
      </c>
      <c r="AQ51" s="57">
        <f t="shared" ref="AQ51:AQ65" si="5">AVERAGE(K51:N51)</f>
        <v>2.3503433370790447</v>
      </c>
      <c r="AR51" s="57">
        <f t="shared" ref="AR51:AR65" si="6">AVERAGE(O51:T51)</f>
        <v>2.3553253779183017</v>
      </c>
      <c r="AS51" s="57">
        <f t="shared" ref="AS51:AS65" si="7">AVERAGE(U51:W51)</f>
        <v>2.3654084638282016</v>
      </c>
      <c r="AT51" s="55">
        <f t="shared" ref="AT51:AT65" si="8">AVERAGE(X51:Z51)</f>
        <v>2.3511005810520231</v>
      </c>
      <c r="AU51" s="55">
        <f t="shared" ref="AU51:AU65" si="9">AVERAGE(AA51:AG51)</f>
        <v>2.3685363204846106</v>
      </c>
    </row>
    <row r="52" spans="1:47">
      <c r="C52" s="61" t="s">
        <v>126</v>
      </c>
      <c r="D52" s="31" t="s">
        <v>488</v>
      </c>
      <c r="E52" s="57">
        <f>($E$38/2)/(E64/$E$4)</f>
        <v>1.3597443050083533</v>
      </c>
      <c r="F52" s="57">
        <f t="shared" ref="F52:AL52" si="10">($E$38/2)/(F64/$E$4)</f>
        <v>1.4182857716343176</v>
      </c>
      <c r="G52" s="57">
        <f t="shared" si="10"/>
        <v>1.4420481942200005</v>
      </c>
      <c r="H52" s="57">
        <f t="shared" si="10"/>
        <v>1.4008706647245006</v>
      </c>
      <c r="I52" s="57">
        <f t="shared" si="10"/>
        <v>1.4529299983103012</v>
      </c>
      <c r="J52" s="57">
        <f t="shared" si="10"/>
        <v>1.4225759834276397</v>
      </c>
      <c r="K52" s="57">
        <f t="shared" si="10"/>
        <v>1.3979078331999237</v>
      </c>
      <c r="L52" s="57">
        <f t="shared" si="10"/>
        <v>1.3798567408662659</v>
      </c>
      <c r="M52" s="57">
        <f t="shared" si="10"/>
        <v>1.4028309782771862</v>
      </c>
      <c r="N52" s="57">
        <f t="shared" si="10"/>
        <v>1.4208010982117096</v>
      </c>
      <c r="O52" s="57">
        <f t="shared" si="10"/>
        <v>1.3898803738599834</v>
      </c>
      <c r="P52" s="57">
        <f t="shared" si="10"/>
        <v>1.4038290279977081</v>
      </c>
      <c r="Q52" s="57">
        <f t="shared" si="10"/>
        <v>1.4290497860411244</v>
      </c>
      <c r="R52" s="57">
        <f t="shared" si="10"/>
        <v>1.376191179218218</v>
      </c>
      <c r="S52" s="57">
        <f t="shared" si="10"/>
        <v>1.3862573922351313</v>
      </c>
      <c r="T52" s="57">
        <f t="shared" si="10"/>
        <v>1.3993960827661378</v>
      </c>
      <c r="U52" s="57">
        <f t="shared" si="10"/>
        <v>1.3797094762647499</v>
      </c>
      <c r="V52" s="57">
        <f t="shared" si="10"/>
        <v>1.3897158028020595</v>
      </c>
      <c r="W52" s="57">
        <f t="shared" si="10"/>
        <v>1.4046392815214896</v>
      </c>
      <c r="X52" s="57">
        <f t="shared" si="10"/>
        <v>1.3789429713626562</v>
      </c>
      <c r="Y52" s="57">
        <f t="shared" si="10"/>
        <v>1.4034148135899678</v>
      </c>
      <c r="Z52" s="57">
        <f t="shared" si="10"/>
        <v>1.4174252206928535</v>
      </c>
      <c r="AA52" s="57">
        <f t="shared" si="10"/>
        <v>1.3880377114441946</v>
      </c>
      <c r="AB52" s="57">
        <f t="shared" si="10"/>
        <v>1.3879312987707744</v>
      </c>
      <c r="AC52" s="57">
        <f t="shared" si="10"/>
        <v>1.4019183634958428</v>
      </c>
      <c r="AD52" s="57">
        <f t="shared" si="10"/>
        <v>1.3888296023352127</v>
      </c>
      <c r="AE52" s="57">
        <f t="shared" si="10"/>
        <v>1.3782900603454549</v>
      </c>
      <c r="AF52" s="57">
        <f t="shared" si="10"/>
        <v>1.401526313161414</v>
      </c>
      <c r="AG52" s="57">
        <f t="shared" si="10"/>
        <v>1.3799367736146857</v>
      </c>
      <c r="AH52" s="125">
        <f t="shared" si="10"/>
        <v>1.3180005257474383</v>
      </c>
      <c r="AI52" s="125">
        <f t="shared" si="10"/>
        <v>1.380066753058703</v>
      </c>
      <c r="AJ52" s="125">
        <f t="shared" si="10"/>
        <v>1.3347756598015863</v>
      </c>
      <c r="AK52" s="125">
        <f t="shared" si="10"/>
        <v>1.3521964380609455</v>
      </c>
      <c r="AL52" s="125">
        <f t="shared" si="10"/>
        <v>1.3519477515568408</v>
      </c>
      <c r="AM52" s="125"/>
      <c r="AN52" s="125"/>
      <c r="AP52" s="57">
        <f t="shared" si="4"/>
        <v>1.4160758195541856</v>
      </c>
      <c r="AQ52" s="57">
        <f t="shared" si="5"/>
        <v>1.4003491626387714</v>
      </c>
      <c r="AR52" s="57">
        <f t="shared" si="6"/>
        <v>1.3974339736863837</v>
      </c>
      <c r="AS52" s="57">
        <f t="shared" si="7"/>
        <v>1.3913548535294329</v>
      </c>
      <c r="AT52" s="55">
        <f t="shared" si="8"/>
        <v>1.3999276685484923</v>
      </c>
      <c r="AU52" s="55">
        <f t="shared" si="9"/>
        <v>1.3894957318810826</v>
      </c>
    </row>
    <row r="53" spans="1:47">
      <c r="A53" s="343" t="s">
        <v>220</v>
      </c>
      <c r="B53" s="343"/>
      <c r="C53" s="343"/>
      <c r="D53" s="31" t="s">
        <v>137</v>
      </c>
      <c r="E53" s="31">
        <v>2.6</v>
      </c>
      <c r="F53" s="31">
        <v>2.6</v>
      </c>
      <c r="G53" s="31">
        <v>2.6</v>
      </c>
      <c r="H53" s="31">
        <v>2.6</v>
      </c>
      <c r="I53" s="31">
        <v>2.6</v>
      </c>
      <c r="J53" s="31">
        <v>2.6</v>
      </c>
      <c r="K53" s="31">
        <v>2.6</v>
      </c>
      <c r="L53" s="31">
        <v>2.6</v>
      </c>
      <c r="M53" s="31">
        <v>2.6</v>
      </c>
      <c r="N53" s="31">
        <v>2.6</v>
      </c>
      <c r="O53" s="31">
        <v>2.6</v>
      </c>
      <c r="P53" s="31">
        <v>2.6</v>
      </c>
      <c r="Q53" s="31">
        <v>2.6</v>
      </c>
      <c r="R53" s="31">
        <v>2.6</v>
      </c>
      <c r="S53" s="31">
        <v>2.6</v>
      </c>
      <c r="T53" s="31">
        <v>2.6</v>
      </c>
      <c r="U53" s="31">
        <v>2.6</v>
      </c>
      <c r="V53" s="31">
        <v>2.6</v>
      </c>
      <c r="W53" s="31">
        <v>2.6</v>
      </c>
      <c r="X53" s="31">
        <v>2.6</v>
      </c>
      <c r="Y53" s="31">
        <v>2.6</v>
      </c>
      <c r="Z53" s="31">
        <v>2.6</v>
      </c>
      <c r="AA53" s="31">
        <v>2.6</v>
      </c>
      <c r="AB53" s="31">
        <v>2.6</v>
      </c>
      <c r="AC53" s="31">
        <v>2.6</v>
      </c>
      <c r="AD53" s="31">
        <v>2.6</v>
      </c>
      <c r="AE53" s="31">
        <v>2.6</v>
      </c>
      <c r="AF53" s="31">
        <v>2.6</v>
      </c>
      <c r="AG53" s="31">
        <v>2.6</v>
      </c>
      <c r="AH53" s="67">
        <v>2.605</v>
      </c>
      <c r="AI53" s="67">
        <v>2.605</v>
      </c>
      <c r="AJ53" s="67">
        <v>2.605</v>
      </c>
      <c r="AK53" s="67">
        <v>2.605</v>
      </c>
      <c r="AL53" s="67">
        <v>2.605</v>
      </c>
      <c r="AM53" s="67"/>
      <c r="AN53" s="67"/>
      <c r="AP53" s="57">
        <f t="shared" si="4"/>
        <v>2.6</v>
      </c>
      <c r="AQ53" s="57">
        <f t="shared" si="5"/>
        <v>2.6</v>
      </c>
      <c r="AR53" s="57">
        <f t="shared" si="6"/>
        <v>2.6</v>
      </c>
      <c r="AS53" s="57">
        <f t="shared" si="7"/>
        <v>2.6</v>
      </c>
      <c r="AT53" s="55">
        <f t="shared" si="8"/>
        <v>2.6</v>
      </c>
      <c r="AU53" s="55">
        <f t="shared" si="9"/>
        <v>2.6</v>
      </c>
    </row>
    <row r="54" spans="1:47" s="55" customFormat="1">
      <c r="A54" s="340" t="s">
        <v>470</v>
      </c>
      <c r="B54" s="340"/>
      <c r="C54" s="340"/>
      <c r="D54" s="57" t="s">
        <v>471</v>
      </c>
      <c r="E54" s="57" cm="1">
        <f t="array" ref="E54:AL54">TRANSPOSE(_xlfn._xlws.FILTER('Raw Data'!AI3:AI309,('Raw Data'!C3:C309=1)*('Raw Data'!AI3:AI309&lt;&gt;"")))</f>
        <v>23.581826</v>
      </c>
      <c r="F54" s="57">
        <v>24.104657</v>
      </c>
      <c r="G54" s="57">
        <v>24.425367000000001</v>
      </c>
      <c r="H54" s="57">
        <v>24.693266999999999</v>
      </c>
      <c r="I54" s="57">
        <v>24.365065999999999</v>
      </c>
      <c r="J54" s="57">
        <v>24.286113</v>
      </c>
      <c r="K54" s="57">
        <v>24.559360000000002</v>
      </c>
      <c r="L54" s="57">
        <v>24.514545999999999</v>
      </c>
      <c r="M54" s="57">
        <v>23.860278999999998</v>
      </c>
      <c r="N54" s="57">
        <v>24.429818999999998</v>
      </c>
      <c r="O54" s="57">
        <v>24.346962999999999</v>
      </c>
      <c r="P54" s="57">
        <v>24.011344000000001</v>
      </c>
      <c r="Q54" s="57">
        <v>24.135493</v>
      </c>
      <c r="R54" s="57">
        <v>23.649645</v>
      </c>
      <c r="S54" s="57">
        <v>23.909500000000001</v>
      </c>
      <c r="T54" s="57">
        <v>24.123018999999999</v>
      </c>
      <c r="U54" s="57">
        <v>23.416927999999999</v>
      </c>
      <c r="V54" s="57">
        <v>23.804203000000001</v>
      </c>
      <c r="W54" s="57">
        <v>23.589148999999999</v>
      </c>
      <c r="X54" s="57">
        <v>23.195065</v>
      </c>
      <c r="Y54" s="57">
        <v>23.216075</v>
      </c>
      <c r="Z54" s="57">
        <v>23.310669000000001</v>
      </c>
      <c r="AA54" s="57">
        <v>22.920490999999998</v>
      </c>
      <c r="AB54" s="57">
        <v>22.62379</v>
      </c>
      <c r="AC54" s="57">
        <v>22.189207</v>
      </c>
      <c r="AD54" s="57">
        <v>23.108547999999999</v>
      </c>
      <c r="AE54" s="57">
        <v>23.073155</v>
      </c>
      <c r="AF54" s="57">
        <v>22.439675999999999</v>
      </c>
      <c r="AG54" s="57">
        <v>22.569676000000001</v>
      </c>
      <c r="AH54" s="125">
        <v>23.749099999999999</v>
      </c>
      <c r="AI54" s="125">
        <v>24.328447000000001</v>
      </c>
      <c r="AJ54" s="125">
        <v>24.307794999999999</v>
      </c>
      <c r="AK54" s="125">
        <v>23.287500999999999</v>
      </c>
      <c r="AL54" s="125">
        <v>24.164885000000002</v>
      </c>
      <c r="AM54" s="125"/>
      <c r="AN54" s="125"/>
      <c r="AO54" s="57"/>
      <c r="AP54" s="57">
        <f t="shared" si="4"/>
        <v>24.242716000000001</v>
      </c>
      <c r="AQ54" s="57">
        <f t="shared" si="5"/>
        <v>24.341000999999999</v>
      </c>
      <c r="AR54" s="57">
        <f t="shared" si="6"/>
        <v>24.029327333333331</v>
      </c>
      <c r="AS54" s="57">
        <f t="shared" si="7"/>
        <v>23.603426666666667</v>
      </c>
      <c r="AT54" s="55">
        <f t="shared" si="8"/>
        <v>23.240603000000004</v>
      </c>
      <c r="AU54" s="55">
        <f t="shared" si="9"/>
        <v>22.70350614285714</v>
      </c>
    </row>
    <row r="55" spans="1:47" s="9" customFormat="1">
      <c r="A55" s="344" t="s">
        <v>473</v>
      </c>
      <c r="B55" s="344"/>
      <c r="C55" s="344"/>
      <c r="D55" s="34" t="s">
        <v>471</v>
      </c>
      <c r="E55" s="57" cm="1">
        <f t="array" ref="E55:AL55">TRANSPOSE(_xlfn._xlws.FILTER('Raw Data'!AJ3:AJ310,('Raw Data'!C3:C310=1)*('Raw Data'!AJ3:AJ310&lt;&gt;"")))</f>
        <v>58.624301000000003</v>
      </c>
      <c r="F55" s="34">
        <v>58.758333</v>
      </c>
      <c r="G55" s="34">
        <v>58.728386</v>
      </c>
      <c r="H55" s="34">
        <v>58.199308000000002</v>
      </c>
      <c r="I55" s="34">
        <v>58.933911999999999</v>
      </c>
      <c r="J55" s="34">
        <v>58.718091000000001</v>
      </c>
      <c r="K55" s="34">
        <v>58.255676999999999</v>
      </c>
      <c r="L55" s="34">
        <v>58.117285000000003</v>
      </c>
      <c r="M55" s="34">
        <v>58.838830000000002</v>
      </c>
      <c r="N55" s="34">
        <v>58.563668999999997</v>
      </c>
      <c r="O55" s="34">
        <v>58.223308000000003</v>
      </c>
      <c r="P55" s="34">
        <v>58.606026999999997</v>
      </c>
      <c r="Q55" s="34">
        <v>58.735424999999999</v>
      </c>
      <c r="R55" s="34">
        <v>58.601180999999997</v>
      </c>
      <c r="S55" s="34">
        <v>58.497075000000002</v>
      </c>
      <c r="T55" s="34">
        <v>58.451644000000002</v>
      </c>
      <c r="U55" s="34">
        <v>58.490375999999998</v>
      </c>
      <c r="V55" s="34">
        <v>58.292292000000003</v>
      </c>
      <c r="W55" s="34">
        <v>58.599618999999997</v>
      </c>
      <c r="X55" s="34">
        <v>58.290047999999999</v>
      </c>
      <c r="Y55" s="34">
        <v>58.427683000000002</v>
      </c>
      <c r="Z55" s="34">
        <v>58.477029999999999</v>
      </c>
      <c r="AA55" s="34">
        <v>58.207368000000002</v>
      </c>
      <c r="AB55" s="34">
        <v>58.432324000000001</v>
      </c>
      <c r="AC55" s="34">
        <v>58.875556000000003</v>
      </c>
      <c r="AD55" s="34">
        <v>58.065655</v>
      </c>
      <c r="AE55" s="34">
        <v>57.971386000000003</v>
      </c>
      <c r="AF55" s="34">
        <v>58.660356</v>
      </c>
      <c r="AG55" s="34">
        <v>58.351961000000003</v>
      </c>
      <c r="AH55" s="128">
        <v>58.126559999999998</v>
      </c>
      <c r="AI55" s="128">
        <v>58.306013999999998</v>
      </c>
      <c r="AJ55" s="128">
        <v>57.864677999999998</v>
      </c>
      <c r="AK55" s="128">
        <v>58.825184</v>
      </c>
      <c r="AL55" s="128">
        <v>58.151876000000001</v>
      </c>
      <c r="AM55" s="128"/>
      <c r="AN55" s="128"/>
      <c r="AO55" s="34"/>
      <c r="AP55" s="57">
        <f t="shared" si="4"/>
        <v>58.660388500000003</v>
      </c>
      <c r="AQ55" s="57">
        <f t="shared" si="5"/>
        <v>58.443865250000002</v>
      </c>
      <c r="AR55" s="57">
        <f t="shared" si="6"/>
        <v>58.519110000000005</v>
      </c>
      <c r="AS55" s="57">
        <f t="shared" si="7"/>
        <v>58.460762333333328</v>
      </c>
      <c r="AT55" s="55">
        <f t="shared" si="8"/>
        <v>58.398253666666669</v>
      </c>
      <c r="AU55" s="55">
        <f t="shared" si="9"/>
        <v>58.366372285714284</v>
      </c>
    </row>
    <row r="56" spans="1:47">
      <c r="A56" s="343" t="s">
        <v>474</v>
      </c>
      <c r="B56" s="343"/>
      <c r="C56" s="343"/>
      <c r="D56" s="31" t="s">
        <v>471</v>
      </c>
      <c r="E56" s="34">
        <f>100-E55-E54</f>
        <v>17.793872999999998</v>
      </c>
      <c r="F56" s="34">
        <f t="shared" ref="F56:AL56" si="11">100-F55-F54</f>
        <v>17.13701</v>
      </c>
      <c r="G56" s="34">
        <f t="shared" si="11"/>
        <v>16.846246999999998</v>
      </c>
      <c r="H56" s="34">
        <f t="shared" si="11"/>
        <v>17.107424999999999</v>
      </c>
      <c r="I56" s="34">
        <f t="shared" si="11"/>
        <v>16.701022000000002</v>
      </c>
      <c r="J56" s="34">
        <f t="shared" si="11"/>
        <v>16.995795999999999</v>
      </c>
      <c r="K56" s="34">
        <f t="shared" si="11"/>
        <v>17.184963</v>
      </c>
      <c r="L56" s="34">
        <f t="shared" si="11"/>
        <v>17.368168999999998</v>
      </c>
      <c r="M56" s="34">
        <f t="shared" si="11"/>
        <v>17.300891</v>
      </c>
      <c r="N56" s="34">
        <f t="shared" si="11"/>
        <v>17.006512000000004</v>
      </c>
      <c r="O56" s="34">
        <f t="shared" si="11"/>
        <v>17.429728999999998</v>
      </c>
      <c r="P56" s="34">
        <f t="shared" si="11"/>
        <v>17.382629000000001</v>
      </c>
      <c r="Q56" s="34">
        <f t="shared" si="11"/>
        <v>17.129082</v>
      </c>
      <c r="R56" s="34">
        <f t="shared" si="11"/>
        <v>17.749174000000004</v>
      </c>
      <c r="S56" s="34">
        <f t="shared" si="11"/>
        <v>17.593424999999996</v>
      </c>
      <c r="T56" s="34">
        <f t="shared" si="11"/>
        <v>17.425336999999999</v>
      </c>
      <c r="U56" s="34">
        <f t="shared" si="11"/>
        <v>18.092696000000004</v>
      </c>
      <c r="V56" s="34">
        <f t="shared" si="11"/>
        <v>17.903504999999996</v>
      </c>
      <c r="W56" s="34">
        <f t="shared" si="11"/>
        <v>17.811232000000004</v>
      </c>
      <c r="X56" s="34">
        <f t="shared" si="11"/>
        <v>18.514887000000002</v>
      </c>
      <c r="Y56" s="34">
        <f t="shared" si="11"/>
        <v>18.356241999999998</v>
      </c>
      <c r="Z56" s="34">
        <f t="shared" si="11"/>
        <v>18.212301</v>
      </c>
      <c r="AA56" s="34">
        <f t="shared" si="11"/>
        <v>18.872140999999999</v>
      </c>
      <c r="AB56" s="34">
        <f t="shared" si="11"/>
        <v>18.943885999999999</v>
      </c>
      <c r="AC56" s="34">
        <f t="shared" si="11"/>
        <v>18.935236999999997</v>
      </c>
      <c r="AD56" s="34">
        <f t="shared" si="11"/>
        <v>18.825797000000001</v>
      </c>
      <c r="AE56" s="34">
        <f t="shared" si="11"/>
        <v>18.955458999999998</v>
      </c>
      <c r="AF56" s="34">
        <f t="shared" si="11"/>
        <v>18.899968000000001</v>
      </c>
      <c r="AG56" s="34">
        <f t="shared" si="11"/>
        <v>19.078362999999996</v>
      </c>
      <c r="AH56" s="128">
        <f t="shared" si="11"/>
        <v>18.124340000000004</v>
      </c>
      <c r="AI56" s="128">
        <f t="shared" si="11"/>
        <v>17.365539000000002</v>
      </c>
      <c r="AJ56" s="128">
        <f t="shared" si="11"/>
        <v>17.827527000000003</v>
      </c>
      <c r="AK56" s="128">
        <f t="shared" si="11"/>
        <v>17.887315000000001</v>
      </c>
      <c r="AL56" s="128">
        <f t="shared" si="11"/>
        <v>17.683238999999997</v>
      </c>
      <c r="AM56" s="128"/>
      <c r="AN56" s="128"/>
      <c r="AP56" s="57">
        <f t="shared" si="4"/>
        <v>17.096895499999999</v>
      </c>
      <c r="AQ56" s="57">
        <f t="shared" si="5"/>
        <v>17.21513375</v>
      </c>
      <c r="AR56" s="57">
        <f t="shared" si="6"/>
        <v>17.451562666666668</v>
      </c>
      <c r="AS56" s="57">
        <f t="shared" si="7"/>
        <v>17.935811000000001</v>
      </c>
      <c r="AT56" s="55">
        <f t="shared" si="8"/>
        <v>18.361143333333331</v>
      </c>
      <c r="AU56" s="55">
        <f t="shared" si="9"/>
        <v>18.930121571428568</v>
      </c>
    </row>
    <row r="57" spans="1:47">
      <c r="A57" s="343" t="s">
        <v>475</v>
      </c>
      <c r="B57" s="343"/>
      <c r="C57" s="343"/>
      <c r="D57" s="31" t="s">
        <v>471</v>
      </c>
      <c r="E57" s="31">
        <f>SUM(E54:E56)</f>
        <v>100</v>
      </c>
      <c r="F57" s="31">
        <f t="shared" ref="F57:AL57" si="12">SUM(F54:F56)</f>
        <v>100</v>
      </c>
      <c r="G57" s="31">
        <f t="shared" si="12"/>
        <v>100</v>
      </c>
      <c r="H57" s="31">
        <f t="shared" si="12"/>
        <v>100</v>
      </c>
      <c r="I57" s="31">
        <f t="shared" si="12"/>
        <v>100</v>
      </c>
      <c r="J57" s="31">
        <f t="shared" si="12"/>
        <v>100</v>
      </c>
      <c r="K57" s="31">
        <f t="shared" si="12"/>
        <v>100</v>
      </c>
      <c r="L57" s="31">
        <f t="shared" si="12"/>
        <v>100</v>
      </c>
      <c r="M57" s="31">
        <f t="shared" si="12"/>
        <v>100</v>
      </c>
      <c r="N57" s="31">
        <f t="shared" si="12"/>
        <v>100</v>
      </c>
      <c r="O57" s="31">
        <f t="shared" si="12"/>
        <v>100</v>
      </c>
      <c r="P57" s="31">
        <f t="shared" si="12"/>
        <v>100</v>
      </c>
      <c r="Q57" s="31">
        <f t="shared" si="12"/>
        <v>100</v>
      </c>
      <c r="R57" s="31">
        <f t="shared" si="12"/>
        <v>100</v>
      </c>
      <c r="S57" s="31">
        <f t="shared" si="12"/>
        <v>100</v>
      </c>
      <c r="T57" s="31">
        <f t="shared" si="12"/>
        <v>100</v>
      </c>
      <c r="U57" s="31">
        <f t="shared" si="12"/>
        <v>100</v>
      </c>
      <c r="V57" s="31">
        <f t="shared" si="12"/>
        <v>100</v>
      </c>
      <c r="W57" s="31">
        <f t="shared" si="12"/>
        <v>100</v>
      </c>
      <c r="X57" s="31">
        <f t="shared" si="12"/>
        <v>100</v>
      </c>
      <c r="Y57" s="31">
        <f t="shared" si="12"/>
        <v>100</v>
      </c>
      <c r="Z57" s="31">
        <f t="shared" si="12"/>
        <v>100</v>
      </c>
      <c r="AA57" s="31">
        <f t="shared" si="12"/>
        <v>100</v>
      </c>
      <c r="AB57" s="31">
        <f t="shared" si="12"/>
        <v>100</v>
      </c>
      <c r="AC57" s="31">
        <f t="shared" si="12"/>
        <v>100</v>
      </c>
      <c r="AD57" s="31">
        <f t="shared" si="12"/>
        <v>100</v>
      </c>
      <c r="AE57" s="31">
        <f t="shared" si="12"/>
        <v>100</v>
      </c>
      <c r="AF57" s="31">
        <f t="shared" si="12"/>
        <v>100</v>
      </c>
      <c r="AG57" s="31">
        <f t="shared" si="12"/>
        <v>100</v>
      </c>
      <c r="AH57" s="67">
        <f t="shared" si="12"/>
        <v>100</v>
      </c>
      <c r="AI57" s="67">
        <f t="shared" si="12"/>
        <v>100</v>
      </c>
      <c r="AJ57" s="67">
        <f t="shared" si="12"/>
        <v>100</v>
      </c>
      <c r="AK57" s="67">
        <f t="shared" si="12"/>
        <v>100</v>
      </c>
      <c r="AL57" s="67">
        <f t="shared" si="12"/>
        <v>100</v>
      </c>
      <c r="AM57" s="67"/>
      <c r="AN57" s="67"/>
      <c r="AP57" s="57">
        <f t="shared" si="4"/>
        <v>100</v>
      </c>
      <c r="AQ57" s="57">
        <f t="shared" si="5"/>
        <v>100</v>
      </c>
      <c r="AR57" s="57">
        <f t="shared" si="6"/>
        <v>100</v>
      </c>
      <c r="AS57" s="57">
        <f t="shared" si="7"/>
        <v>100</v>
      </c>
      <c r="AT57" s="55">
        <f t="shared" si="8"/>
        <v>100</v>
      </c>
      <c r="AU57" s="55">
        <f t="shared" si="9"/>
        <v>100</v>
      </c>
    </row>
    <row r="58" spans="1:47" s="34" customFormat="1">
      <c r="A58" s="344" t="s">
        <v>476</v>
      </c>
      <c r="B58" s="344"/>
      <c r="C58" s="344"/>
      <c r="D58" s="75" t="s">
        <v>112</v>
      </c>
      <c r="E58" s="57" cm="1">
        <f t="array" ref="E58:AL58">TRANSPOSE(_xlfn._xlws.FILTER('Raw Data'!AL3:AL313,('Raw Data'!C3:C313=1)*('Raw Data'!AL3:AL313&lt;&gt;"")))</f>
        <v>88.415359496999997</v>
      </c>
      <c r="F58" s="34">
        <v>88.218704224000007</v>
      </c>
      <c r="G58" s="34">
        <v>88.217498778999996</v>
      </c>
      <c r="H58" s="34">
        <v>88.608261107999994</v>
      </c>
      <c r="I58" s="34">
        <v>88.616645813000005</v>
      </c>
      <c r="J58" s="34">
        <v>88.612365722999996</v>
      </c>
      <c r="K58" s="34">
        <v>88.49156189</v>
      </c>
      <c r="L58" s="34">
        <v>88.492820739999999</v>
      </c>
      <c r="M58" s="34">
        <v>88.467674255000006</v>
      </c>
      <c r="N58" s="34">
        <v>88.445663452000005</v>
      </c>
      <c r="O58" s="34">
        <v>87.728034973000007</v>
      </c>
      <c r="P58" s="34">
        <v>87.665542602000002</v>
      </c>
      <c r="Q58" s="34">
        <v>87.588050842000001</v>
      </c>
      <c r="R58" s="34">
        <v>87.575050353999998</v>
      </c>
      <c r="S58" s="34">
        <v>87.552452087000006</v>
      </c>
      <c r="T58" s="34">
        <v>87.500251770000006</v>
      </c>
      <c r="U58" s="34">
        <v>85.577209472999996</v>
      </c>
      <c r="V58" s="34">
        <v>85.568107604999994</v>
      </c>
      <c r="W58" s="34">
        <v>85.546730041000004</v>
      </c>
      <c r="X58" s="34">
        <v>83.438674926999994</v>
      </c>
      <c r="Y58" s="34">
        <v>82.897010803000001</v>
      </c>
      <c r="Z58" s="34">
        <v>82.798515320000007</v>
      </c>
      <c r="AA58" s="34">
        <v>81.256736755000006</v>
      </c>
      <c r="AB58" s="34">
        <v>81.267883300999998</v>
      </c>
      <c r="AC58" s="34">
        <v>81.108383179</v>
      </c>
      <c r="AD58" s="34">
        <v>81.213287352999998</v>
      </c>
      <c r="AE58" s="34">
        <v>81.144302367999998</v>
      </c>
      <c r="AF58" s="34">
        <v>80.988433838000006</v>
      </c>
      <c r="AG58" s="34">
        <v>81.056297302000004</v>
      </c>
      <c r="AH58" s="128">
        <v>88.603958129999995</v>
      </c>
      <c r="AI58" s="128">
        <v>88.597640991000006</v>
      </c>
      <c r="AJ58" s="128">
        <v>88.555633545000006</v>
      </c>
      <c r="AK58" s="128">
        <v>88.561943053999997</v>
      </c>
      <c r="AL58" s="128">
        <v>88.574462890999996</v>
      </c>
      <c r="AM58" s="128"/>
      <c r="AN58" s="128"/>
      <c r="AP58" s="57">
        <f t="shared" si="4"/>
        <v>88.448139190666666</v>
      </c>
      <c r="AQ58" s="57">
        <f t="shared" si="5"/>
        <v>88.474430084250002</v>
      </c>
      <c r="AR58" s="57">
        <f t="shared" si="6"/>
        <v>87.601563771333346</v>
      </c>
      <c r="AS58" s="57">
        <f t="shared" si="7"/>
        <v>85.564015706333336</v>
      </c>
      <c r="AT58" s="55">
        <f t="shared" si="8"/>
        <v>83.044733683333334</v>
      </c>
      <c r="AU58" s="55">
        <f t="shared" si="9"/>
        <v>81.14790344228571</v>
      </c>
    </row>
    <row r="59" spans="1:47" s="57" customFormat="1">
      <c r="A59" s="340" t="s">
        <v>477</v>
      </c>
      <c r="B59" s="340"/>
      <c r="C59" s="340"/>
      <c r="D59" s="57" t="s">
        <v>314</v>
      </c>
      <c r="E59" s="57">
        <f>E68*$H$6+E69*$H$7+E70*$H$8+E71*$H$9+E72*$H$10+E73*$H$11+E74*$H$12+E75*$H$13+E76*$H$14+E77*$H$15+E78*$H$16+E79*$H$17+E80*$H$18+E81*$H$19+E82*$H$20+E83*$H$21+E84*$H$22+E85*$H$23+E86*$H$24</f>
        <v>83.662391447236544</v>
      </c>
      <c r="F59" s="57">
        <f t="shared" ref="F59:AG59" si="13">F68*$H$6+F69*$H$7+F70*$H$8+F71*$H$9+F72*$H$10+F73*$H$11+F74*$H$12+F75*$H$13+F76*$H$14+F77*$H$15+F78*$H$16+F79*$H$17+F80*$H$18+F81*$H$19+F82*$H$20+F83*$H$21+F84*$H$22+F85*$H$23+F86*$H$24</f>
        <v>83.660035537398088</v>
      </c>
      <c r="G59" s="57">
        <f t="shared" si="13"/>
        <v>83.66011082722008</v>
      </c>
      <c r="H59" s="57">
        <f t="shared" si="13"/>
        <v>83.669846186694699</v>
      </c>
      <c r="I59" s="57">
        <f t="shared" si="13"/>
        <v>83.670097106002288</v>
      </c>
      <c r="J59" s="57">
        <f t="shared" si="13"/>
        <v>83.669787028820451</v>
      </c>
      <c r="K59" s="57">
        <f t="shared" si="13"/>
        <v>83.659892548848006</v>
      </c>
      <c r="L59" s="57">
        <f t="shared" si="13"/>
        <v>83.6598906118451</v>
      </c>
      <c r="M59" s="57">
        <f t="shared" si="13"/>
        <v>83.6591889002909</v>
      </c>
      <c r="N59" s="57">
        <f t="shared" si="13"/>
        <v>83.658726374169817</v>
      </c>
      <c r="O59" s="57">
        <f t="shared" si="13"/>
        <v>83.637003935610124</v>
      </c>
      <c r="P59" s="57">
        <f t="shared" si="13"/>
        <v>83.635705637551254</v>
      </c>
      <c r="Q59" s="57">
        <f t="shared" si="13"/>
        <v>83.633804899037258</v>
      </c>
      <c r="R59" s="57">
        <f t="shared" si="13"/>
        <v>83.632890153965434</v>
      </c>
      <c r="S59" s="57">
        <f t="shared" si="13"/>
        <v>83.633373876754888</v>
      </c>
      <c r="T59" s="57">
        <f t="shared" si="13"/>
        <v>83.632222329569899</v>
      </c>
      <c r="U59" s="57">
        <f t="shared" si="13"/>
        <v>83.587898829554959</v>
      </c>
      <c r="V59" s="57">
        <f t="shared" si="13"/>
        <v>83.587857885490607</v>
      </c>
      <c r="W59" s="57">
        <f t="shared" si="13"/>
        <v>83.587369437771599</v>
      </c>
      <c r="X59" s="57">
        <f t="shared" si="13"/>
        <v>83.53484907836426</v>
      </c>
      <c r="Y59" s="57">
        <f t="shared" si="13"/>
        <v>83.525293823539997</v>
      </c>
      <c r="Z59" s="57">
        <f t="shared" si="13"/>
        <v>83.522951225722011</v>
      </c>
      <c r="AA59" s="57">
        <f t="shared" si="13"/>
        <v>83.484181914662585</v>
      </c>
      <c r="AB59" s="57">
        <f t="shared" si="13"/>
        <v>83.484378711188967</v>
      </c>
      <c r="AC59" s="57">
        <f t="shared" si="13"/>
        <v>83.480272238413434</v>
      </c>
      <c r="AD59" s="57">
        <f t="shared" si="13"/>
        <v>83.482981749572772</v>
      </c>
      <c r="AE59" s="57">
        <f t="shared" si="13"/>
        <v>83.481217222520414</v>
      </c>
      <c r="AF59" s="57">
        <f t="shared" si="13"/>
        <v>83.477112480128767</v>
      </c>
      <c r="AG59" s="57">
        <f t="shared" si="13"/>
        <v>83.478848136247109</v>
      </c>
      <c r="AH59" s="125">
        <f t="shared" ref="AH59:AL59" si="14">AH68*$H$6+AH69*$H$7+AH70*$H$8+AH71*$H$9+AH72*$H$10+AH73*$H$11+AH74*$H$12+AH75*$H$13+AH76*$H$14+AH77*$H$15+AH78*$H$16+AH79*$H$17+AH80*$H$18+AH81*$H$19+AH82*$H$20+AH83*$H$21+AH84*$H$22+AH85*$H$23+AH86*$H$24</f>
        <v>83.679173858358041</v>
      </c>
      <c r="AI59" s="125">
        <f t="shared" si="14"/>
        <v>83.671297264326569</v>
      </c>
      <c r="AJ59" s="125">
        <f t="shared" si="14"/>
        <v>83.670359405429878</v>
      </c>
      <c r="AK59" s="125">
        <f t="shared" si="14"/>
        <v>83.676765581623371</v>
      </c>
      <c r="AL59" s="125">
        <f t="shared" si="14"/>
        <v>83.677201513466343</v>
      </c>
      <c r="AM59" s="125"/>
      <c r="AN59" s="125"/>
      <c r="AP59" s="57">
        <f t="shared" si="4"/>
        <v>83.665378022228694</v>
      </c>
      <c r="AQ59" s="57">
        <f t="shared" si="5"/>
        <v>83.659424608788456</v>
      </c>
      <c r="AR59" s="57">
        <f t="shared" si="6"/>
        <v>83.634166805414807</v>
      </c>
      <c r="AS59" s="57">
        <f t="shared" si="7"/>
        <v>83.587708717605722</v>
      </c>
      <c r="AT59" s="55">
        <f t="shared" si="8"/>
        <v>83.527698042542099</v>
      </c>
      <c r="AU59" s="55">
        <f t="shared" si="9"/>
        <v>83.481284636104874</v>
      </c>
    </row>
    <row r="60" spans="1:47" s="57" customFormat="1">
      <c r="A60" s="340" t="s">
        <v>478</v>
      </c>
      <c r="B60" s="340"/>
      <c r="C60" s="340"/>
      <c r="D60" s="57" t="s">
        <v>314</v>
      </c>
      <c r="E60" s="57">
        <f>100-E59</f>
        <v>16.337608552763456</v>
      </c>
      <c r="F60" s="57">
        <f t="shared" ref="F60:AG60" si="15">100-F59</f>
        <v>16.339964462601912</v>
      </c>
      <c r="G60" s="57">
        <f t="shared" si="15"/>
        <v>16.33988917277992</v>
      </c>
      <c r="H60" s="57">
        <f t="shared" si="15"/>
        <v>16.330153813305301</v>
      </c>
      <c r="I60" s="57">
        <f t="shared" si="15"/>
        <v>16.329902893997712</v>
      </c>
      <c r="J60" s="57">
        <f t="shared" si="15"/>
        <v>16.330212971179549</v>
      </c>
      <c r="K60" s="57">
        <f t="shared" si="15"/>
        <v>16.340107451151994</v>
      </c>
      <c r="L60" s="57">
        <f t="shared" si="15"/>
        <v>16.3401093881549</v>
      </c>
      <c r="M60" s="57">
        <f t="shared" si="15"/>
        <v>16.3408110997091</v>
      </c>
      <c r="N60" s="57">
        <f t="shared" si="15"/>
        <v>16.341273625830183</v>
      </c>
      <c r="O60" s="57">
        <f t="shared" si="15"/>
        <v>16.362996064389876</v>
      </c>
      <c r="P60" s="57">
        <f t="shared" si="15"/>
        <v>16.364294362448746</v>
      </c>
      <c r="Q60" s="57">
        <f t="shared" si="15"/>
        <v>16.366195100962742</v>
      </c>
      <c r="R60" s="57">
        <f t="shared" si="15"/>
        <v>16.367109846034566</v>
      </c>
      <c r="S60" s="57">
        <f t="shared" si="15"/>
        <v>16.366626123245112</v>
      </c>
      <c r="T60" s="57">
        <f t="shared" si="15"/>
        <v>16.367777670430101</v>
      </c>
      <c r="U60" s="57">
        <f t="shared" si="15"/>
        <v>16.412101170445041</v>
      </c>
      <c r="V60" s="57">
        <f t="shared" si="15"/>
        <v>16.412142114509393</v>
      </c>
      <c r="W60" s="57">
        <f t="shared" si="15"/>
        <v>16.412630562228401</v>
      </c>
      <c r="X60" s="57">
        <f t="shared" si="15"/>
        <v>16.46515092163574</v>
      </c>
      <c r="Y60" s="57">
        <f t="shared" si="15"/>
        <v>16.474706176460003</v>
      </c>
      <c r="Z60" s="57">
        <f t="shared" si="15"/>
        <v>16.477048774277989</v>
      </c>
      <c r="AA60" s="57">
        <f t="shared" si="15"/>
        <v>16.515818085337415</v>
      </c>
      <c r="AB60" s="57">
        <f t="shared" si="15"/>
        <v>16.515621288811033</v>
      </c>
      <c r="AC60" s="57">
        <f t="shared" si="15"/>
        <v>16.519727761586566</v>
      </c>
      <c r="AD60" s="57">
        <f t="shared" si="15"/>
        <v>16.517018250427228</v>
      </c>
      <c r="AE60" s="57">
        <f t="shared" si="15"/>
        <v>16.518782777479586</v>
      </c>
      <c r="AF60" s="57">
        <f t="shared" si="15"/>
        <v>16.522887519871233</v>
      </c>
      <c r="AG60" s="57">
        <f t="shared" si="15"/>
        <v>16.521151863752891</v>
      </c>
      <c r="AH60" s="125">
        <f t="shared" ref="AH60" si="16">100-AH59</f>
        <v>16.320826141641959</v>
      </c>
      <c r="AI60" s="125">
        <f t="shared" ref="AI60" si="17">100-AI59</f>
        <v>16.328702735673431</v>
      </c>
      <c r="AJ60" s="125">
        <f t="shared" ref="AJ60" si="18">100-AJ59</f>
        <v>16.329640594570122</v>
      </c>
      <c r="AK60" s="125">
        <f t="shared" ref="AK60" si="19">100-AK59</f>
        <v>16.323234418376629</v>
      </c>
      <c r="AL60" s="125">
        <f t="shared" ref="AL60" si="20">100-AL59</f>
        <v>16.322798486533657</v>
      </c>
      <c r="AM60" s="125"/>
      <c r="AN60" s="125"/>
      <c r="AP60" s="57">
        <f t="shared" si="4"/>
        <v>16.33462197777131</v>
      </c>
      <c r="AQ60" s="57">
        <f t="shared" si="5"/>
        <v>16.340575391211544</v>
      </c>
      <c r="AR60" s="57">
        <f t="shared" si="6"/>
        <v>16.365833194585189</v>
      </c>
      <c r="AS60" s="57">
        <f t="shared" si="7"/>
        <v>16.412291282394278</v>
      </c>
      <c r="AT60" s="55">
        <f t="shared" si="8"/>
        <v>16.472301957457912</v>
      </c>
      <c r="AU60" s="55">
        <f t="shared" si="9"/>
        <v>16.518715363895137</v>
      </c>
    </row>
    <row r="61" spans="1:47">
      <c r="A61" s="343" t="s">
        <v>479</v>
      </c>
      <c r="B61" s="343"/>
      <c r="C61" s="343"/>
      <c r="D61" s="31" t="s">
        <v>12</v>
      </c>
      <c r="E61" s="58">
        <f>(E53/(E55/100))*(E54/100)*(0.0416)*2</f>
        <v>8.7015461392366961E-2</v>
      </c>
      <c r="F61" s="58">
        <f t="shared" ref="F61:AL61" si="21">(F53/(F55/100))*(F54/100)*(0.0416)*2</f>
        <v>8.8741785820234217E-2</v>
      </c>
      <c r="G61" s="58">
        <f t="shared" si="21"/>
        <v>8.996833983212138E-2</v>
      </c>
      <c r="H61" s="58">
        <f t="shared" si="21"/>
        <v>9.1781976470235671E-2</v>
      </c>
      <c r="I61" s="58">
        <f t="shared" si="21"/>
        <v>8.9433246466312968E-2</v>
      </c>
      <c r="J61" s="58">
        <f t="shared" si="21"/>
        <v>8.9471096125383218E-2</v>
      </c>
      <c r="K61" s="58">
        <f t="shared" si="21"/>
        <v>9.1195931946683934E-2</v>
      </c>
      <c r="L61" s="58">
        <f t="shared" si="21"/>
        <v>9.1246289132742506E-2</v>
      </c>
      <c r="M61" s="58">
        <f t="shared" si="21"/>
        <v>8.7721927055313634E-2</v>
      </c>
      <c r="N61" s="58">
        <f t="shared" si="21"/>
        <v>9.0237830660507279E-2</v>
      </c>
      <c r="O61" s="58">
        <f t="shared" si="21"/>
        <v>9.0457502623519773E-2</v>
      </c>
      <c r="P61" s="58">
        <f t="shared" si="21"/>
        <v>8.8627982478320891E-2</v>
      </c>
      <c r="Q61" s="58">
        <f t="shared" si="21"/>
        <v>8.8889964544565742E-2</v>
      </c>
      <c r="R61" s="58">
        <f t="shared" si="21"/>
        <v>8.7300138309499259E-2</v>
      </c>
      <c r="S61" s="58">
        <f t="shared" si="21"/>
        <v>8.841643859970777E-2</v>
      </c>
      <c r="T61" s="58">
        <f t="shared" si="21"/>
        <v>8.9275358449798253E-2</v>
      </c>
      <c r="U61" s="58">
        <f t="shared" si="21"/>
        <v>8.6604843589311156E-2</v>
      </c>
      <c r="V61" s="58">
        <f t="shared" si="21"/>
        <v>8.8336296554611365E-2</v>
      </c>
      <c r="W61" s="58">
        <f t="shared" si="21"/>
        <v>8.7079144860651742E-2</v>
      </c>
      <c r="X61" s="58">
        <f t="shared" si="21"/>
        <v>8.6079127277438508E-2</v>
      </c>
      <c r="Y61" s="58">
        <f t="shared" si="21"/>
        <v>8.5954141703685219E-2</v>
      </c>
      <c r="Z61" s="58">
        <f t="shared" si="21"/>
        <v>8.6231532587752846E-2</v>
      </c>
      <c r="AA61" s="58">
        <f t="shared" si="21"/>
        <v>8.5180979375669402E-2</v>
      </c>
      <c r="AB61" s="58">
        <f t="shared" si="21"/>
        <v>8.3754639859951491E-2</v>
      </c>
      <c r="AC61" s="58">
        <f t="shared" si="21"/>
        <v>8.152737034432421E-2</v>
      </c>
      <c r="AD61" s="58">
        <f t="shared" si="21"/>
        <v>8.608946378646723E-2</v>
      </c>
      <c r="AE61" s="58">
        <f t="shared" si="21"/>
        <v>8.6097387590491625E-2</v>
      </c>
      <c r="AF61" s="58">
        <f t="shared" si="21"/>
        <v>8.2750106602148807E-2</v>
      </c>
      <c r="AG61" s="58">
        <f t="shared" si="21"/>
        <v>8.3669378520457957E-2</v>
      </c>
      <c r="AH61" s="129">
        <f t="shared" si="21"/>
        <v>8.8553063136714086E-2</v>
      </c>
      <c r="AI61" s="129">
        <f t="shared" si="21"/>
        <v>9.0434072358161893E-2</v>
      </c>
      <c r="AJ61" s="129">
        <f t="shared" si="21"/>
        <v>9.1046462871874956E-2</v>
      </c>
      <c r="AK61" s="129">
        <f t="shared" si="21"/>
        <v>8.580066348344953E-2</v>
      </c>
      <c r="AL61" s="129">
        <f t="shared" si="21"/>
        <v>9.0064171194752171E-2</v>
      </c>
      <c r="AM61" s="129"/>
      <c r="AN61" s="129"/>
      <c r="AP61" s="57">
        <f t="shared" si="4"/>
        <v>8.9401984351109062E-2</v>
      </c>
      <c r="AQ61" s="57">
        <f t="shared" si="5"/>
        <v>9.0100494698811831E-2</v>
      </c>
      <c r="AR61" s="57">
        <f t="shared" si="6"/>
        <v>8.8827897500901934E-2</v>
      </c>
      <c r="AS61" s="57">
        <f t="shared" si="7"/>
        <v>8.7340095001524773E-2</v>
      </c>
      <c r="AT61" s="55">
        <f t="shared" si="8"/>
        <v>8.608826718962552E-2</v>
      </c>
      <c r="AU61" s="55">
        <f t="shared" si="9"/>
        <v>8.4152760868501542E-2</v>
      </c>
    </row>
    <row r="62" spans="1:47">
      <c r="A62" s="343" t="s">
        <v>480</v>
      </c>
      <c r="B62" s="343"/>
      <c r="C62" s="343"/>
      <c r="D62" s="31" t="s">
        <v>12</v>
      </c>
      <c r="E62" s="57">
        <f>(E53/(E55/100))*(E56/100)*(0.0416)*(E58)</f>
        <v>2.9026000925368836</v>
      </c>
      <c r="F62" s="57">
        <f t="shared" ref="F62:AL62" si="22">(F53/(F55/100))*(F56/100)*(0.0416)*(F58)</f>
        <v>2.7828701156276621</v>
      </c>
      <c r="G62" s="57">
        <f t="shared" si="22"/>
        <v>2.7370108385477101</v>
      </c>
      <c r="H62" s="57">
        <f t="shared" si="22"/>
        <v>2.8171353695106229</v>
      </c>
      <c r="I62" s="57">
        <f t="shared" si="22"/>
        <v>2.7161876121074626</v>
      </c>
      <c r="J62" s="57">
        <f t="shared" si="22"/>
        <v>2.7741541639754415</v>
      </c>
      <c r="K62" s="57">
        <f t="shared" si="22"/>
        <v>2.8234421050333616</v>
      </c>
      <c r="L62" s="57">
        <f t="shared" si="22"/>
        <v>2.8603780448387859</v>
      </c>
      <c r="M62" s="57">
        <f t="shared" si="22"/>
        <v>2.8135570809224064</v>
      </c>
      <c r="N62" s="57">
        <f t="shared" si="22"/>
        <v>2.7779869109138349</v>
      </c>
      <c r="O62" s="57">
        <f t="shared" si="22"/>
        <v>2.8405264549807381</v>
      </c>
      <c r="P62" s="57">
        <f t="shared" si="22"/>
        <v>2.8123462174803571</v>
      </c>
      <c r="Q62" s="57">
        <f t="shared" si="22"/>
        <v>2.7627749729373008</v>
      </c>
      <c r="R62" s="57">
        <f t="shared" si="22"/>
        <v>2.8689227389907503</v>
      </c>
      <c r="S62" s="57">
        <f t="shared" si="22"/>
        <v>2.8480737802811507</v>
      </c>
      <c r="T62" s="57">
        <f t="shared" si="22"/>
        <v>2.8213725500188627</v>
      </c>
      <c r="U62" s="57">
        <f t="shared" si="22"/>
        <v>2.863147171873218</v>
      </c>
      <c r="V62" s="57">
        <f t="shared" si="22"/>
        <v>2.8425331366317557</v>
      </c>
      <c r="W62" s="57">
        <f t="shared" si="22"/>
        <v>2.8123493026442943</v>
      </c>
      <c r="X62" s="57">
        <f t="shared" si="22"/>
        <v>2.8665579773406851</v>
      </c>
      <c r="Y62" s="57">
        <f t="shared" si="22"/>
        <v>2.8168950030635358</v>
      </c>
      <c r="Z62" s="57">
        <f t="shared" si="22"/>
        <v>2.7891298932302226</v>
      </c>
      <c r="AA62" s="57">
        <f t="shared" si="22"/>
        <v>2.8495039707836405</v>
      </c>
      <c r="AB62" s="57">
        <f t="shared" si="22"/>
        <v>2.8497157246037794</v>
      </c>
      <c r="AC62" s="57">
        <f t="shared" si="22"/>
        <v>2.8214226378919665</v>
      </c>
      <c r="AD62" s="57">
        <f t="shared" si="22"/>
        <v>2.8479201657181363</v>
      </c>
      <c r="AE62" s="57">
        <f t="shared" si="22"/>
        <v>2.8697583672476572</v>
      </c>
      <c r="AF62" s="57">
        <f t="shared" si="22"/>
        <v>2.8223187029987269</v>
      </c>
      <c r="AG62" s="57">
        <f t="shared" si="22"/>
        <v>2.8664151574510677</v>
      </c>
      <c r="AH62" s="125">
        <f t="shared" si="22"/>
        <v>2.9939308163073344</v>
      </c>
      <c r="AI62" s="125">
        <f t="shared" si="22"/>
        <v>2.859552878437472</v>
      </c>
      <c r="AJ62" s="125">
        <f t="shared" si="22"/>
        <v>2.956615264870869</v>
      </c>
      <c r="AK62" s="125">
        <f t="shared" si="22"/>
        <v>2.9183008086859168</v>
      </c>
      <c r="AL62" s="125">
        <f t="shared" si="22"/>
        <v>2.9188224146466388</v>
      </c>
      <c r="AM62" s="125"/>
      <c r="AN62" s="125"/>
      <c r="AP62" s="57">
        <f t="shared" si="4"/>
        <v>2.7883263653842971</v>
      </c>
      <c r="AQ62" s="57">
        <f t="shared" si="5"/>
        <v>2.8188410354270972</v>
      </c>
      <c r="AR62" s="57">
        <f t="shared" si="6"/>
        <v>2.8256694524481936</v>
      </c>
      <c r="AS62" s="57">
        <f t="shared" si="7"/>
        <v>2.8393432037164228</v>
      </c>
      <c r="AT62" s="55">
        <f t="shared" si="8"/>
        <v>2.8241942912114815</v>
      </c>
      <c r="AU62" s="55">
        <f t="shared" si="9"/>
        <v>2.8467221038135682</v>
      </c>
    </row>
    <row r="63" spans="1:47">
      <c r="A63" s="343" t="s">
        <v>489</v>
      </c>
      <c r="B63" s="343"/>
      <c r="C63" s="343"/>
      <c r="D63" s="31" t="s">
        <v>12</v>
      </c>
      <c r="E63" s="57">
        <f>E62*E59/100</f>
        <v>2.4283846515660574</v>
      </c>
      <c r="F63" s="57">
        <f t="shared" ref="F63:AL63" si="23">F62*F59/100</f>
        <v>2.3281501276937333</v>
      </c>
      <c r="G63" s="57">
        <f t="shared" si="23"/>
        <v>2.28978630088204</v>
      </c>
      <c r="H63" s="57">
        <f t="shared" si="23"/>
        <v>2.3570928305405117</v>
      </c>
      <c r="I63" s="57">
        <f t="shared" si="23"/>
        <v>2.2726368126315188</v>
      </c>
      <c r="J63" s="57">
        <f t="shared" si="23"/>
        <v>2.3211288808494062</v>
      </c>
      <c r="K63" s="57">
        <f t="shared" si="23"/>
        <v>2.3620886312498426</v>
      </c>
      <c r="L63" s="57">
        <f t="shared" si="23"/>
        <v>2.3929891433973616</v>
      </c>
      <c r="M63" s="57">
        <f t="shared" si="23"/>
        <v>2.3537990331463865</v>
      </c>
      <c r="N63" s="57">
        <f t="shared" si="23"/>
        <v>2.3240284685116577</v>
      </c>
      <c r="O63" s="57">
        <f t="shared" si="23"/>
        <v>2.3757312229442866</v>
      </c>
      <c r="P63" s="57">
        <f t="shared" si="23"/>
        <v>2.3521256039606784</v>
      </c>
      <c r="Q63" s="57">
        <f t="shared" si="23"/>
        <v>2.3106138306658117</v>
      </c>
      <c r="R63" s="57">
        <f t="shared" si="23"/>
        <v>2.399363002902271</v>
      </c>
      <c r="S63" s="57">
        <f t="shared" si="23"/>
        <v>2.3819401929483615</v>
      </c>
      <c r="T63" s="57">
        <f t="shared" si="23"/>
        <v>2.3595765637772308</v>
      </c>
      <c r="U63" s="57">
        <f t="shared" si="23"/>
        <v>2.3932445613666493</v>
      </c>
      <c r="V63" s="57">
        <f t="shared" si="23"/>
        <v>2.3760125585957308</v>
      </c>
      <c r="W63" s="57">
        <f t="shared" si="23"/>
        <v>2.3507688014818795</v>
      </c>
      <c r="X63" s="57">
        <f t="shared" si="23"/>
        <v>2.3945748801153526</v>
      </c>
      <c r="Y63" s="57">
        <f t="shared" si="23"/>
        <v>2.3528198280094346</v>
      </c>
      <c r="Z63" s="57">
        <f t="shared" si="23"/>
        <v>2.3295636003447111</v>
      </c>
      <c r="AA63" s="57">
        <f t="shared" si="23"/>
        <v>2.3788850786345481</v>
      </c>
      <c r="AB63" s="57">
        <f t="shared" si="23"/>
        <v>2.3790674677205219</v>
      </c>
      <c r="AC63" s="57">
        <f t="shared" si="23"/>
        <v>2.3553312991084394</v>
      </c>
      <c r="AD63" s="57">
        <f t="shared" si="23"/>
        <v>2.3775286721888746</v>
      </c>
      <c r="AE63" s="57">
        <f t="shared" si="23"/>
        <v>2.3957092163234721</v>
      </c>
      <c r="AF63" s="57">
        <f t="shared" si="23"/>
        <v>2.3559901582499587</v>
      </c>
      <c r="AG63" s="57">
        <f t="shared" si="23"/>
        <v>2.3928503562429451</v>
      </c>
      <c r="AH63" s="125">
        <f t="shared" si="23"/>
        <v>2.5052965729767722</v>
      </c>
      <c r="AI63" s="125">
        <f t="shared" si="23"/>
        <v>2.392624989348024</v>
      </c>
      <c r="AJ63" s="125">
        <f t="shared" si="23"/>
        <v>2.4738106183532587</v>
      </c>
      <c r="AK63" s="125">
        <f t="shared" si="23"/>
        <v>2.4419397266507339</v>
      </c>
      <c r="AL63" s="125">
        <f t="shared" si="23"/>
        <v>2.4423889137240922</v>
      </c>
      <c r="AM63" s="125"/>
      <c r="AN63" s="125"/>
      <c r="AO63" s="57"/>
      <c r="AP63" s="57">
        <f t="shared" si="4"/>
        <v>2.3328632673605445</v>
      </c>
      <c r="AQ63" s="57">
        <f t="shared" si="5"/>
        <v>2.3582263190763122</v>
      </c>
      <c r="AR63" s="57">
        <f t="shared" si="6"/>
        <v>2.3632250695331067</v>
      </c>
      <c r="AS63" s="57">
        <f t="shared" si="7"/>
        <v>2.3733419738147532</v>
      </c>
      <c r="AT63" s="55">
        <f t="shared" si="8"/>
        <v>2.3589861028231662</v>
      </c>
      <c r="AU63" s="55">
        <f t="shared" si="9"/>
        <v>2.3764803212098231</v>
      </c>
    </row>
    <row r="64" spans="1:47">
      <c r="A64" s="343" t="s">
        <v>490</v>
      </c>
      <c r="B64" s="343"/>
      <c r="C64" s="343"/>
      <c r="D64" s="31" t="s">
        <v>12</v>
      </c>
      <c r="E64" s="57">
        <f>E63/($E$2/100)</f>
        <v>2.902164118586684</v>
      </c>
      <c r="F64" s="57">
        <f t="shared" ref="F64:J64" si="24">F63/($E$2/100)</f>
        <v>2.7823737721774853</v>
      </c>
      <c r="G64" s="57">
        <f t="shared" si="24"/>
        <v>2.7365251371382349</v>
      </c>
      <c r="H64" s="57">
        <f t="shared" si="24"/>
        <v>2.8169632156755191</v>
      </c>
      <c r="I64" s="57">
        <f t="shared" si="24"/>
        <v>2.7160297722788456</v>
      </c>
      <c r="J64" s="57">
        <f t="shared" si="24"/>
        <v>2.7739826753855481</v>
      </c>
      <c r="K64" s="57">
        <f t="shared" ref="K64:AL64" si="25">K63/($E$2/100)</f>
        <v>2.822933700439076</v>
      </c>
      <c r="L64" s="57">
        <f t="shared" si="25"/>
        <v>2.8598629231397088</v>
      </c>
      <c r="M64" s="57">
        <f t="shared" si="25"/>
        <v>2.8130267962104401</v>
      </c>
      <c r="N64" s="57">
        <f t="shared" si="25"/>
        <v>2.7774479745368401</v>
      </c>
      <c r="O64" s="57">
        <f t="shared" si="25"/>
        <v>2.8392379708826447</v>
      </c>
      <c r="P64" s="57">
        <f t="shared" si="25"/>
        <v>2.811026879873205</v>
      </c>
      <c r="Q64" s="57">
        <f t="shared" si="25"/>
        <v>2.7614161318899422</v>
      </c>
      <c r="R64" s="57">
        <f t="shared" si="25"/>
        <v>2.8674803268900297</v>
      </c>
      <c r="S64" s="57">
        <f t="shared" si="25"/>
        <v>2.8466583150804166</v>
      </c>
      <c r="T64" s="57">
        <f t="shared" si="25"/>
        <v>2.8199315269251803</v>
      </c>
      <c r="U64" s="57">
        <f t="shared" si="25"/>
        <v>2.8601681733253543</v>
      </c>
      <c r="V64" s="57">
        <f t="shared" si="25"/>
        <v>2.8395741953075411</v>
      </c>
      <c r="W64" s="57">
        <f t="shared" si="25"/>
        <v>2.8094053643248178</v>
      </c>
      <c r="X64" s="57">
        <f t="shared" si="25"/>
        <v>2.8617580381502203</v>
      </c>
      <c r="Y64" s="57">
        <f t="shared" si="25"/>
        <v>2.8118565474974262</v>
      </c>
      <c r="Z64" s="57">
        <f t="shared" si="25"/>
        <v>2.7840630142864842</v>
      </c>
      <c r="AA64" s="57">
        <f t="shared" si="25"/>
        <v>2.8430071459239934</v>
      </c>
      <c r="AB64" s="57">
        <f t="shared" si="25"/>
        <v>2.8432251192424269</v>
      </c>
      <c r="AC64" s="57">
        <f t="shared" si="25"/>
        <v>2.8148580082848262</v>
      </c>
      <c r="AD64" s="57">
        <f t="shared" si="25"/>
        <v>2.8413861036750587</v>
      </c>
      <c r="AE64" s="57">
        <f t="shared" si="25"/>
        <v>2.863113684109972</v>
      </c>
      <c r="AF64" s="57">
        <f t="shared" si="25"/>
        <v>2.8156454112847946</v>
      </c>
      <c r="AG64" s="57">
        <f t="shared" si="25"/>
        <v>2.8596970585187935</v>
      </c>
      <c r="AH64" s="125">
        <f t="shared" si="25"/>
        <v>2.994081607220862</v>
      </c>
      <c r="AI64" s="125">
        <f t="shared" si="25"/>
        <v>2.8594277223921898</v>
      </c>
      <c r="AJ64" s="125">
        <f t="shared" si="25"/>
        <v>2.9564527218262522</v>
      </c>
      <c r="AK64" s="125">
        <f t="shared" si="25"/>
        <v>2.9183637978714825</v>
      </c>
      <c r="AL64" s="125">
        <f t="shared" si="25"/>
        <v>2.9189006216427873</v>
      </c>
      <c r="AM64" s="125"/>
      <c r="AN64" s="125"/>
      <c r="AP64" s="57">
        <f t="shared" si="4"/>
        <v>2.7880064485403864</v>
      </c>
      <c r="AQ64" s="57">
        <f t="shared" si="5"/>
        <v>2.8183178485815166</v>
      </c>
      <c r="AR64" s="57">
        <f t="shared" si="6"/>
        <v>2.8242918585902363</v>
      </c>
      <c r="AS64" s="57">
        <f t="shared" si="7"/>
        <v>2.8363825776525711</v>
      </c>
      <c r="AT64" s="55">
        <f t="shared" si="8"/>
        <v>2.8192258666447105</v>
      </c>
      <c r="AU64" s="55">
        <f t="shared" si="9"/>
        <v>2.840133218719981</v>
      </c>
    </row>
    <row r="65" spans="1:51">
      <c r="B65" s="61"/>
      <c r="C65" s="61" t="s">
        <v>491</v>
      </c>
      <c r="D65" s="31" t="s">
        <v>482</v>
      </c>
      <c r="E65" s="57">
        <f>(E56*E58)/(E54*2)</f>
        <v>33.357291291585341</v>
      </c>
      <c r="F65" s="57">
        <f t="shared" ref="F65:AL65" si="26">(F56*F58)/(F54*2)</f>
        <v>31.359185415368707</v>
      </c>
      <c r="G65" s="57">
        <f t="shared" si="26"/>
        <v>30.421933356277354</v>
      </c>
      <c r="H65" s="57">
        <f t="shared" si="26"/>
        <v>30.693775377829244</v>
      </c>
      <c r="I65" s="57">
        <f t="shared" si="26"/>
        <v>30.371117223510112</v>
      </c>
      <c r="J65" s="57">
        <f t="shared" si="26"/>
        <v>31.006149294156302</v>
      </c>
      <c r="K65" s="57">
        <f t="shared" si="26"/>
        <v>30.960176016228843</v>
      </c>
      <c r="L65" s="57">
        <f t="shared" si="26"/>
        <v>31.34788353614676</v>
      </c>
      <c r="M65" s="57">
        <f t="shared" si="26"/>
        <v>32.073589527374374</v>
      </c>
      <c r="N65" s="57">
        <f t="shared" si="26"/>
        <v>30.785169485791112</v>
      </c>
      <c r="O65" s="57">
        <f t="shared" si="26"/>
        <v>31.401778432938684</v>
      </c>
      <c r="P65" s="57">
        <f t="shared" si="26"/>
        <v>31.732034723551102</v>
      </c>
      <c r="Q65" s="57">
        <f t="shared" si="26"/>
        <v>31.080842332344051</v>
      </c>
      <c r="R65" s="57">
        <f t="shared" si="26"/>
        <v>32.862751360367312</v>
      </c>
      <c r="S65" s="57">
        <f t="shared" si="26"/>
        <v>32.212039134208737</v>
      </c>
      <c r="T65" s="57">
        <f t="shared" si="26"/>
        <v>31.603038050027994</v>
      </c>
      <c r="U65" s="57">
        <f t="shared" si="26"/>
        <v>33.059896574036301</v>
      </c>
      <c r="V65" s="57">
        <f t="shared" si="26"/>
        <v>32.178540956541475</v>
      </c>
      <c r="W65" s="57">
        <f t="shared" si="26"/>
        <v>32.296473594736732</v>
      </c>
      <c r="X65" s="57">
        <f t="shared" si="26"/>
        <v>33.301429370927359</v>
      </c>
      <c r="Y65" s="57">
        <f t="shared" si="26"/>
        <v>32.772068305613296</v>
      </c>
      <c r="Z65" s="57">
        <f t="shared" si="26"/>
        <v>32.344663367682656</v>
      </c>
      <c r="AA65" s="57">
        <f t="shared" si="26"/>
        <v>33.452350415186189</v>
      </c>
      <c r="AB65" s="57">
        <f t="shared" si="26"/>
        <v>34.024571407254214</v>
      </c>
      <c r="AC65" s="57">
        <f t="shared" si="26"/>
        <v>34.607060499755086</v>
      </c>
      <c r="AD65" s="57">
        <f t="shared" si="26"/>
        <v>33.080937439475761</v>
      </c>
      <c r="AE65" s="57">
        <f t="shared" si="26"/>
        <v>33.331538244774649</v>
      </c>
      <c r="AF65" s="57">
        <f t="shared" si="26"/>
        <v>34.106526491476913</v>
      </c>
      <c r="AG65" s="57">
        <f t="shared" si="26"/>
        <v>34.258831703287989</v>
      </c>
      <c r="AH65" s="125">
        <f t="shared" si="26"/>
        <v>33.809455147645266</v>
      </c>
      <c r="AI65" s="125">
        <f t="shared" si="26"/>
        <v>31.6203042047281</v>
      </c>
      <c r="AJ65" s="125">
        <f t="shared" si="26"/>
        <v>32.47369718285006</v>
      </c>
      <c r="AK65" s="125">
        <f t="shared" si="26"/>
        <v>34.012566922035994</v>
      </c>
      <c r="AL65" s="125">
        <f t="shared" si="26"/>
        <v>32.408252648381804</v>
      </c>
      <c r="AM65" s="125"/>
      <c r="AN65" s="125"/>
      <c r="AP65" s="57">
        <f t="shared" si="4"/>
        <v>31.201575326454506</v>
      </c>
      <c r="AQ65" s="57">
        <f t="shared" si="5"/>
        <v>31.291704641385273</v>
      </c>
      <c r="AR65" s="57">
        <f t="shared" si="6"/>
        <v>31.815414005572986</v>
      </c>
      <c r="AS65" s="57">
        <f t="shared" si="7"/>
        <v>32.511637041771507</v>
      </c>
      <c r="AT65" s="55">
        <f t="shared" si="8"/>
        <v>32.806053681407768</v>
      </c>
      <c r="AU65" s="55">
        <f t="shared" si="9"/>
        <v>33.837402314458686</v>
      </c>
      <c r="AW65" s="1" t="s">
        <v>511</v>
      </c>
      <c r="AX65" s="57">
        <f>_xlfn.STDEV.S(E65:AG65)</f>
        <v>1.2274270501887037</v>
      </c>
      <c r="AY65" s="1" t="s">
        <v>512</v>
      </c>
    </row>
    <row r="66" spans="1:51" s="74" customFormat="1">
      <c r="A66" s="76"/>
      <c r="B66" s="76"/>
      <c r="C66" s="76" t="s">
        <v>256</v>
      </c>
      <c r="D66" s="81" t="s">
        <v>112</v>
      </c>
      <c r="E66" s="73" cm="1">
        <f t="array" ref="E66:AL66">TRANSPOSE(_xlfn._xlws.FILTER('Raw Data'!AO3:AO305,('Raw Data'!C3:C305=1)*('Raw Data'!AO3:AO305&lt;&gt;"")))</f>
        <v>26.554679871000001</v>
      </c>
      <c r="F66" s="73">
        <v>26.610477447000001</v>
      </c>
      <c r="G66" s="73">
        <v>26.559080124000001</v>
      </c>
      <c r="H66" s="73">
        <v>25.661228179999998</v>
      </c>
      <c r="I66" s="73">
        <v>25.616651534999999</v>
      </c>
      <c r="J66" s="73">
        <v>25.671312331999999</v>
      </c>
      <c r="K66" s="73">
        <v>28.12191391</v>
      </c>
      <c r="L66" s="73">
        <v>28.113416672</v>
      </c>
      <c r="M66" s="73">
        <v>28.183420180999999</v>
      </c>
      <c r="N66" s="73">
        <v>28.218334198000001</v>
      </c>
      <c r="O66" s="73">
        <v>33.476737976000003</v>
      </c>
      <c r="P66" s="73">
        <v>33.766128539999997</v>
      </c>
      <c r="Q66" s="73">
        <v>34.010429381999998</v>
      </c>
      <c r="R66" s="73">
        <v>33.896465302000003</v>
      </c>
      <c r="S66" s="73">
        <v>33.812297821000001</v>
      </c>
      <c r="T66" s="73">
        <v>33.942863463999998</v>
      </c>
      <c r="U66" s="73">
        <v>44.422931671000001</v>
      </c>
      <c r="V66" s="73">
        <v>44.236343384000001</v>
      </c>
      <c r="W66" s="73">
        <v>44.116306305000002</v>
      </c>
      <c r="X66" s="73">
        <v>54.651889801000003</v>
      </c>
      <c r="Y66" s="73">
        <v>57.978275299000003</v>
      </c>
      <c r="Z66" s="73">
        <v>58.263156891000001</v>
      </c>
      <c r="AA66" s="73">
        <v>65.025787352999998</v>
      </c>
      <c r="AB66" s="73">
        <v>64.828567504999995</v>
      </c>
      <c r="AC66" s="73">
        <v>65.510894774999997</v>
      </c>
      <c r="AD66" s="73">
        <v>64.643981933999996</v>
      </c>
      <c r="AE66" s="73">
        <v>64.808815002000003</v>
      </c>
      <c r="AF66" s="73">
        <v>65.469444275000001</v>
      </c>
      <c r="AG66" s="73">
        <v>64.954284668</v>
      </c>
      <c r="AH66" s="130">
        <v>23.897415161000001</v>
      </c>
      <c r="AI66" s="130">
        <v>23.885753632</v>
      </c>
      <c r="AJ66" s="130">
        <v>23.982986449999999</v>
      </c>
      <c r="AK66" s="130">
        <v>24.035003662000001</v>
      </c>
      <c r="AL66" s="130">
        <v>24.050455093</v>
      </c>
      <c r="AM66" s="130"/>
      <c r="AN66" s="130"/>
      <c r="AO66" s="73"/>
      <c r="AP66" s="57">
        <f>AVERAGE(E66:J66)</f>
        <v>26.112238248166665</v>
      </c>
      <c r="AQ66" s="57">
        <f>AVERAGE(K66:N66)</f>
        <v>28.15927124025</v>
      </c>
      <c r="AR66" s="57">
        <f>AVERAGE(O66:T66)</f>
        <v>33.817487080833338</v>
      </c>
      <c r="AS66" s="57">
        <f>AVERAGE(U66:W66)</f>
        <v>44.258527119999997</v>
      </c>
      <c r="AT66" s="55">
        <f>AVERAGE(X66:Z66)</f>
        <v>56.964440663666664</v>
      </c>
      <c r="AU66" s="55">
        <f>AVERAGE(AA66:AG66)</f>
        <v>65.034539358857145</v>
      </c>
    </row>
    <row r="67" spans="1:51" s="137" customFormat="1">
      <c r="A67" s="135"/>
      <c r="B67" s="135"/>
      <c r="C67" s="135"/>
      <c r="D67" s="136"/>
      <c r="E67" s="138"/>
      <c r="F67" s="138"/>
      <c r="G67" s="138"/>
      <c r="H67" s="138"/>
      <c r="I67" s="138"/>
      <c r="J67" s="138"/>
      <c r="K67" s="138"/>
      <c r="L67" s="138"/>
      <c r="M67" s="138"/>
      <c r="AJ67" s="136"/>
      <c r="AK67" s="136"/>
      <c r="AL67" s="136"/>
      <c r="AM67" s="136"/>
      <c r="AN67" s="136"/>
      <c r="AO67" s="136"/>
      <c r="AP67" s="136"/>
      <c r="AQ67" s="136"/>
      <c r="AR67" s="136"/>
      <c r="AS67" s="136"/>
    </row>
    <row r="68" spans="1:51" s="31" customFormat="1">
      <c r="A68" s="61" t="s">
        <v>264</v>
      </c>
      <c r="B68" s="31">
        <v>3</v>
      </c>
      <c r="C68" s="61" t="s">
        <v>461</v>
      </c>
      <c r="D68" s="31" t="s">
        <v>314</v>
      </c>
      <c r="E68" s="34" cm="1">
        <f t="array" ref="E68:AL68">TRANSPOSE(_xlfn._xlws.FILTER('Raw Data'!DQ3:DQ307,('Raw Data'!C3:C307=1)*('Raw Data'!DQ3:DQ307&lt;&gt;"")))</f>
        <v>6.2284186499999998E-2</v>
      </c>
      <c r="F68" s="34">
        <v>4.2036909599999998E-2</v>
      </c>
      <c r="G68" s="34">
        <v>4.2014546700000002E-2</v>
      </c>
      <c r="H68" s="34">
        <v>3.9113208699999999E-2</v>
      </c>
      <c r="I68" s="34">
        <v>4.13727313E-2</v>
      </c>
      <c r="J68" s="34">
        <v>4.3818943200000002E-2</v>
      </c>
      <c r="K68" s="34">
        <v>0.14402113850000001</v>
      </c>
      <c r="L68" s="34">
        <v>0.14389018710000001</v>
      </c>
      <c r="M68" s="34">
        <v>0.15217895810000001</v>
      </c>
      <c r="N68" s="34">
        <v>0.15758542719999999</v>
      </c>
      <c r="O68" s="34">
        <v>0.44590511919999998</v>
      </c>
      <c r="P68" s="34">
        <v>0.46947577600000001</v>
      </c>
      <c r="Q68" s="34">
        <v>0.49303233619999998</v>
      </c>
      <c r="R68" s="34">
        <v>0.49913388489999999</v>
      </c>
      <c r="S68" s="34">
        <v>0.50908130409999997</v>
      </c>
      <c r="T68" s="34">
        <v>0.52627789970000005</v>
      </c>
      <c r="U68" s="34">
        <v>1.2728415728</v>
      </c>
      <c r="V68" s="34">
        <v>1.2752513885000001</v>
      </c>
      <c r="W68" s="34">
        <v>1.2821352481999999</v>
      </c>
      <c r="X68" s="34">
        <v>2.3411481379999999</v>
      </c>
      <c r="Y68" s="34">
        <v>2.5349137783</v>
      </c>
      <c r="Z68" s="34">
        <v>2.5849175453000002</v>
      </c>
      <c r="AA68" s="34">
        <v>3.4190716743</v>
      </c>
      <c r="AB68" s="34">
        <v>3.4098210335000001</v>
      </c>
      <c r="AC68" s="34">
        <v>3.4980139732</v>
      </c>
      <c r="AD68" s="34">
        <v>3.4369101523999999</v>
      </c>
      <c r="AE68" s="34">
        <v>3.4733040332999998</v>
      </c>
      <c r="AF68" s="34">
        <v>3.5627782345000001</v>
      </c>
      <c r="AG68" s="34">
        <v>3.5173449516000002</v>
      </c>
      <c r="AH68" s="128">
        <v>2.0048485999999998E-3</v>
      </c>
      <c r="AI68" s="128">
        <v>2.2005778999999999E-3</v>
      </c>
      <c r="AJ68" s="128">
        <v>2.3035677000000001E-3</v>
      </c>
      <c r="AK68" s="128">
        <v>4.4848537000000003E-3</v>
      </c>
      <c r="AL68" s="128">
        <v>4.8810900000000003E-3</v>
      </c>
      <c r="AM68" s="128"/>
      <c r="AN68" s="128"/>
      <c r="AP68" s="57">
        <f>AVERAGE(E68:J68)</f>
        <v>4.5106754333333332E-2</v>
      </c>
      <c r="AQ68" s="57">
        <f>AVERAGE(K68:N68)</f>
        <v>0.14941892772500001</v>
      </c>
      <c r="AR68" s="57">
        <f>AVERAGE(O68:T68)</f>
        <v>0.49048438668333333</v>
      </c>
      <c r="AS68" s="57">
        <f>AVERAGE(U68:W68)</f>
        <v>1.2767427364999999</v>
      </c>
      <c r="AT68" s="55">
        <f>AVERAGE(X68:Z68)</f>
        <v>2.4869931538666665</v>
      </c>
      <c r="AU68" s="55">
        <f>AVERAGE(AA68:AG68)</f>
        <v>3.4738920075428572</v>
      </c>
    </row>
    <row r="69" spans="1:51" s="31" customFormat="1">
      <c r="A69" s="66" t="s">
        <v>265</v>
      </c>
      <c r="B69" s="31">
        <v>4</v>
      </c>
      <c r="C69" s="61" t="s">
        <v>462</v>
      </c>
      <c r="D69" s="31" t="s">
        <v>314</v>
      </c>
      <c r="E69" s="34" cm="1">
        <f t="array" ref="E69:AL69">TRANSPOSE(_xlfn._xlws.FILTER('Raw Data'!DR3:DR308,('Raw Data'!C3:C308=1)*('Raw Data'!DR3:DR308&lt;&gt;"")))</f>
        <v>0.3562964797</v>
      </c>
      <c r="F69" s="34">
        <v>0.1384789944</v>
      </c>
      <c r="G69" s="34">
        <v>0.13790427150000001</v>
      </c>
      <c r="H69" s="34">
        <v>0.13357305529999999</v>
      </c>
      <c r="I69" s="34">
        <v>0.14062084259999999</v>
      </c>
      <c r="J69" s="34">
        <v>0.14899295570000001</v>
      </c>
      <c r="K69" s="34">
        <v>0.44198423619999999</v>
      </c>
      <c r="L69" s="34">
        <v>0.44106695060000001</v>
      </c>
      <c r="M69" s="34">
        <v>0.46429941060000002</v>
      </c>
      <c r="N69" s="34">
        <v>0.47777611019999999</v>
      </c>
      <c r="O69" s="34">
        <v>1.2129596471999999</v>
      </c>
      <c r="P69" s="34">
        <v>1.2653954029000001</v>
      </c>
      <c r="Q69" s="34">
        <v>1.3213311433999999</v>
      </c>
      <c r="R69" s="34">
        <v>1.3408173323000001</v>
      </c>
      <c r="S69" s="34">
        <v>1.3645416498</v>
      </c>
      <c r="T69" s="34">
        <v>1.4029945134999999</v>
      </c>
      <c r="U69" s="34">
        <v>2.9442796706999999</v>
      </c>
      <c r="V69" s="34">
        <v>2.9476945400000001</v>
      </c>
      <c r="W69" s="34">
        <v>2.9565494061000002</v>
      </c>
      <c r="X69" s="34">
        <v>4.6975917815999999</v>
      </c>
      <c r="Y69" s="34">
        <v>5.0250887870999996</v>
      </c>
      <c r="Z69" s="34">
        <v>5.0954356193999999</v>
      </c>
      <c r="AA69" s="34">
        <v>6.4276008606000001</v>
      </c>
      <c r="AB69" s="34">
        <v>6.4134149551000004</v>
      </c>
      <c r="AC69" s="34">
        <v>6.5544838905000002</v>
      </c>
      <c r="AD69" s="34">
        <v>6.4499807357999996</v>
      </c>
      <c r="AE69" s="34">
        <v>6.5217647552000004</v>
      </c>
      <c r="AF69" s="34">
        <v>6.6637964249000001</v>
      </c>
      <c r="AG69" s="34">
        <v>6.6054062842999999</v>
      </c>
      <c r="AH69" s="128">
        <v>7.1038897000000002E-3</v>
      </c>
      <c r="AI69" s="128">
        <v>8.3052730000000002E-3</v>
      </c>
      <c r="AJ69" s="128">
        <v>8.5221528999999997E-3</v>
      </c>
      <c r="AK69" s="128">
        <v>1.93085484E-2</v>
      </c>
      <c r="AL69" s="128">
        <v>1.9570415800000001E-2</v>
      </c>
      <c r="AM69" s="128"/>
      <c r="AN69" s="128"/>
      <c r="AP69" s="57">
        <f t="shared" ref="AP69:AP73" si="27">AVERAGE(E69:J69)</f>
        <v>0.1759777665333333</v>
      </c>
      <c r="AQ69" s="57">
        <f t="shared" ref="AQ69:AQ73" si="28">AVERAGE(K69:N69)</f>
        <v>0.45628167689999999</v>
      </c>
      <c r="AR69" s="57">
        <f t="shared" ref="AR69:AR73" si="29">AVERAGE(O69:T69)</f>
        <v>1.31800661485</v>
      </c>
      <c r="AS69" s="57">
        <f t="shared" ref="AS69:AS73" si="30">AVERAGE(U69:W69)</f>
        <v>2.9495078722666666</v>
      </c>
      <c r="AT69" s="55">
        <f t="shared" ref="AT69:AT73" si="31">AVERAGE(X69:Z69)</f>
        <v>4.9393720626999995</v>
      </c>
      <c r="AU69" s="55">
        <f t="shared" ref="AU69:AU73" si="32">AVERAGE(AA69:AG69)</f>
        <v>6.5194925580571432</v>
      </c>
    </row>
    <row r="70" spans="1:51" s="31" customFormat="1">
      <c r="A70" s="66" t="s">
        <v>266</v>
      </c>
      <c r="B70" s="31">
        <v>4</v>
      </c>
      <c r="C70" s="61" t="s">
        <v>461</v>
      </c>
      <c r="D70" s="31" t="s">
        <v>314</v>
      </c>
      <c r="E70" s="34" cm="1">
        <f t="array" ref="E70:AL70">TRANSPOSE(_xlfn._xlws.FILTER('Raw Data'!DS3:DS309,('Raw Data'!C3:C309=1)*('Raw Data'!DS3:DS309&lt;&gt;"")))</f>
        <v>0.14062362910000001</v>
      </c>
      <c r="F70" s="34">
        <v>2.8208957999999999E-2</v>
      </c>
      <c r="G70" s="34">
        <v>2.6727093399999999E-2</v>
      </c>
      <c r="H70" s="34">
        <v>2.66569462E-2</v>
      </c>
      <c r="I70" s="34">
        <v>2.8087079500000001E-2</v>
      </c>
      <c r="J70" s="34">
        <v>2.93658171E-2</v>
      </c>
      <c r="K70" s="34">
        <v>9.1298513100000006E-2</v>
      </c>
      <c r="L70" s="34">
        <v>9.0627223300000004E-2</v>
      </c>
      <c r="M70" s="34">
        <v>9.4283826599999995E-2</v>
      </c>
      <c r="N70" s="34">
        <v>9.7814038399999997E-2</v>
      </c>
      <c r="O70" s="34">
        <v>0.24990247190000001</v>
      </c>
      <c r="P70" s="34">
        <v>0.25960868599999998</v>
      </c>
      <c r="Q70" s="34">
        <v>0.26911577580000001</v>
      </c>
      <c r="R70" s="34">
        <v>0.2710894942</v>
      </c>
      <c r="S70" s="34">
        <v>0.27661988139999999</v>
      </c>
      <c r="T70" s="34">
        <v>0.28268784279999998</v>
      </c>
      <c r="U70" s="34">
        <v>0.55914163589999999</v>
      </c>
      <c r="V70" s="34">
        <v>0.55993145700000002</v>
      </c>
      <c r="W70" s="34">
        <v>0.55901962520000004</v>
      </c>
      <c r="X70" s="34">
        <v>0.79076540470000001</v>
      </c>
      <c r="Y70" s="34">
        <v>0.81728440520000001</v>
      </c>
      <c r="Z70" s="34">
        <v>0.82188898320000003</v>
      </c>
      <c r="AA70" s="34">
        <v>0.92219543459999997</v>
      </c>
      <c r="AB70" s="34">
        <v>0.91801989080000002</v>
      </c>
      <c r="AC70" s="34">
        <v>0.92190635200000004</v>
      </c>
      <c r="AD70" s="34">
        <v>0.9143955708</v>
      </c>
      <c r="AE70" s="34">
        <v>0.92505979540000005</v>
      </c>
      <c r="AF70" s="34">
        <v>0.93011194470000003</v>
      </c>
      <c r="AG70" s="34">
        <v>0.923573792</v>
      </c>
      <c r="AH70" s="128">
        <v>1.3323625999999999E-3</v>
      </c>
      <c r="AI70" s="128">
        <v>1.7612308E-3</v>
      </c>
      <c r="AJ70" s="128">
        <v>1.5865988999999999E-3</v>
      </c>
      <c r="AK70" s="128">
        <v>3.4181003E-3</v>
      </c>
      <c r="AL70" s="128">
        <v>3.5686671999999998E-3</v>
      </c>
      <c r="AM70" s="128"/>
      <c r="AN70" s="128"/>
      <c r="AP70" s="57">
        <f t="shared" si="27"/>
        <v>4.6611587216666667E-2</v>
      </c>
      <c r="AQ70" s="57">
        <f t="shared" si="28"/>
        <v>9.3505900350000004E-2</v>
      </c>
      <c r="AR70" s="57">
        <f t="shared" si="29"/>
        <v>0.26817069201666666</v>
      </c>
      <c r="AS70" s="57">
        <f t="shared" si="30"/>
        <v>0.55936423936666657</v>
      </c>
      <c r="AT70" s="55">
        <f t="shared" si="31"/>
        <v>0.80997959769999994</v>
      </c>
      <c r="AU70" s="55">
        <f t="shared" si="32"/>
        <v>0.92218039718571432</v>
      </c>
    </row>
    <row r="71" spans="1:51" s="31" customFormat="1">
      <c r="A71" s="66" t="s">
        <v>267</v>
      </c>
      <c r="B71" s="31">
        <v>5</v>
      </c>
      <c r="C71" s="61" t="s">
        <v>462</v>
      </c>
      <c r="D71" s="31" t="s">
        <v>314</v>
      </c>
      <c r="E71" s="34" cm="1">
        <f t="array" ref="E71:AL71">TRANSPOSE(_xlfn._xlws.FILTER('Raw Data'!DT3:DT310,('Raw Data'!C3:C310=1)*('Raw Data'!DT3:DT310&lt;&gt;"")))</f>
        <v>0.4381979406</v>
      </c>
      <c r="F71" s="34">
        <v>5.6098610200000003E-2</v>
      </c>
      <c r="G71" s="34">
        <v>5.1457315699999999E-2</v>
      </c>
      <c r="H71" s="34">
        <v>3.9213504599999997E-2</v>
      </c>
      <c r="I71" s="34">
        <v>3.9605956499999997E-2</v>
      </c>
      <c r="J71" s="34">
        <v>4.1656531400000002E-2</v>
      </c>
      <c r="K71" s="34">
        <v>0.1203897595</v>
      </c>
      <c r="L71" s="34">
        <v>0.12050464</v>
      </c>
      <c r="M71" s="34">
        <v>0.12511008979999999</v>
      </c>
      <c r="N71" s="34">
        <v>0.12849871809999999</v>
      </c>
      <c r="O71" s="34">
        <v>0.31558349730000002</v>
      </c>
      <c r="P71" s="34">
        <v>0.32670581339999999</v>
      </c>
      <c r="Q71" s="34">
        <v>0.34041967989999999</v>
      </c>
      <c r="R71" s="34">
        <v>0.34202930329999998</v>
      </c>
      <c r="S71" s="34">
        <v>0.34675592179999998</v>
      </c>
      <c r="T71" s="34">
        <v>0.35510200260000002</v>
      </c>
      <c r="U71" s="34">
        <v>0.67911005020000004</v>
      </c>
      <c r="V71" s="34">
        <v>0.67720717190000002</v>
      </c>
      <c r="W71" s="34">
        <v>0.67815220359999995</v>
      </c>
      <c r="X71" s="34">
        <v>0.93064987659999998</v>
      </c>
      <c r="Y71" s="34">
        <v>0.96054583790000003</v>
      </c>
      <c r="Z71" s="34">
        <v>0.96319532389999996</v>
      </c>
      <c r="AA71" s="34">
        <v>1.1108595133000001</v>
      </c>
      <c r="AB71" s="34">
        <v>1.1078499556000001</v>
      </c>
      <c r="AC71" s="34">
        <v>1.1277673243999999</v>
      </c>
      <c r="AD71" s="34">
        <v>1.1164332628</v>
      </c>
      <c r="AE71" s="34">
        <v>1.1298562288</v>
      </c>
      <c r="AF71" s="34">
        <v>1.1505753994000001</v>
      </c>
      <c r="AG71" s="34">
        <v>1.1515655518000001</v>
      </c>
      <c r="AH71" s="128">
        <v>2.6433024999999999E-3</v>
      </c>
      <c r="AI71" s="128">
        <v>2.8013536000000001E-3</v>
      </c>
      <c r="AJ71" s="128">
        <v>2.8844640999999998E-3</v>
      </c>
      <c r="AK71" s="128">
        <v>5.332781E-3</v>
      </c>
      <c r="AL71" s="128">
        <v>5.9910919999999999E-3</v>
      </c>
      <c r="AM71" s="128"/>
      <c r="AN71" s="128"/>
      <c r="AP71" s="57">
        <f t="shared" si="27"/>
        <v>0.11103830983333333</v>
      </c>
      <c r="AQ71" s="57">
        <f t="shared" si="28"/>
        <v>0.12362580184999999</v>
      </c>
      <c r="AR71" s="57">
        <f t="shared" si="29"/>
        <v>0.3377660363833333</v>
      </c>
      <c r="AS71" s="57">
        <f t="shared" si="30"/>
        <v>0.67815647523333322</v>
      </c>
      <c r="AT71" s="55">
        <f t="shared" si="31"/>
        <v>0.95146367946666677</v>
      </c>
      <c r="AU71" s="55">
        <f t="shared" si="32"/>
        <v>1.1278438908714286</v>
      </c>
    </row>
    <row r="72" spans="1:51" s="31" customFormat="1">
      <c r="A72" s="66" t="s">
        <v>268</v>
      </c>
      <c r="B72" s="31">
        <v>5</v>
      </c>
      <c r="C72" s="61" t="s">
        <v>461</v>
      </c>
      <c r="D72" s="31" t="s">
        <v>314</v>
      </c>
      <c r="E72" s="34" cm="1">
        <f t="array" ref="E72:AL72">TRANSPOSE(_xlfn._xlws.FILTER('Raw Data'!DU3:DU311,('Raw Data'!C3:C311=1)*('Raw Data'!DU3:DU311&lt;&gt;"")))</f>
        <v>0.26516556740000002</v>
      </c>
      <c r="F72" s="34">
        <v>1.36994608E-2</v>
      </c>
      <c r="G72" s="34">
        <v>1.0590940700000001E-2</v>
      </c>
      <c r="H72" s="34">
        <v>4.0685236000000003E-3</v>
      </c>
      <c r="I72" s="34">
        <v>3.4615180999999998E-3</v>
      </c>
      <c r="J72" s="34">
        <v>3.5672503999999998E-3</v>
      </c>
      <c r="K72" s="34">
        <v>8.2244193000000007E-3</v>
      </c>
      <c r="L72" s="34">
        <v>8.2754204000000005E-3</v>
      </c>
      <c r="M72" s="34">
        <v>8.8263005000000002E-3</v>
      </c>
      <c r="N72" s="34">
        <v>8.9503722000000008E-3</v>
      </c>
      <c r="O72" s="34">
        <v>2.4919325499999999E-2</v>
      </c>
      <c r="P72" s="34">
        <v>2.6350032499999999E-2</v>
      </c>
      <c r="Q72" s="34">
        <v>2.7657285300000001E-2</v>
      </c>
      <c r="R72" s="34">
        <v>2.8431139899999999E-2</v>
      </c>
      <c r="S72" s="34">
        <v>2.9096141499999999E-2</v>
      </c>
      <c r="T72" s="34">
        <v>3.01900711E-2</v>
      </c>
      <c r="U72" s="34">
        <v>8.0897860200000005E-2</v>
      </c>
      <c r="V72" s="34">
        <v>8.0956466500000004E-2</v>
      </c>
      <c r="W72" s="34">
        <v>8.2024581700000002E-2</v>
      </c>
      <c r="X72" s="34">
        <v>0.1672979742</v>
      </c>
      <c r="Y72" s="34">
        <v>0.1838178188</v>
      </c>
      <c r="Z72" s="34">
        <v>0.1888367832</v>
      </c>
      <c r="AA72" s="34">
        <v>0.26534712310000003</v>
      </c>
      <c r="AB72" s="34">
        <v>0.26572614909999998</v>
      </c>
      <c r="AC72" s="34">
        <v>0.27755817770000002</v>
      </c>
      <c r="AD72" s="34">
        <v>0.27178731560000002</v>
      </c>
      <c r="AE72" s="34">
        <v>0.27620545029999999</v>
      </c>
      <c r="AF72" s="34">
        <v>0.28940925000000001</v>
      </c>
      <c r="AG72" s="34">
        <v>0.28776842359999999</v>
      </c>
      <c r="AH72" s="128">
        <v>9.7905739999999989E-4</v>
      </c>
      <c r="AI72" s="128">
        <v>6.9838099999999998E-4</v>
      </c>
      <c r="AJ72" s="128">
        <v>4.6205420000000001E-4</v>
      </c>
      <c r="AK72" s="128">
        <v>9.5001310000000002E-4</v>
      </c>
      <c r="AL72" s="128">
        <v>7.4595219999999999E-4</v>
      </c>
      <c r="AM72" s="128"/>
      <c r="AN72" s="128"/>
      <c r="AP72" s="57">
        <f t="shared" si="27"/>
        <v>5.0092210166666672E-2</v>
      </c>
      <c r="AQ72" s="57">
        <f t="shared" si="28"/>
        <v>8.5691281000000001E-3</v>
      </c>
      <c r="AR72" s="57">
        <f t="shared" si="29"/>
        <v>2.7773999300000001E-2</v>
      </c>
      <c r="AS72" s="57">
        <f t="shared" si="30"/>
        <v>8.1292969466666656E-2</v>
      </c>
      <c r="AT72" s="55">
        <f t="shared" si="31"/>
        <v>0.17998419206666669</v>
      </c>
      <c r="AU72" s="55">
        <f t="shared" si="32"/>
        <v>0.27625741277142862</v>
      </c>
    </row>
    <row r="73" spans="1:51" s="31" customFormat="1">
      <c r="A73" s="66" t="s">
        <v>269</v>
      </c>
      <c r="B73" s="31">
        <v>6</v>
      </c>
      <c r="C73" s="61" t="s">
        <v>462</v>
      </c>
      <c r="D73" s="31" t="s">
        <v>314</v>
      </c>
      <c r="E73" s="34" cm="1">
        <f t="array" ref="E73:AL73">TRANSPOSE(_xlfn._xlws.FILTER('Raw Data'!DV3:DV312,('Raw Data'!C3:C312=1)*('Raw Data'!DV3:DV312&lt;&gt;"")))</f>
        <v>3.2030973599999998E-2</v>
      </c>
      <c r="F73" s="34">
        <v>3.26203033E-2</v>
      </c>
      <c r="G73" s="34">
        <v>3.20282988E-2</v>
      </c>
      <c r="H73" s="34">
        <v>2.6913324400000001E-2</v>
      </c>
      <c r="I73" s="34">
        <v>2.7750790099999999E-2</v>
      </c>
      <c r="J73" s="34">
        <v>2.95304656E-2</v>
      </c>
      <c r="K73" s="34">
        <v>8.6422771199999998E-2</v>
      </c>
      <c r="L73" s="34">
        <v>8.7346911400000005E-2</v>
      </c>
      <c r="M73" s="34">
        <v>9.15044993E-2</v>
      </c>
      <c r="N73" s="34">
        <v>9.2701263699999994E-2</v>
      </c>
      <c r="O73" s="34">
        <v>0.26418942210000002</v>
      </c>
      <c r="P73" s="34">
        <v>0.27787417170000001</v>
      </c>
      <c r="Q73" s="34">
        <v>0.2891548276</v>
      </c>
      <c r="R73" s="34">
        <v>0.30435621740000002</v>
      </c>
      <c r="S73" s="34">
        <v>0.2885963023</v>
      </c>
      <c r="T73" s="34">
        <v>0.29582017659999998</v>
      </c>
      <c r="U73" s="34">
        <v>0.84428304430000001</v>
      </c>
      <c r="V73" s="34">
        <v>0.83052837850000005</v>
      </c>
      <c r="W73" s="34">
        <v>0.82816642519999994</v>
      </c>
      <c r="X73" s="34">
        <v>1.9237961769</v>
      </c>
      <c r="Y73" s="34">
        <v>2.1508631706000001</v>
      </c>
      <c r="Z73" s="34">
        <v>2.1863572597999998</v>
      </c>
      <c r="AA73" s="34">
        <v>3.2935266495</v>
      </c>
      <c r="AB73" s="34">
        <v>3.2540063857999999</v>
      </c>
      <c r="AC73" s="34">
        <v>3.3930842875999998</v>
      </c>
      <c r="AD73" s="34">
        <v>3.1884424685999999</v>
      </c>
      <c r="AE73" s="34">
        <v>3.2126243113999999</v>
      </c>
      <c r="AF73" s="34">
        <v>3.3489766121</v>
      </c>
      <c r="AG73" s="34">
        <v>3.2397155762000001</v>
      </c>
      <c r="AH73" s="128">
        <v>1.3912254E-3</v>
      </c>
      <c r="AI73" s="128">
        <v>1.4879184999999999E-3</v>
      </c>
      <c r="AJ73" s="128">
        <v>1.2141551E-3</v>
      </c>
      <c r="AK73" s="128">
        <v>3.0996022E-3</v>
      </c>
      <c r="AL73" s="128">
        <v>2.9569010000000001E-3</v>
      </c>
      <c r="AM73" s="128"/>
      <c r="AN73" s="128"/>
      <c r="AP73" s="57">
        <f t="shared" si="27"/>
        <v>3.0145692633333332E-2</v>
      </c>
      <c r="AQ73" s="57">
        <f t="shared" si="28"/>
        <v>8.9493861399999999E-2</v>
      </c>
      <c r="AR73" s="57">
        <f t="shared" si="29"/>
        <v>0.28666518628333332</v>
      </c>
      <c r="AS73" s="57">
        <f t="shared" si="30"/>
        <v>0.83432594933333337</v>
      </c>
      <c r="AT73" s="55">
        <f t="shared" si="31"/>
        <v>2.0870055357666666</v>
      </c>
      <c r="AU73" s="55">
        <f t="shared" si="32"/>
        <v>3.2757680415999997</v>
      </c>
    </row>
    <row r="74" spans="1:51" s="31" customFormat="1">
      <c r="A74" s="66" t="s">
        <v>270</v>
      </c>
      <c r="B74" s="31">
        <v>6</v>
      </c>
      <c r="C74" s="61" t="s">
        <v>462</v>
      </c>
      <c r="D74" s="31" t="s">
        <v>314</v>
      </c>
      <c r="E74" s="34" cm="1">
        <f t="array" ref="E74:AL74">TRANSPOSE(_xlfn._xlws.FILTER('Raw Data'!DW3:DW313,('Raw Data'!C3:C313=1)*('Raw Data'!DW3:DW313&lt;&gt;"")))</f>
        <v>0.1674765795</v>
      </c>
      <c r="F74" s="34">
        <v>0.18171834949999999</v>
      </c>
      <c r="G74" s="34">
        <v>0.1788240522</v>
      </c>
      <c r="H74" s="34">
        <v>0.1445011497</v>
      </c>
      <c r="I74" s="34">
        <v>0.14801484349999999</v>
      </c>
      <c r="J74" s="34">
        <v>0.15508167449999999</v>
      </c>
      <c r="K74" s="34">
        <v>0.40716254709999999</v>
      </c>
      <c r="L74" s="34">
        <v>0.40570300819999999</v>
      </c>
      <c r="M74" s="34">
        <v>0.42000710959999998</v>
      </c>
      <c r="N74" s="34">
        <v>0.4258244336</v>
      </c>
      <c r="O74" s="34">
        <v>1.0222948789999999</v>
      </c>
      <c r="P74" s="34">
        <v>1.0702557563999999</v>
      </c>
      <c r="Q74" s="34">
        <v>1.1031240225000001</v>
      </c>
      <c r="R74" s="34">
        <v>1.0964928865000001</v>
      </c>
      <c r="S74" s="34">
        <v>1.0901670456000001</v>
      </c>
      <c r="T74" s="34">
        <v>1.1078507900000001</v>
      </c>
      <c r="U74" s="34">
        <v>2.5196931361999999</v>
      </c>
      <c r="V74" s="34">
        <v>2.4948322773</v>
      </c>
      <c r="W74" s="34">
        <v>2.4807965754999999</v>
      </c>
      <c r="X74" s="34">
        <v>4.1918821335000001</v>
      </c>
      <c r="Y74" s="34">
        <v>4.7548513412000002</v>
      </c>
      <c r="Z74" s="34">
        <v>4.8064918517999997</v>
      </c>
      <c r="AA74" s="34">
        <v>5.9949784278999996</v>
      </c>
      <c r="AB74" s="34">
        <v>5.9663424491999999</v>
      </c>
      <c r="AC74" s="34">
        <v>6.0951313972000003</v>
      </c>
      <c r="AD74" s="34">
        <v>5.9280996323000004</v>
      </c>
      <c r="AE74" s="34">
        <v>5.9504599570999996</v>
      </c>
      <c r="AF74" s="34">
        <v>6.0682744980000001</v>
      </c>
      <c r="AG74" s="34">
        <v>5.9712705611999999</v>
      </c>
      <c r="AH74" s="128">
        <v>9.2760156999999992E-3</v>
      </c>
      <c r="AI74" s="128">
        <v>9.25868E-3</v>
      </c>
      <c r="AJ74" s="128">
        <v>9.8854358999999996E-3</v>
      </c>
      <c r="AK74" s="128">
        <v>1.7979648000000001E-2</v>
      </c>
      <c r="AL74" s="128">
        <v>1.8423607599999999E-2</v>
      </c>
      <c r="AM74" s="128"/>
      <c r="AN74" s="128"/>
      <c r="AP74" s="57">
        <f t="shared" ref="AP74:AP86" si="33">AVERAGE(E74:J74)</f>
        <v>0.16260277481666666</v>
      </c>
      <c r="AQ74" s="57">
        <f t="shared" ref="AQ74:AQ86" si="34">AVERAGE(K74:N74)</f>
        <v>0.41467427462499995</v>
      </c>
      <c r="AR74" s="57">
        <f t="shared" ref="AR74:AR86" si="35">AVERAGE(O74:T74)</f>
        <v>1.0816975633333332</v>
      </c>
      <c r="AS74" s="57">
        <f t="shared" ref="AS74:AS86" si="36">AVERAGE(U74:W74)</f>
        <v>2.4984406629999998</v>
      </c>
      <c r="AT74" s="55">
        <f t="shared" ref="AT74:AT86" si="37">AVERAGE(X74:Z74)</f>
        <v>4.5844084421666667</v>
      </c>
      <c r="AU74" s="55">
        <f t="shared" ref="AU74:AU86" si="38">AVERAGE(AA74:AG74)</f>
        <v>5.9963652746999996</v>
      </c>
    </row>
    <row r="75" spans="1:51" s="31" customFormat="1">
      <c r="A75" s="66" t="s">
        <v>169</v>
      </c>
      <c r="B75" s="31">
        <v>6</v>
      </c>
      <c r="C75" s="61" t="s">
        <v>462</v>
      </c>
      <c r="D75" s="31" t="s">
        <v>314</v>
      </c>
      <c r="E75" s="34" cm="1">
        <f t="array" ref="E75:AL75">TRANSPOSE(_xlfn._xlws.FILTER('Raw Data'!DX3:DX314,('Raw Data'!C3:C314=1)*('Raw Data'!DX3:DX314&lt;&gt;"")))</f>
        <v>1.4466472864</v>
      </c>
      <c r="F75" s="34">
        <v>1.6962819098999999</v>
      </c>
      <c r="G75" s="34">
        <v>1.6594604254</v>
      </c>
      <c r="H75" s="34">
        <v>1.3881416321</v>
      </c>
      <c r="I75" s="34">
        <v>1.3712409735</v>
      </c>
      <c r="J75" s="34">
        <v>1.4152885675</v>
      </c>
      <c r="K75" s="34">
        <v>3.2732822895</v>
      </c>
      <c r="L75" s="34">
        <v>3.2642359733999999</v>
      </c>
      <c r="M75" s="34">
        <v>3.3010311127</v>
      </c>
      <c r="N75" s="34">
        <v>3.3116846084999998</v>
      </c>
      <c r="O75" s="34">
        <v>6.9906592369</v>
      </c>
      <c r="P75" s="34">
        <v>7.1651282309999997</v>
      </c>
      <c r="Q75" s="34">
        <v>7.2913951874</v>
      </c>
      <c r="R75" s="34">
        <v>7.1550559998000001</v>
      </c>
      <c r="S75" s="34">
        <v>7.0662293433999999</v>
      </c>
      <c r="T75" s="34">
        <v>7.1196408271999996</v>
      </c>
      <c r="U75" s="34">
        <v>13.9774370193</v>
      </c>
      <c r="V75" s="34">
        <v>13.8005046844</v>
      </c>
      <c r="W75" s="34">
        <v>13.664483070399999</v>
      </c>
      <c r="X75" s="34">
        <v>19.8910694122</v>
      </c>
      <c r="Y75" s="34">
        <v>22.264488220200001</v>
      </c>
      <c r="Z75" s="34">
        <v>22.385171890300001</v>
      </c>
      <c r="AA75" s="34">
        <v>25.9165077209</v>
      </c>
      <c r="AB75" s="34">
        <v>25.7746276855</v>
      </c>
      <c r="AC75" s="34">
        <v>26.093280792200002</v>
      </c>
      <c r="AD75" s="34">
        <v>25.580274581899999</v>
      </c>
      <c r="AE75" s="34">
        <v>25.607950210599999</v>
      </c>
      <c r="AF75" s="34">
        <v>25.906270980799999</v>
      </c>
      <c r="AG75" s="34">
        <v>25.5920028687</v>
      </c>
      <c r="AH75" s="128">
        <v>0.1131386831</v>
      </c>
      <c r="AI75" s="128">
        <v>0.1125541255</v>
      </c>
      <c r="AJ75" s="128">
        <v>0.1155133173</v>
      </c>
      <c r="AK75" s="128">
        <v>0.17303591970000001</v>
      </c>
      <c r="AL75" s="128">
        <v>0.17926530539999999</v>
      </c>
      <c r="AM75" s="128"/>
      <c r="AN75" s="128"/>
      <c r="AP75" s="57">
        <f t="shared" si="33"/>
        <v>1.4961767991333332</v>
      </c>
      <c r="AQ75" s="57">
        <f t="shared" si="34"/>
        <v>3.2875584960249999</v>
      </c>
      <c r="AR75" s="57">
        <f t="shared" si="35"/>
        <v>7.1313514709500012</v>
      </c>
      <c r="AS75" s="57">
        <f t="shared" si="36"/>
        <v>13.814141591366669</v>
      </c>
      <c r="AT75" s="55">
        <f t="shared" si="37"/>
        <v>21.513576507566668</v>
      </c>
      <c r="AU75" s="55">
        <f t="shared" si="38"/>
        <v>25.78155926294286</v>
      </c>
    </row>
    <row r="76" spans="1:51" s="31" customFormat="1">
      <c r="A76" s="66" t="s">
        <v>171</v>
      </c>
      <c r="B76" s="31">
        <v>6</v>
      </c>
      <c r="C76" s="61" t="s">
        <v>462</v>
      </c>
      <c r="D76" s="31" t="s">
        <v>314</v>
      </c>
      <c r="E76" s="34" cm="1">
        <f t="array" ref="E76:AL76">TRANSPOSE(_xlfn._xlws.FILTER('Raw Data'!DY3:DY315,('Raw Data'!C3:C315=1)*('Raw Data'!DY3:DY315&lt;&gt;"")))</f>
        <v>1.0993727445999999</v>
      </c>
      <c r="F76" s="34">
        <v>1.3002862930000001</v>
      </c>
      <c r="G76" s="34">
        <v>1.2758364677</v>
      </c>
      <c r="H76" s="34">
        <v>1.1206179857</v>
      </c>
      <c r="I76" s="34">
        <v>1.1094882488</v>
      </c>
      <c r="J76" s="34">
        <v>1.1249793768</v>
      </c>
      <c r="K76" s="34">
        <v>2.1818628311000001</v>
      </c>
      <c r="L76" s="34">
        <v>2.179484129</v>
      </c>
      <c r="M76" s="34">
        <v>2.1924576759000001</v>
      </c>
      <c r="N76" s="34">
        <v>2.1920204163000001</v>
      </c>
      <c r="O76" s="34">
        <v>4.3749589919999998</v>
      </c>
      <c r="P76" s="34">
        <v>4.4730014800999998</v>
      </c>
      <c r="Q76" s="34">
        <v>4.5526366233999997</v>
      </c>
      <c r="R76" s="34">
        <v>4.4623880386000003</v>
      </c>
      <c r="S76" s="34">
        <v>4.3916559219</v>
      </c>
      <c r="T76" s="34">
        <v>4.4148750305000002</v>
      </c>
      <c r="U76" s="34">
        <v>8.7431430816999995</v>
      </c>
      <c r="V76" s="34">
        <v>8.6219291686999995</v>
      </c>
      <c r="W76" s="34">
        <v>8.5288705825999998</v>
      </c>
      <c r="X76" s="34">
        <v>12.640666961699999</v>
      </c>
      <c r="Y76" s="34">
        <v>14.123113632200001</v>
      </c>
      <c r="Z76" s="34">
        <v>14.195774078399999</v>
      </c>
      <c r="AA76" s="34">
        <v>16.415550231899999</v>
      </c>
      <c r="AB76" s="34">
        <v>16.319261550899999</v>
      </c>
      <c r="AC76" s="34">
        <v>16.530906677200001</v>
      </c>
      <c r="AD76" s="34">
        <v>16.178789138799999</v>
      </c>
      <c r="AE76" s="34">
        <v>16.194597244299999</v>
      </c>
      <c r="AF76" s="34">
        <v>16.401506424000001</v>
      </c>
      <c r="AG76" s="34">
        <v>16.183805465700001</v>
      </c>
      <c r="AH76" s="128">
        <v>0.40443506839999999</v>
      </c>
      <c r="AI76" s="128">
        <v>0.4053278267</v>
      </c>
      <c r="AJ76" s="128">
        <v>0.40713548659999999</v>
      </c>
      <c r="AK76" s="128">
        <v>0.42800906300000002</v>
      </c>
      <c r="AL76" s="128">
        <v>0.4295361936</v>
      </c>
      <c r="AM76" s="128"/>
      <c r="AN76" s="128"/>
      <c r="AP76" s="57">
        <f t="shared" si="33"/>
        <v>1.1717635194333333</v>
      </c>
      <c r="AQ76" s="57">
        <f t="shared" si="34"/>
        <v>2.1864562630750002</v>
      </c>
      <c r="AR76" s="57">
        <f t="shared" si="35"/>
        <v>4.44491934775</v>
      </c>
      <c r="AS76" s="57">
        <f t="shared" si="36"/>
        <v>8.6313142776666663</v>
      </c>
      <c r="AT76" s="55">
        <f t="shared" si="37"/>
        <v>13.653184890766667</v>
      </c>
      <c r="AU76" s="55">
        <f t="shared" si="38"/>
        <v>16.317773818971428</v>
      </c>
    </row>
    <row r="77" spans="1:51" s="31" customFormat="1">
      <c r="A77" s="66" t="s">
        <v>174</v>
      </c>
      <c r="B77" s="31">
        <v>6</v>
      </c>
      <c r="C77" s="61" t="s">
        <v>461</v>
      </c>
      <c r="D77" s="31" t="s">
        <v>314</v>
      </c>
      <c r="E77" s="34" cm="1">
        <f t="array" ref="E77:AL77">TRANSPOSE(_xlfn._xlws.FILTER('Raw Data'!DZ3:DZ317,('Raw Data'!C3:C317=1)*('Raw Data'!DZ3:DZ317&lt;&gt;"")))</f>
        <v>81.202682495100007</v>
      </c>
      <c r="F77" s="34">
        <v>83.128791809099994</v>
      </c>
      <c r="G77" s="34">
        <v>83.191078185999999</v>
      </c>
      <c r="H77" s="34">
        <v>82.041404724100005</v>
      </c>
      <c r="I77" s="34">
        <v>81.975868225100001</v>
      </c>
      <c r="J77" s="34">
        <v>81.909362793</v>
      </c>
      <c r="K77" s="34">
        <v>78.563499450699993</v>
      </c>
      <c r="L77" s="34">
        <v>78.580566406299994</v>
      </c>
      <c r="M77" s="34">
        <v>78.506843566900002</v>
      </c>
      <c r="N77" s="34">
        <v>78.491806030299998</v>
      </c>
      <c r="O77" s="34">
        <v>71.664413452100007</v>
      </c>
      <c r="P77" s="34">
        <v>71.283729553200004</v>
      </c>
      <c r="Q77" s="34">
        <v>71.064567565900006</v>
      </c>
      <c r="R77" s="34">
        <v>71.225250244099996</v>
      </c>
      <c r="S77" s="34">
        <v>71.324981689500007</v>
      </c>
      <c r="T77" s="34">
        <v>71.236289978000002</v>
      </c>
      <c r="U77" s="34">
        <v>57.770801544199998</v>
      </c>
      <c r="V77" s="34">
        <v>58.105987548800002</v>
      </c>
      <c r="W77" s="34">
        <v>58.378776550300003</v>
      </c>
      <c r="X77" s="34">
        <v>44.248222351099997</v>
      </c>
      <c r="Y77" s="34">
        <v>40.223102569600002</v>
      </c>
      <c r="Z77" s="34">
        <v>39.964344024699997</v>
      </c>
      <c r="AA77" s="34">
        <v>31.500936508199999</v>
      </c>
      <c r="AB77" s="34">
        <v>31.855785369900001</v>
      </c>
      <c r="AC77" s="34">
        <v>31.0216560364</v>
      </c>
      <c r="AD77" s="34">
        <v>32.331592559800001</v>
      </c>
      <c r="AE77" s="34">
        <v>32.166976928700002</v>
      </c>
      <c r="AF77" s="34">
        <v>31.3378181458</v>
      </c>
      <c r="AG77" s="34">
        <v>32.113063812299998</v>
      </c>
      <c r="AH77" s="128">
        <v>83.619384765600003</v>
      </c>
      <c r="AI77" s="128">
        <v>83.679748535200005</v>
      </c>
      <c r="AJ77" s="128">
        <v>83.874145507799994</v>
      </c>
      <c r="AK77" s="128">
        <v>83.818847656299994</v>
      </c>
      <c r="AL77" s="128">
        <v>83.768028259299996</v>
      </c>
      <c r="AM77" s="128"/>
      <c r="AN77" s="128"/>
      <c r="AP77" s="57">
        <f t="shared" si="33"/>
        <v>82.24153137206666</v>
      </c>
      <c r="AQ77" s="57">
        <f t="shared" si="34"/>
        <v>78.53567886354999</v>
      </c>
      <c r="AR77" s="57">
        <f t="shared" si="35"/>
        <v>71.29987208046667</v>
      </c>
      <c r="AS77" s="57">
        <f t="shared" si="36"/>
        <v>58.08518854776667</v>
      </c>
      <c r="AT77" s="55">
        <f t="shared" si="37"/>
        <v>41.478556315133332</v>
      </c>
      <c r="AU77" s="55">
        <f t="shared" si="38"/>
        <v>31.761118480157144</v>
      </c>
    </row>
    <row r="78" spans="1:51" s="31" customFormat="1">
      <c r="A78" s="66" t="s">
        <v>272</v>
      </c>
      <c r="B78" s="31">
        <v>6</v>
      </c>
      <c r="C78" s="61" t="s">
        <v>463</v>
      </c>
      <c r="D78" s="31" t="s">
        <v>314</v>
      </c>
      <c r="E78" s="34" cm="1">
        <f t="array" ref="E78:AL78">TRANSPOSE(_xlfn._xlws.FILTER('Raw Data'!EB3:EB318,('Raw Data'!C3:C318=1)*('Raw Data'!EB3:EB318&lt;&gt;"")))</f>
        <v>0.45945701</v>
      </c>
      <c r="F78" s="34">
        <v>0.46302661299999998</v>
      </c>
      <c r="G78" s="34">
        <v>0.45929023619999998</v>
      </c>
      <c r="H78" s="34">
        <v>0.464897424</v>
      </c>
      <c r="I78" s="34">
        <v>0.45779651399999999</v>
      </c>
      <c r="J78" s="34">
        <v>0.45366245509999997</v>
      </c>
      <c r="K78" s="34">
        <v>0.38977667690000001</v>
      </c>
      <c r="L78" s="34">
        <v>0.38880208129999999</v>
      </c>
      <c r="M78" s="34">
        <v>0.37820169329999997</v>
      </c>
      <c r="N78" s="34">
        <v>0.37633293870000001</v>
      </c>
      <c r="O78" s="34">
        <v>0.33631527420000001</v>
      </c>
      <c r="P78" s="34">
        <v>0.33785924319999999</v>
      </c>
      <c r="Q78" s="34">
        <v>0.32736662030000002</v>
      </c>
      <c r="R78" s="34">
        <v>0.32267037030000001</v>
      </c>
      <c r="S78" s="34">
        <v>0.3200514317</v>
      </c>
      <c r="T78" s="34">
        <v>0.3176248968</v>
      </c>
      <c r="U78" s="34">
        <v>0.326580435</v>
      </c>
      <c r="V78" s="34">
        <v>0.32614663240000002</v>
      </c>
      <c r="W78" s="34">
        <v>0.32224363090000002</v>
      </c>
      <c r="X78" s="34">
        <v>0.3159541488</v>
      </c>
      <c r="Y78" s="34">
        <v>0.31441470980000003</v>
      </c>
      <c r="Z78" s="34">
        <v>0.31215089559999998</v>
      </c>
      <c r="AA78" s="34">
        <v>0.27751398090000001</v>
      </c>
      <c r="AB78" s="34">
        <v>0.27576416729999997</v>
      </c>
      <c r="AC78" s="34">
        <v>0.26965883369999999</v>
      </c>
      <c r="AD78" s="34">
        <v>0.27060264350000002</v>
      </c>
      <c r="AE78" s="34">
        <v>0.26895633340000002</v>
      </c>
      <c r="AF78" s="34">
        <v>0.26286590100000001</v>
      </c>
      <c r="AG78" s="34">
        <v>0.26212143900000001</v>
      </c>
      <c r="AH78" s="128">
        <v>0.54009270669999998</v>
      </c>
      <c r="AI78" s="128">
        <v>5.1942601800000002E-2</v>
      </c>
      <c r="AJ78" s="128">
        <v>6.4287558199999997E-2</v>
      </c>
      <c r="AK78" s="128">
        <v>0.50107568499999999</v>
      </c>
      <c r="AL78" s="128">
        <v>0.51991784569999999</v>
      </c>
      <c r="AM78" s="128"/>
      <c r="AN78" s="128"/>
      <c r="AP78" s="57">
        <f t="shared" si="33"/>
        <v>0.45968837538333335</v>
      </c>
      <c r="AQ78" s="57">
        <f t="shared" si="34"/>
        <v>0.38327834755000001</v>
      </c>
      <c r="AR78" s="57">
        <f t="shared" si="35"/>
        <v>0.32698130608333337</v>
      </c>
      <c r="AS78" s="57">
        <f t="shared" si="36"/>
        <v>0.32499023276666672</v>
      </c>
      <c r="AT78" s="55">
        <f t="shared" si="37"/>
        <v>0.31417325140000002</v>
      </c>
      <c r="AU78" s="55">
        <f t="shared" si="38"/>
        <v>0.26964047125714286</v>
      </c>
    </row>
    <row r="79" spans="1:51" s="31" customFormat="1">
      <c r="A79" s="66" t="s">
        <v>273</v>
      </c>
      <c r="B79" s="31">
        <v>7</v>
      </c>
      <c r="C79" s="61" t="s">
        <v>462</v>
      </c>
      <c r="D79" s="31" t="s">
        <v>314</v>
      </c>
      <c r="E79" s="34" cm="1">
        <f t="array" ref="E79:AL79">TRANSPOSE(_xlfn._xlws.FILTER('Raw Data'!EC3:EC319,('Raw Data'!C3:C319=1)*('Raw Data'!EC3:EC319&lt;&gt;"")))</f>
        <v>0.50759774449999995</v>
      </c>
      <c r="F79" s="34">
        <v>0.49657970670000001</v>
      </c>
      <c r="G79" s="34">
        <v>0.48806637530000002</v>
      </c>
      <c r="H79" s="34">
        <v>0.43259590860000002</v>
      </c>
      <c r="I79" s="34">
        <v>0.42489391570000001</v>
      </c>
      <c r="J79" s="34">
        <v>0.43346750740000001</v>
      </c>
      <c r="K79" s="34">
        <v>0.84653162959999995</v>
      </c>
      <c r="L79" s="34">
        <v>0.84508460760000004</v>
      </c>
      <c r="M79" s="34">
        <v>0.84325522180000001</v>
      </c>
      <c r="N79" s="34">
        <v>0.839815855</v>
      </c>
      <c r="O79" s="34">
        <v>1.3514834642</v>
      </c>
      <c r="P79" s="34">
        <v>1.3557753562999999</v>
      </c>
      <c r="Q79" s="34">
        <v>1.3565151690999999</v>
      </c>
      <c r="R79" s="34">
        <v>1.3296303749</v>
      </c>
      <c r="S79" s="34">
        <v>1.3147184849</v>
      </c>
      <c r="T79" s="34">
        <v>1.3102099894999999</v>
      </c>
      <c r="U79" s="34">
        <v>1.6300723553000001</v>
      </c>
      <c r="V79" s="34">
        <v>1.6127756834</v>
      </c>
      <c r="W79" s="34">
        <v>1.5943608283999999</v>
      </c>
      <c r="X79" s="34">
        <v>1.3640387058000001</v>
      </c>
      <c r="Y79" s="34">
        <v>1.2935571670999999</v>
      </c>
      <c r="Z79" s="34">
        <v>1.2638492584000001</v>
      </c>
      <c r="AA79" s="34">
        <v>0.87642502779999998</v>
      </c>
      <c r="AB79" s="34">
        <v>0.87010604140000003</v>
      </c>
      <c r="AC79" s="34">
        <v>0.82400751110000003</v>
      </c>
      <c r="AD79" s="34">
        <v>0.84619188310000004</v>
      </c>
      <c r="AE79" s="34">
        <v>0.83311313389999997</v>
      </c>
      <c r="AF79" s="34">
        <v>0.79306060079999996</v>
      </c>
      <c r="AG79" s="34">
        <v>0.80579048399999997</v>
      </c>
      <c r="AH79" s="128">
        <v>3.0737280799999999E-2</v>
      </c>
      <c r="AI79" s="128">
        <v>2.9789459000000001E-2</v>
      </c>
      <c r="AJ79" s="128">
        <v>3.0341621499999999E-2</v>
      </c>
      <c r="AK79" s="128">
        <v>5.2619624900000002E-2</v>
      </c>
      <c r="AL79" s="128">
        <v>5.5885869999999997E-2</v>
      </c>
      <c r="AM79" s="128"/>
      <c r="AN79" s="128"/>
      <c r="AP79" s="57">
        <f t="shared" si="33"/>
        <v>0.46386685970000002</v>
      </c>
      <c r="AQ79" s="57">
        <f t="shared" si="34"/>
        <v>0.84367182849999989</v>
      </c>
      <c r="AR79" s="57">
        <f t="shared" si="35"/>
        <v>1.3363888064833331</v>
      </c>
      <c r="AS79" s="57">
        <f t="shared" si="36"/>
        <v>1.6124029557000001</v>
      </c>
      <c r="AT79" s="55">
        <f t="shared" si="37"/>
        <v>1.3071483771000001</v>
      </c>
      <c r="AU79" s="55">
        <f t="shared" si="38"/>
        <v>0.83552781172857138</v>
      </c>
    </row>
    <row r="80" spans="1:51" s="31" customFormat="1">
      <c r="A80" s="66" t="s">
        <v>274</v>
      </c>
      <c r="B80" s="31">
        <v>7</v>
      </c>
      <c r="C80" s="61" t="s">
        <v>462</v>
      </c>
      <c r="D80" s="31" t="s">
        <v>314</v>
      </c>
      <c r="E80" s="34" cm="1">
        <f t="array" ref="E80:AL80">TRANSPOSE(_xlfn._xlws.FILTER('Raw Data'!ED3:ED320,('Raw Data'!C3:C320=1)*('Raw Data'!ED3:ED320&lt;&gt;"")))</f>
        <v>0.42898336050000002</v>
      </c>
      <c r="F80" s="34">
        <v>0.43485432860000001</v>
      </c>
      <c r="G80" s="34">
        <v>0.42428535220000002</v>
      </c>
      <c r="H80" s="34">
        <v>0.37327954169999999</v>
      </c>
      <c r="I80" s="34">
        <v>0.36264210940000002</v>
      </c>
      <c r="J80" s="34">
        <v>0.37127453090000001</v>
      </c>
      <c r="K80" s="34">
        <v>0.78907656670000004</v>
      </c>
      <c r="L80" s="34">
        <v>0.78599399329999997</v>
      </c>
      <c r="M80" s="34">
        <v>0.78389269110000004</v>
      </c>
      <c r="N80" s="34">
        <v>0.77934914830000002</v>
      </c>
      <c r="O80" s="34">
        <v>1.372892499</v>
      </c>
      <c r="P80" s="34">
        <v>1.3821674584999999</v>
      </c>
      <c r="Q80" s="34">
        <v>1.3854302167999999</v>
      </c>
      <c r="R80" s="34">
        <v>1.3564045429</v>
      </c>
      <c r="S80" s="34">
        <v>1.3410491943</v>
      </c>
      <c r="T80" s="34">
        <v>1.3376491070000001</v>
      </c>
      <c r="U80" s="34">
        <v>1.780382514</v>
      </c>
      <c r="V80" s="34">
        <v>1.7643167973</v>
      </c>
      <c r="W80" s="34">
        <v>1.7436100244999999</v>
      </c>
      <c r="X80" s="34">
        <v>1.5184952021</v>
      </c>
      <c r="Y80" s="34">
        <v>1.4493637085</v>
      </c>
      <c r="Z80" s="34">
        <v>1.4216908215999999</v>
      </c>
      <c r="AA80" s="34">
        <v>0.98289108280000004</v>
      </c>
      <c r="AB80" s="34">
        <v>0.97591996189999997</v>
      </c>
      <c r="AC80" s="34">
        <v>0.92410963769999999</v>
      </c>
      <c r="AD80" s="34">
        <v>0.95170325040000003</v>
      </c>
      <c r="AE80" s="34">
        <v>0.93557572359999996</v>
      </c>
      <c r="AF80" s="34">
        <v>0.88867026569999996</v>
      </c>
      <c r="AG80" s="34">
        <v>0.9077585936</v>
      </c>
      <c r="AH80" s="128">
        <v>1.90103389E-2</v>
      </c>
      <c r="AI80" s="128">
        <v>1.8257170900000001E-2</v>
      </c>
      <c r="AJ80" s="128">
        <v>1.9133798800000001E-2</v>
      </c>
      <c r="AK80" s="128">
        <v>3.1539797799999998E-2</v>
      </c>
      <c r="AL80" s="128">
        <v>3.3250726799999998E-2</v>
      </c>
      <c r="AM80" s="128"/>
      <c r="AN80" s="128"/>
      <c r="AP80" s="57">
        <f t="shared" si="33"/>
        <v>0.39921987055000002</v>
      </c>
      <c r="AQ80" s="57">
        <f t="shared" si="34"/>
        <v>0.78457809985000004</v>
      </c>
      <c r="AR80" s="57">
        <f t="shared" si="35"/>
        <v>1.3625988364166668</v>
      </c>
      <c r="AS80" s="57">
        <f t="shared" si="36"/>
        <v>1.7627697786000001</v>
      </c>
      <c r="AT80" s="55">
        <f t="shared" si="37"/>
        <v>1.4631832440666666</v>
      </c>
      <c r="AU80" s="55">
        <f t="shared" si="38"/>
        <v>0.93808978795714282</v>
      </c>
    </row>
    <row r="81" spans="1:47" s="31" customFormat="1">
      <c r="A81" s="66" t="s">
        <v>177</v>
      </c>
      <c r="B81" s="31">
        <v>7</v>
      </c>
      <c r="C81" s="61" t="s">
        <v>462</v>
      </c>
      <c r="D81" s="31" t="s">
        <v>314</v>
      </c>
      <c r="E81" s="34" cm="1">
        <f t="array" ref="E81:AL81">TRANSPOSE(_xlfn._xlws.FILTER('Raw Data'!EE3:EE321,('Raw Data'!C3:C321=1)*('Raw Data'!EE3:EE321&lt;&gt;"")))</f>
        <v>8.5428171158000001</v>
      </c>
      <c r="F81" s="34">
        <v>8.3159322738999997</v>
      </c>
      <c r="G81" s="34">
        <v>8.3532323837</v>
      </c>
      <c r="H81" s="34">
        <v>8.7270135880000002</v>
      </c>
      <c r="I81" s="34">
        <v>8.7664327621000009</v>
      </c>
      <c r="J81" s="34">
        <v>8.7364158629999995</v>
      </c>
      <c r="K81" s="34">
        <v>7.5568351745999998</v>
      </c>
      <c r="L81" s="34">
        <v>7.5555524825999996</v>
      </c>
      <c r="M81" s="34">
        <v>7.5361704826000002</v>
      </c>
      <c r="N81" s="34">
        <v>7.5396637916999998</v>
      </c>
      <c r="O81" s="34">
        <v>5.5910983086000003</v>
      </c>
      <c r="P81" s="34">
        <v>5.5479140282000001</v>
      </c>
      <c r="Q81" s="34">
        <v>5.4776163101000002</v>
      </c>
      <c r="R81" s="34">
        <v>5.5513181685999999</v>
      </c>
      <c r="S81" s="34">
        <v>5.6235423088000003</v>
      </c>
      <c r="T81" s="34">
        <v>5.580889225</v>
      </c>
      <c r="U81" s="34">
        <v>3.0666944980999999</v>
      </c>
      <c r="V81" s="34">
        <v>3.1184649467000001</v>
      </c>
      <c r="W81" s="34">
        <v>3.1480722427000001</v>
      </c>
      <c r="X81" s="34">
        <v>1.8700584173000001</v>
      </c>
      <c r="Y81" s="34">
        <v>1.2568501234</v>
      </c>
      <c r="Z81" s="34">
        <v>1.2319310904</v>
      </c>
      <c r="AA81" s="34">
        <v>0.66534388069999995</v>
      </c>
      <c r="AB81" s="34">
        <v>0.67386227850000002</v>
      </c>
      <c r="AC81" s="34">
        <v>0.62816965579999995</v>
      </c>
      <c r="AD81" s="34">
        <v>0.67559522390000004</v>
      </c>
      <c r="AE81" s="34">
        <v>0.6627898216</v>
      </c>
      <c r="AF81" s="34">
        <v>0.62105864290000001</v>
      </c>
      <c r="AG81" s="34">
        <v>0.64968782660000002</v>
      </c>
      <c r="AH81" s="128">
        <v>9.9772548675999992</v>
      </c>
      <c r="AI81" s="128">
        <v>9.9151029587000004</v>
      </c>
      <c r="AJ81" s="128">
        <v>9.8344392775999996</v>
      </c>
      <c r="AK81" s="128">
        <v>9.7674274445000009</v>
      </c>
      <c r="AL81" s="128">
        <v>9.7419910431000005</v>
      </c>
      <c r="AM81" s="128"/>
      <c r="AN81" s="128"/>
      <c r="AP81" s="57">
        <f t="shared" si="33"/>
        <v>8.5736406644166667</v>
      </c>
      <c r="AQ81" s="57">
        <f t="shared" si="34"/>
        <v>7.5470554828749998</v>
      </c>
      <c r="AR81" s="57">
        <f t="shared" si="35"/>
        <v>5.5620630582166681</v>
      </c>
      <c r="AS81" s="57">
        <f t="shared" si="36"/>
        <v>3.1110772291666664</v>
      </c>
      <c r="AT81" s="55">
        <f t="shared" si="37"/>
        <v>1.4529465437000002</v>
      </c>
      <c r="AU81" s="55">
        <f t="shared" si="38"/>
        <v>0.65378676142857139</v>
      </c>
    </row>
    <row r="82" spans="1:47" s="31" customFormat="1">
      <c r="A82" s="66" t="s">
        <v>175</v>
      </c>
      <c r="B82" s="31">
        <v>8</v>
      </c>
      <c r="C82" s="61" t="s">
        <v>461</v>
      </c>
      <c r="D82" s="31" t="s">
        <v>314</v>
      </c>
      <c r="E82" s="34" cm="1">
        <f t="array" ref="E82:AL82">TRANSPOSE(_xlfn._xlws.FILTER('Raw Data'!EG3:EG322,('Raw Data'!C3:C322=1)*('Raw Data'!EG3:EG322&lt;&gt;"")))</f>
        <v>2.6249032021000001</v>
      </c>
      <c r="F82" s="34">
        <v>2.2762210369</v>
      </c>
      <c r="G82" s="34">
        <v>2.2999455928999999</v>
      </c>
      <c r="H82" s="34">
        <v>3.4995288849000001</v>
      </c>
      <c r="I82" s="34">
        <v>3.5796117782999999</v>
      </c>
      <c r="J82" s="34">
        <v>3.5536551475999998</v>
      </c>
      <c r="K82" s="34">
        <v>2.4730272293</v>
      </c>
      <c r="L82" s="34">
        <v>2.4742445946</v>
      </c>
      <c r="M82" s="34">
        <v>2.4722099304</v>
      </c>
      <c r="N82" s="34">
        <v>2.4712305069</v>
      </c>
      <c r="O82" s="34">
        <v>1.2406027316999999</v>
      </c>
      <c r="P82" s="34">
        <v>1.2052875756999999</v>
      </c>
      <c r="Q82" s="34">
        <v>1.1861162186</v>
      </c>
      <c r="R82" s="34">
        <v>1.2267109156</v>
      </c>
      <c r="S82" s="34">
        <v>1.2601894140000001</v>
      </c>
      <c r="T82" s="34">
        <v>1.2538325787</v>
      </c>
      <c r="U82" s="34">
        <v>0.34751901029999999</v>
      </c>
      <c r="V82" s="34">
        <v>0.35743924980000003</v>
      </c>
      <c r="W82" s="34">
        <v>0.36419039959999999</v>
      </c>
      <c r="X82" s="34">
        <v>0.17463603620000001</v>
      </c>
      <c r="Y82" s="34">
        <v>5.66265434E-2</v>
      </c>
      <c r="Z82" s="34">
        <v>5.3622253199999997E-2</v>
      </c>
      <c r="AA82" s="34">
        <v>1.3812772900000001E-2</v>
      </c>
      <c r="AB82" s="34">
        <v>1.41931716E-2</v>
      </c>
      <c r="AC82" s="34">
        <v>1.22755552E-2</v>
      </c>
      <c r="AD82" s="34">
        <v>1.4113953300000001E-2</v>
      </c>
      <c r="AE82" s="34">
        <v>1.35435043E-2</v>
      </c>
      <c r="AF82" s="34">
        <v>1.20710665E-2</v>
      </c>
      <c r="AG82" s="34">
        <v>1.2943000499999999E-2</v>
      </c>
      <c r="AH82" s="128">
        <v>4.9717416762999997</v>
      </c>
      <c r="AI82" s="128">
        <v>5.0226726531999999</v>
      </c>
      <c r="AJ82" s="128">
        <v>4.8771567344999998</v>
      </c>
      <c r="AK82" s="128">
        <v>4.8172998427999998</v>
      </c>
      <c r="AL82" s="128">
        <v>4.8083953856999999</v>
      </c>
      <c r="AM82" s="128"/>
      <c r="AN82" s="128"/>
      <c r="AP82" s="57">
        <f t="shared" si="33"/>
        <v>2.9723109404500003</v>
      </c>
      <c r="AQ82" s="57">
        <f t="shared" si="34"/>
        <v>2.4726780652999998</v>
      </c>
      <c r="AR82" s="57">
        <f t="shared" si="35"/>
        <v>1.2287899057166667</v>
      </c>
      <c r="AS82" s="57">
        <f t="shared" si="36"/>
        <v>0.35638288656666667</v>
      </c>
      <c r="AT82" s="55">
        <f t="shared" si="37"/>
        <v>9.4961610933333329E-2</v>
      </c>
      <c r="AU82" s="55">
        <f t="shared" si="38"/>
        <v>1.3279003471428573E-2</v>
      </c>
    </row>
    <row r="83" spans="1:47" s="31" customFormat="1">
      <c r="A83" s="61" t="s">
        <v>464</v>
      </c>
      <c r="B83" s="31">
        <v>3</v>
      </c>
      <c r="D83" s="31" t="s">
        <v>314</v>
      </c>
      <c r="E83" s="34" cm="1">
        <f t="array" ref="E83:AI83">TRANSPOSE(_xlfn._xlws.FILTER('Raw Data'!DP3:DP323,('Raw Data'!C3:C323=1)*('Raw Data'!DP3:DP323&lt;&gt;"")))</f>
        <v>2.8669657000000002E-3</v>
      </c>
      <c r="F83" s="34">
        <v>1.0367233999999999E-3</v>
      </c>
      <c r="G83" s="34">
        <v>8.2235200000000004E-4</v>
      </c>
      <c r="H83" s="34">
        <v>7.2041420000000002E-4</v>
      </c>
      <c r="I83" s="34">
        <v>6.4589590000000004E-4</v>
      </c>
      <c r="J83" s="34">
        <v>6.1017410000000004E-4</v>
      </c>
      <c r="K83" s="34">
        <v>1.2388636E-3</v>
      </c>
      <c r="L83" s="34">
        <v>1.0572829E-3</v>
      </c>
      <c r="M83" s="34">
        <v>9.7568869999999997E-4</v>
      </c>
      <c r="N83" s="34">
        <v>1.1973503999999999E-3</v>
      </c>
      <c r="O83" s="34">
        <v>1.9789245000000001E-3</v>
      </c>
      <c r="P83" s="34">
        <v>2.2926307000000002E-3</v>
      </c>
      <c r="Q83" s="34">
        <v>2.1506327000000002E-3</v>
      </c>
      <c r="R83" s="34">
        <v>2.0164505400000001E-2</v>
      </c>
      <c r="S83" s="34">
        <v>2.2232083000000001E-3</v>
      </c>
      <c r="T83" s="34">
        <v>2.0400944999999998E-3</v>
      </c>
      <c r="U83" s="34">
        <v>5.6342259000000004E-3</v>
      </c>
      <c r="V83" s="34">
        <v>5.1848479000000001E-3</v>
      </c>
      <c r="W83" s="34">
        <v>5.6852782000000003E-3</v>
      </c>
      <c r="X83" s="34">
        <v>8.4853172300000002E-2</v>
      </c>
      <c r="Y83" s="34">
        <v>1.17215989E-2</v>
      </c>
      <c r="Z83" s="34">
        <v>1.1946111000000001E-2</v>
      </c>
      <c r="AA83" s="34">
        <v>1.2335226899999999E-2</v>
      </c>
      <c r="AB83" s="34">
        <v>1.2492828100000001E-2</v>
      </c>
      <c r="AC83" s="34">
        <v>1.24300057E-2</v>
      </c>
      <c r="AD83" s="34">
        <v>1.1947843200000001E-2</v>
      </c>
      <c r="AE83" s="34">
        <v>1.22236367E-2</v>
      </c>
      <c r="AF83" s="34">
        <v>1.26232645E-2</v>
      </c>
      <c r="AG83" s="34">
        <v>1.24324625E-2</v>
      </c>
      <c r="AH83" s="128">
        <v>1.8551879E-3</v>
      </c>
      <c r="AI83" s="128">
        <v>0</v>
      </c>
      <c r="AJ83" s="128"/>
      <c r="AK83" s="128"/>
      <c r="AL83" s="128"/>
      <c r="AM83" s="128"/>
      <c r="AN83" s="128"/>
      <c r="AP83" s="57">
        <f t="shared" si="33"/>
        <v>1.1170875500000001E-3</v>
      </c>
      <c r="AQ83" s="57">
        <f t="shared" si="34"/>
        <v>1.1172964E-3</v>
      </c>
      <c r="AR83" s="57">
        <f t="shared" si="35"/>
        <v>5.1416660166666668E-3</v>
      </c>
      <c r="AS83" s="57">
        <f t="shared" si="36"/>
        <v>5.5014506666666669E-3</v>
      </c>
      <c r="AT83" s="55">
        <f t="shared" si="37"/>
        <v>3.6173627399999998E-2</v>
      </c>
      <c r="AU83" s="55">
        <f t="shared" si="38"/>
        <v>1.2355038228571428E-2</v>
      </c>
    </row>
    <row r="84" spans="1:47">
      <c r="A84" s="61" t="s">
        <v>465</v>
      </c>
      <c r="B84" s="31">
        <v>7</v>
      </c>
      <c r="D84" s="31" t="s">
        <v>314</v>
      </c>
      <c r="E84" s="34" cm="1">
        <f t="array" ref="E84:AL84">TRANSPOSE(_xlfn._xlws.FILTER('Raw Data'!EA3:EA324,('Raw Data'!C3:C324=1)*('Raw Data'!EA3:EA324&lt;&gt;"")))</f>
        <v>0.5037472248</v>
      </c>
      <c r="F84" s="34">
        <v>0.50311362739999999</v>
      </c>
      <c r="G84" s="34">
        <v>0.5014637113</v>
      </c>
      <c r="H84" s="34">
        <v>0.43761253360000002</v>
      </c>
      <c r="I84" s="34">
        <v>0.43703067299999998</v>
      </c>
      <c r="J84" s="34">
        <v>0.45321461559999998</v>
      </c>
      <c r="K84" s="34">
        <v>0.86935925479999998</v>
      </c>
      <c r="L84" s="34">
        <v>0.86884427070000003</v>
      </c>
      <c r="M84" s="34">
        <v>0.88994371890000001</v>
      </c>
      <c r="N84" s="34">
        <v>0.8854061365</v>
      </c>
      <c r="O84" s="34">
        <v>1.5069671869000001</v>
      </c>
      <c r="P84" s="34">
        <v>1.5633897780999999</v>
      </c>
      <c r="Q84" s="34">
        <v>1.5442075729</v>
      </c>
      <c r="R84" s="34">
        <v>1.5212262868999999</v>
      </c>
      <c r="S84" s="34">
        <v>1.512275815</v>
      </c>
      <c r="T84" s="34">
        <v>1.5012786387999999</v>
      </c>
      <c r="U84" s="34">
        <v>2.148434639</v>
      </c>
      <c r="V84" s="34">
        <v>2.1258764267000001</v>
      </c>
      <c r="W84" s="34">
        <v>2.1013433933000001</v>
      </c>
      <c r="X84" s="34">
        <v>2.0715641974999999</v>
      </c>
      <c r="Y84" s="34">
        <v>2.1193342208999999</v>
      </c>
      <c r="Z84" s="34">
        <v>2.0739338398</v>
      </c>
      <c r="AA84" s="34">
        <v>1.6684343815</v>
      </c>
      <c r="AB84" s="34">
        <v>1.6511281729</v>
      </c>
      <c r="AC84" s="34">
        <v>1.5848397017</v>
      </c>
      <c r="AD84" s="34">
        <v>1.5929871797999999</v>
      </c>
      <c r="AE84" s="34">
        <v>1.5758615732000001</v>
      </c>
      <c r="AF84" s="34">
        <v>1.5199458599</v>
      </c>
      <c r="AG84" s="34">
        <v>1.5283254385</v>
      </c>
      <c r="AH84" s="128">
        <v>8.4352858399999994E-2</v>
      </c>
      <c r="AI84" s="128">
        <v>0.52063065770000005</v>
      </c>
      <c r="AJ84" s="128">
        <v>0.53981328009999996</v>
      </c>
      <c r="AK84" s="128">
        <v>9.8843954499999997E-2</v>
      </c>
      <c r="AL84" s="128">
        <v>0.13667996230000001</v>
      </c>
      <c r="AM84" s="128"/>
      <c r="AN84" s="128"/>
      <c r="AP84" s="57">
        <f t="shared" si="33"/>
        <v>0.4726970642833333</v>
      </c>
      <c r="AQ84" s="57">
        <f t="shared" si="34"/>
        <v>0.87838834522499998</v>
      </c>
      <c r="AR84" s="57">
        <f t="shared" si="35"/>
        <v>1.5248908797666667</v>
      </c>
      <c r="AS84" s="57">
        <f t="shared" si="36"/>
        <v>2.1252181530000001</v>
      </c>
      <c r="AT84" s="55">
        <f t="shared" si="37"/>
        <v>2.0882774194000002</v>
      </c>
      <c r="AU84" s="55">
        <f t="shared" si="38"/>
        <v>1.5887889010714284</v>
      </c>
    </row>
    <row r="85" spans="1:47">
      <c r="A85" s="61" t="s">
        <v>466</v>
      </c>
      <c r="B85" s="31">
        <v>8</v>
      </c>
      <c r="D85" s="31" t="s">
        <v>314</v>
      </c>
      <c r="E85" s="34" cm="1">
        <f t="array" ref="E85:AL85">TRANSPOSE(_xlfn._xlws.FILTER('Raw Data'!EF3:EF325,('Raw Data'!C3:C325=1)*('Raw Data'!EF3:EF325&lt;&gt;"")))</f>
        <v>1.0807484387999999</v>
      </c>
      <c r="F85" s="34">
        <v>0.86751812699999997</v>
      </c>
      <c r="G85" s="34">
        <v>0.8488810658</v>
      </c>
      <c r="H85" s="34">
        <v>1.0951983929</v>
      </c>
      <c r="I85" s="34">
        <v>1.0817390680000001</v>
      </c>
      <c r="J85" s="34">
        <v>1.0926563739999999</v>
      </c>
      <c r="K85" s="34">
        <v>1.7547010183</v>
      </c>
      <c r="L85" s="34">
        <v>1.7573815584000001</v>
      </c>
      <c r="M85" s="34">
        <v>1.7375241518</v>
      </c>
      <c r="N85" s="34">
        <v>1.7212338448</v>
      </c>
      <c r="O85" s="34">
        <v>2.0237202644000001</v>
      </c>
      <c r="P85" s="34">
        <v>1.9786827564</v>
      </c>
      <c r="Q85" s="34">
        <v>1.9586414099</v>
      </c>
      <c r="R85" s="34">
        <v>1.9366836547999999</v>
      </c>
      <c r="S85" s="34">
        <v>1.9290959834999999</v>
      </c>
      <c r="T85" s="34">
        <v>1.9144457579</v>
      </c>
      <c r="U85" s="34">
        <v>1.2902721167</v>
      </c>
      <c r="V85" s="34">
        <v>1.2835624217999999</v>
      </c>
      <c r="W85" s="34">
        <v>1.2685644626999999</v>
      </c>
      <c r="X85" s="34">
        <v>0.76315414910000001</v>
      </c>
      <c r="Y85" s="34">
        <v>0.44212874769999999</v>
      </c>
      <c r="Z85" s="34">
        <v>0.42200717329999998</v>
      </c>
      <c r="AA85" s="34">
        <v>0.2150294036</v>
      </c>
      <c r="AB85" s="34">
        <v>0.21900177000000001</v>
      </c>
      <c r="AC85" s="34">
        <v>0.2086687237</v>
      </c>
      <c r="AD85" s="34">
        <v>0.21855607630000001</v>
      </c>
      <c r="AE85" s="34">
        <v>0.21660122279999999</v>
      </c>
      <c r="AF85" s="34">
        <v>0.2059989572</v>
      </c>
      <c r="AG85" s="34">
        <v>0.21123582120000001</v>
      </c>
      <c r="AH85" s="128">
        <v>0.19794732330000001</v>
      </c>
      <c r="AI85" s="128">
        <v>0.20297770200000001</v>
      </c>
      <c r="AJ85" s="128">
        <v>0.19648414850000001</v>
      </c>
      <c r="AK85" s="128">
        <v>0.24521003659999999</v>
      </c>
      <c r="AL85" s="128">
        <v>0.25918382410000002</v>
      </c>
      <c r="AM85" s="128"/>
      <c r="AN85" s="128"/>
      <c r="AP85" s="57">
        <f t="shared" si="33"/>
        <v>1.0111235777500001</v>
      </c>
      <c r="AQ85" s="57">
        <f t="shared" si="34"/>
        <v>1.7427101433250001</v>
      </c>
      <c r="AR85" s="57">
        <f t="shared" si="35"/>
        <v>1.9568783044833333</v>
      </c>
      <c r="AS85" s="57">
        <f t="shared" si="36"/>
        <v>1.2807996670666666</v>
      </c>
      <c r="AT85" s="55">
        <f t="shared" si="37"/>
        <v>0.54243002336666668</v>
      </c>
      <c r="AU85" s="55">
        <f t="shared" si="38"/>
        <v>0.21358456782857146</v>
      </c>
    </row>
    <row r="86" spans="1:47">
      <c r="A86" s="61" t="s">
        <v>467</v>
      </c>
      <c r="B86" s="31" t="s">
        <v>492</v>
      </c>
      <c r="D86" s="31" t="s">
        <v>314</v>
      </c>
      <c r="E86" s="34" cm="1">
        <f t="array" ref="E86:AL86">TRANSPOSE(_xlfn._xlws.FILTER('Raw Data'!EH3:EH326,('Raw Data'!C3:C326=1)*('Raw Data'!EH3:EH326&lt;&gt;"")))</f>
        <v>0.63810980319999999</v>
      </c>
      <c r="F86" s="34">
        <v>2.3488383700000001E-2</v>
      </c>
      <c r="G86" s="34">
        <v>1.8073519699999999E-2</v>
      </c>
      <c r="H86" s="34">
        <v>4.9632727000000001E-3</v>
      </c>
      <c r="I86" s="34">
        <v>3.6918927999999998E-3</v>
      </c>
      <c r="J86" s="34">
        <v>3.4015709999999999E-3</v>
      </c>
      <c r="K86" s="34">
        <v>1.2948543999999999E-3</v>
      </c>
      <c r="L86" s="34">
        <v>1.3337575E-3</v>
      </c>
      <c r="M86" s="34">
        <v>1.3126075999999999E-3</v>
      </c>
      <c r="N86" s="34">
        <v>1.0973571E-3</v>
      </c>
      <c r="O86" s="34">
        <v>9.1607925000000007E-3</v>
      </c>
      <c r="P86" s="34">
        <v>9.1120395999999999E-3</v>
      </c>
      <c r="Q86" s="34">
        <v>9.4826613000000004E-3</v>
      </c>
      <c r="R86" s="34">
        <v>1.01340814E-2</v>
      </c>
      <c r="S86" s="34">
        <v>9.1257244000000001E-3</v>
      </c>
      <c r="T86" s="34">
        <v>1.03073334E-2</v>
      </c>
      <c r="U86" s="34">
        <v>1.27763236E-2</v>
      </c>
      <c r="V86" s="34">
        <v>1.14300288E-2</v>
      </c>
      <c r="W86" s="34">
        <v>1.2961137100000001E-2</v>
      </c>
      <c r="X86" s="34">
        <v>1.4149459099999999E-2</v>
      </c>
      <c r="Y86" s="34">
        <v>1.7914690099999998E-2</v>
      </c>
      <c r="Z86" s="34">
        <v>1.6460677600000001E-2</v>
      </c>
      <c r="AA86" s="34">
        <v>2.1654009799999999E-2</v>
      </c>
      <c r="AB86" s="34">
        <v>2.2658972100000001E-2</v>
      </c>
      <c r="AC86" s="34">
        <v>2.2095192199999999E-2</v>
      </c>
      <c r="AD86" s="34">
        <v>2.1611524699999999E-2</v>
      </c>
      <c r="AE86" s="34">
        <v>2.25587711E-2</v>
      </c>
      <c r="AF86" s="34">
        <v>2.4196008200000001E-2</v>
      </c>
      <c r="AG86" s="34">
        <v>2.4192890200000001E-2</v>
      </c>
      <c r="AH86" s="128">
        <v>1.5316236800000001E-2</v>
      </c>
      <c r="AI86" s="128">
        <v>1.4460505E-2</v>
      </c>
      <c r="AJ86" s="128">
        <v>1.46908322E-2</v>
      </c>
      <c r="AK86" s="128">
        <v>1.15170423E-2</v>
      </c>
      <c r="AL86" s="128">
        <v>1.16966181E-2</v>
      </c>
      <c r="AM86" s="128"/>
      <c r="AN86" s="128"/>
      <c r="AP86" s="57">
        <f t="shared" si="33"/>
        <v>0.11528807385000001</v>
      </c>
      <c r="AQ86" s="57">
        <f t="shared" si="34"/>
        <v>1.2596441499999999E-3</v>
      </c>
      <c r="AR86" s="57">
        <f t="shared" si="35"/>
        <v>9.5537720999999999E-3</v>
      </c>
      <c r="AS86" s="57">
        <f t="shared" si="36"/>
        <v>1.2389163166666666E-2</v>
      </c>
      <c r="AT86" s="55">
        <f t="shared" si="37"/>
        <v>1.6174942266666666E-2</v>
      </c>
      <c r="AU86" s="55">
        <f t="shared" si="38"/>
        <v>2.2709624042857143E-2</v>
      </c>
    </row>
    <row r="87" spans="1:47" s="137" customFormat="1">
      <c r="A87" s="135" t="s">
        <v>468</v>
      </c>
      <c r="B87" s="136"/>
      <c r="C87" s="136"/>
      <c r="D87" s="136" t="s">
        <v>314</v>
      </c>
      <c r="E87" s="142">
        <f>SUM(E68:E86)</f>
        <v>100.0000087479</v>
      </c>
      <c r="F87" s="142">
        <f t="shared" ref="F87:AL87" si="39">SUM(F68:F86)</f>
        <v>99.999992418399984</v>
      </c>
      <c r="G87" s="142">
        <f t="shared" si="39"/>
        <v>99.999982187200004</v>
      </c>
      <c r="H87" s="142">
        <f t="shared" si="39"/>
        <v>100.00001401500002</v>
      </c>
      <c r="I87" s="142">
        <f t="shared" si="39"/>
        <v>99.999995818200006</v>
      </c>
      <c r="J87" s="142">
        <f t="shared" si="39"/>
        <v>100.00000261389999</v>
      </c>
      <c r="K87" s="142">
        <f t="shared" si="39"/>
        <v>99.999989224399982</v>
      </c>
      <c r="L87" s="142">
        <f t="shared" si="39"/>
        <v>99.999995478599985</v>
      </c>
      <c r="M87" s="142">
        <f t="shared" si="39"/>
        <v>100.00002873619999</v>
      </c>
      <c r="N87" s="142">
        <f t="shared" si="39"/>
        <v>99.999988347899986</v>
      </c>
      <c r="O87" s="142">
        <f t="shared" si="39"/>
        <v>100.00000548919999</v>
      </c>
      <c r="P87" s="142">
        <f t="shared" si="39"/>
        <v>100.00000576990001</v>
      </c>
      <c r="Q87" s="142">
        <f t="shared" si="39"/>
        <v>99.999961259100019</v>
      </c>
      <c r="R87" s="142">
        <f t="shared" si="39"/>
        <v>99.999987441800016</v>
      </c>
      <c r="S87" s="142">
        <f t="shared" si="39"/>
        <v>99.999996766199985</v>
      </c>
      <c r="T87" s="142">
        <f t="shared" si="39"/>
        <v>100.00000675359999</v>
      </c>
      <c r="U87" s="142">
        <f t="shared" si="39"/>
        <v>99.999994733399987</v>
      </c>
      <c r="V87" s="142">
        <f t="shared" si="39"/>
        <v>100.00002011640001</v>
      </c>
      <c r="W87" s="142">
        <f t="shared" si="39"/>
        <v>100.00000566620001</v>
      </c>
      <c r="X87" s="142">
        <f t="shared" si="39"/>
        <v>99.999993698699996</v>
      </c>
      <c r="Y87" s="142">
        <f t="shared" si="39"/>
        <v>99.999981070900006</v>
      </c>
      <c r="Z87" s="142">
        <f t="shared" si="39"/>
        <v>100.00000548089999</v>
      </c>
      <c r="AA87" s="142">
        <f t="shared" si="39"/>
        <v>100.00001391119999</v>
      </c>
      <c r="AB87" s="142">
        <f t="shared" si="39"/>
        <v>99.999982789200018</v>
      </c>
      <c r="AC87" s="142">
        <f t="shared" si="39"/>
        <v>100.00004372520003</v>
      </c>
      <c r="AD87" s="142">
        <f t="shared" si="39"/>
        <v>100.00001499700002</v>
      </c>
      <c r="AE87" s="142">
        <f t="shared" si="39"/>
        <v>100.00002263569999</v>
      </c>
      <c r="AF87" s="142">
        <f t="shared" si="39"/>
        <v>100.00000848089998</v>
      </c>
      <c r="AG87" s="142">
        <f t="shared" si="39"/>
        <v>100.0000052435</v>
      </c>
      <c r="AH87" s="142">
        <f t="shared" si="39"/>
        <v>99.999997695700003</v>
      </c>
      <c r="AI87" s="142">
        <f t="shared" si="39"/>
        <v>99.999977610500011</v>
      </c>
      <c r="AJ87" s="142">
        <f t="shared" si="39"/>
        <v>99.999999991899998</v>
      </c>
      <c r="AK87" s="142">
        <f t="shared" si="39"/>
        <v>99.999999614099991</v>
      </c>
      <c r="AL87" s="142">
        <f t="shared" si="39"/>
        <v>99.999968759899986</v>
      </c>
      <c r="AM87" s="136"/>
      <c r="AN87" s="136"/>
      <c r="AO87" s="136"/>
      <c r="AP87" s="138">
        <f>SUM(AP68:AP86)</f>
        <v>99.999999300100001</v>
      </c>
      <c r="AQ87" s="138">
        <f t="shared" ref="AQ87:AU87" si="40">SUM(AQ68:AQ86)</f>
        <v>100.00000044677499</v>
      </c>
      <c r="AR87" s="138">
        <f t="shared" si="40"/>
        <v>99.999993913300031</v>
      </c>
      <c r="AS87" s="138">
        <f t="shared" si="40"/>
        <v>100.00000683866669</v>
      </c>
      <c r="AT87" s="138">
        <f t="shared" si="40"/>
        <v>99.999993416833362</v>
      </c>
      <c r="AU87" s="138">
        <f t="shared" si="40"/>
        <v>100.00001311181431</v>
      </c>
    </row>
    <row r="88" spans="1:47">
      <c r="A88" s="61" t="s">
        <v>264</v>
      </c>
      <c r="B88" s="31">
        <v>3</v>
      </c>
      <c r="C88" s="61" t="s">
        <v>461</v>
      </c>
      <c r="D88" s="31" t="s">
        <v>12</v>
      </c>
      <c r="E88" s="57">
        <f>E$62*E68/100</f>
        <v>1.8078608549848452E-3</v>
      </c>
      <c r="F88" s="57">
        <f t="shared" ref="F88:Y88" si="41">F$62*F68/100</f>
        <v>1.1698325947918158E-3</v>
      </c>
      <c r="G88" s="57">
        <f t="shared" si="41"/>
        <v>1.1499426969456892E-3</v>
      </c>
      <c r="H88" s="57">
        <f t="shared" si="41"/>
        <v>1.101872036438206E-3</v>
      </c>
      <c r="I88" s="57">
        <f t="shared" si="41"/>
        <v>1.1237610023611068E-3</v>
      </c>
      <c r="J88" s="57">
        <f t="shared" si="41"/>
        <v>1.2156050373928336E-3</v>
      </c>
      <c r="K88" s="57">
        <f t="shared" si="41"/>
        <v>4.0663534645574134E-3</v>
      </c>
      <c r="L88" s="57">
        <f t="shared" si="41"/>
        <v>4.1158033204858509E-3</v>
      </c>
      <c r="M88" s="57">
        <f t="shared" si="41"/>
        <v>4.2816418512964917E-3</v>
      </c>
      <c r="N88" s="57">
        <f t="shared" si="41"/>
        <v>4.37770254112365E-3</v>
      </c>
      <c r="O88" s="57">
        <f t="shared" si="41"/>
        <v>1.2666052874989392E-2</v>
      </c>
      <c r="P88" s="57">
        <f t="shared" si="41"/>
        <v>1.3203284228322554E-2</v>
      </c>
      <c r="Q88" s="57">
        <f t="shared" si="41"/>
        <v>1.362137399302169E-2</v>
      </c>
      <c r="R88" s="57">
        <f t="shared" si="41"/>
        <v>1.431976552190402E-2</v>
      </c>
      <c r="S88" s="57">
        <f t="shared" si="41"/>
        <v>1.449901114238545E-2</v>
      </c>
      <c r="T88" s="57">
        <f t="shared" si="41"/>
        <v>1.4848260198951604E-2</v>
      </c>
      <c r="U88" s="57">
        <f t="shared" si="41"/>
        <v>3.6443327494049792E-2</v>
      </c>
      <c r="V88" s="57">
        <f t="shared" si="41"/>
        <v>3.6249443293469068E-2</v>
      </c>
      <c r="W88" s="57">
        <f t="shared" si="41"/>
        <v>3.6058121711709391E-2</v>
      </c>
      <c r="X88" s="57">
        <f t="shared" si="41"/>
        <v>6.7110368711201906E-2</v>
      </c>
      <c r="Y88" s="57">
        <f t="shared" si="41"/>
        <v>7.1405859552901768E-2</v>
      </c>
      <c r="Z88" s="57">
        <f t="shared" ref="Z88:AA90" si="42">Z$62*Z68/100</f>
        <v>7.2096707971315191E-2</v>
      </c>
      <c r="AA88" s="57">
        <f t="shared" si="42"/>
        <v>9.7426583123117194E-2</v>
      </c>
      <c r="AB88" s="57">
        <f t="shared" ref="AB88:AL88" si="43">AB$62*AB68/100</f>
        <v>9.7170206172496609E-2</v>
      </c>
      <c r="AC88" s="57">
        <f t="shared" si="43"/>
        <v>9.8693758116489019E-2</v>
      </c>
      <c r="AD88" s="57">
        <f t="shared" si="43"/>
        <v>9.7880457307813529E-2</v>
      </c>
      <c r="AE88" s="57">
        <f t="shared" si="43"/>
        <v>9.9675433115577097E-2</v>
      </c>
      <c r="AF88" s="57">
        <f t="shared" si="43"/>
        <v>0.10055295645866134</v>
      </c>
      <c r="AG88" s="57">
        <f t="shared" si="43"/>
        <v>0.10082170883250231</v>
      </c>
      <c r="AH88" s="125">
        <f t="shared" si="43"/>
        <v>6.0023780055706163E-5</v>
      </c>
      <c r="AI88" s="125">
        <f t="shared" si="43"/>
        <v>6.2926688681708869E-5</v>
      </c>
      <c r="AJ88" s="125">
        <f t="shared" si="43"/>
        <v>6.8107634254834786E-5</v>
      </c>
      <c r="AK88" s="125">
        <f t="shared" si="43"/>
        <v>1.3088152179548026E-4</v>
      </c>
      <c r="AL88" s="125">
        <f t="shared" si="43"/>
        <v>1.4247034899907563E-4</v>
      </c>
      <c r="AM88" s="67"/>
      <c r="AN88" s="67"/>
    </row>
    <row r="89" spans="1:47">
      <c r="A89" s="66" t="s">
        <v>265</v>
      </c>
      <c r="B89" s="31">
        <v>4</v>
      </c>
      <c r="C89" s="61" t="s">
        <v>462</v>
      </c>
      <c r="D89" s="31" t="s">
        <v>12</v>
      </c>
      <c r="E89" s="57">
        <f t="shared" ref="E89:E106" si="44">E$62*E69/100</f>
        <v>1.034186194947786E-2</v>
      </c>
      <c r="F89" s="57">
        <f t="shared" ref="F89:Y89" si="45">F$62*F69/100</f>
        <v>3.8536905515793034E-3</v>
      </c>
      <c r="G89" s="57">
        <f t="shared" si="45"/>
        <v>3.7744548577752614E-3</v>
      </c>
      <c r="H89" s="57">
        <f t="shared" si="45"/>
        <v>3.7629337849922834E-3</v>
      </c>
      <c r="I89" s="57">
        <f t="shared" si="45"/>
        <v>3.819525906742333E-3</v>
      </c>
      <c r="J89" s="57">
        <f t="shared" si="45"/>
        <v>4.1332942845816352E-3</v>
      </c>
      <c r="K89" s="57">
        <f t="shared" si="45"/>
        <v>1.2479169022480904E-2</v>
      </c>
      <c r="L89" s="57">
        <f t="shared" si="45"/>
        <v>1.2616182218002335E-2</v>
      </c>
      <c r="M89" s="57">
        <f t="shared" si="45"/>
        <v>1.3063328943617298E-2</v>
      </c>
      <c r="N89" s="57">
        <f t="shared" si="45"/>
        <v>1.327255780482926E-2</v>
      </c>
      <c r="O89" s="57">
        <f t="shared" si="45"/>
        <v>3.4454439666957028E-2</v>
      </c>
      <c r="P89" s="57">
        <f t="shared" si="45"/>
        <v>3.558729974962848E-2</v>
      </c>
      <c r="Q89" s="57">
        <f t="shared" si="45"/>
        <v>3.6505406139481472E-2</v>
      </c>
      <c r="R89" s="57">
        <f t="shared" si="45"/>
        <v>3.8467013334683872E-2</v>
      </c>
      <c r="S89" s="57">
        <f t="shared" si="45"/>
        <v>3.8863152948969637E-2</v>
      </c>
      <c r="T89" s="57">
        <f t="shared" si="45"/>
        <v>3.9583702082159687E-2</v>
      </c>
      <c r="U89" s="57">
        <f t="shared" si="45"/>
        <v>8.4299060123685141E-2</v>
      </c>
      <c r="V89" s="57">
        <f t="shared" si="45"/>
        <v>8.3789194066184999E-2</v>
      </c>
      <c r="W89" s="57">
        <f t="shared" si="45"/>
        <v>8.3148496604787375E-2</v>
      </c>
      <c r="X89" s="57">
        <f t="shared" si="45"/>
        <v>0.13465919195835521</v>
      </c>
      <c r="Y89" s="57">
        <f t="shared" si="45"/>
        <v>0.14155147494332593</v>
      </c>
      <c r="Z89" s="57">
        <f t="shared" si="42"/>
        <v>0.14211831805098596</v>
      </c>
      <c r="AA89" s="57">
        <f t="shared" si="42"/>
        <v>0.18315474174892046</v>
      </c>
      <c r="AB89" s="57">
        <f t="shared" ref="AB89:AL89" si="46">AB$62*AB69/100</f>
        <v>0.18276409445957512</v>
      </c>
      <c r="AC89" s="57">
        <f t="shared" si="46"/>
        <v>0.18492969228354908</v>
      </c>
      <c r="AD89" s="57">
        <f t="shared" si="46"/>
        <v>0.18369030205978323</v>
      </c>
      <c r="AE89" s="57">
        <f t="shared" si="46"/>
        <v>0.18715888975456071</v>
      </c>
      <c r="AF89" s="57">
        <f t="shared" si="46"/>
        <v>0.18807357282971321</v>
      </c>
      <c r="AG89" s="57">
        <f t="shared" si="46"/>
        <v>0.18933836694440057</v>
      </c>
      <c r="AH89" s="125">
        <f t="shared" si="46"/>
        <v>2.1268554288478265E-4</v>
      </c>
      <c r="AI89" s="125">
        <f t="shared" si="46"/>
        <v>2.3749367313359021E-4</v>
      </c>
      <c r="AJ89" s="125">
        <f t="shared" si="46"/>
        <v>2.5196727353703544E-4</v>
      </c>
      <c r="AK89" s="125">
        <f t="shared" si="46"/>
        <v>5.6348152410271165E-4</v>
      </c>
      <c r="AL89" s="125">
        <f t="shared" si="46"/>
        <v>5.7122568300994739E-4</v>
      </c>
      <c r="AM89" s="67"/>
      <c r="AN89" s="67"/>
    </row>
    <row r="90" spans="1:47">
      <c r="A90" s="66" t="s">
        <v>266</v>
      </c>
      <c r="B90" s="31">
        <v>4</v>
      </c>
      <c r="C90" s="61" t="s">
        <v>461</v>
      </c>
      <c r="D90" s="31" t="s">
        <v>12</v>
      </c>
      <c r="E90" s="57">
        <f t="shared" si="44"/>
        <v>4.0817415883853238E-3</v>
      </c>
      <c r="F90" s="57">
        <f t="shared" ref="F90:Y90" si="47">F$62*F70/100</f>
        <v>7.8501866211195853E-4</v>
      </c>
      <c r="G90" s="57">
        <f t="shared" si="47"/>
        <v>7.3152344318676971E-4</v>
      </c>
      <c r="H90" s="57">
        <f t="shared" si="47"/>
        <v>7.509622598316179E-4</v>
      </c>
      <c r="I90" s="57">
        <f t="shared" si="47"/>
        <v>7.6289777398177462E-4</v>
      </c>
      <c r="J90" s="57">
        <f t="shared" si="47"/>
        <v>8.1465303786506225E-4</v>
      </c>
      <c r="K90" s="57">
        <f t="shared" si="47"/>
        <v>2.5777606601347998E-3</v>
      </c>
      <c r="L90" s="57">
        <f t="shared" si="47"/>
        <v>2.5922811979202211E-3</v>
      </c>
      <c r="M90" s="57">
        <f t="shared" si="47"/>
        <v>2.6527292794689033E-3</v>
      </c>
      <c r="N90" s="57">
        <f t="shared" si="47"/>
        <v>2.7172611837882319E-3</v>
      </c>
      <c r="O90" s="57">
        <f t="shared" si="47"/>
        <v>7.0985458259703047E-3</v>
      </c>
      <c r="P90" s="57">
        <f t="shared" si="47"/>
        <v>7.3010950609714567E-3</v>
      </c>
      <c r="Q90" s="57">
        <f t="shared" si="47"/>
        <v>7.4350633020284574E-3</v>
      </c>
      <c r="R90" s="57">
        <f t="shared" si="47"/>
        <v>7.7773481421188114E-3</v>
      </c>
      <c r="S90" s="57">
        <f t="shared" si="47"/>
        <v>7.878338313198216E-3</v>
      </c>
      <c r="T90" s="57">
        <f t="shared" si="47"/>
        <v>7.9756771989996731E-3</v>
      </c>
      <c r="U90" s="57">
        <f t="shared" si="47"/>
        <v>1.6009047935036495E-2</v>
      </c>
      <c r="V90" s="57">
        <f t="shared" si="47"/>
        <v>1.5916237207649991E-2</v>
      </c>
      <c r="W90" s="57">
        <f t="shared" si="47"/>
        <v>1.5721584530956949E-2</v>
      </c>
      <c r="X90" s="57">
        <f t="shared" si="47"/>
        <v>2.2667748790478202E-2</v>
      </c>
      <c r="Y90" s="57">
        <f t="shared" si="47"/>
        <v>2.302204357089634E-2</v>
      </c>
      <c r="Z90" s="57">
        <f t="shared" si="42"/>
        <v>2.2923551319597123E-2</v>
      </c>
      <c r="AA90" s="57">
        <f t="shared" si="42"/>
        <v>2.6277995527312449E-2</v>
      </c>
      <c r="AB90" s="57">
        <f t="shared" ref="AB90:AL90" si="48">AB$62*AB70/100</f>
        <v>2.6160957183118044E-2</v>
      </c>
      <c r="AC90" s="57">
        <f t="shared" si="48"/>
        <v>2.6010874515492E-2</v>
      </c>
      <c r="AD90" s="57">
        <f t="shared" si="48"/>
        <v>2.6041255855246657E-2</v>
      </c>
      <c r="AE90" s="57">
        <f t="shared" si="48"/>
        <v>2.6546980880535559E-2</v>
      </c>
      <c r="AF90" s="57">
        <f t="shared" si="48"/>
        <v>2.6250723374093277E-2</v>
      </c>
      <c r="AG90" s="57">
        <f t="shared" si="48"/>
        <v>2.6473459164133593E-2</v>
      </c>
      <c r="AH90" s="125">
        <f t="shared" si="48"/>
        <v>3.9890014466353624E-5</v>
      </c>
      <c r="AI90" s="125">
        <f t="shared" si="48"/>
        <v>5.0363326037327316E-5</v>
      </c>
      <c r="AJ90" s="125">
        <f t="shared" si="48"/>
        <v>4.6909625269673292E-5</v>
      </c>
      <c r="AK90" s="125">
        <f t="shared" si="48"/>
        <v>9.9750448696595746E-5</v>
      </c>
      <c r="AL90" s="125">
        <f t="shared" si="48"/>
        <v>1.0416305813774258E-4</v>
      </c>
      <c r="AM90" s="67"/>
      <c r="AN90" s="67"/>
    </row>
    <row r="91" spans="1:47">
      <c r="A91" s="66" t="s">
        <v>267</v>
      </c>
      <c r="B91" s="31">
        <v>5</v>
      </c>
      <c r="C91" s="61" t="s">
        <v>462</v>
      </c>
      <c r="D91" s="31" t="s">
        <v>12</v>
      </c>
      <c r="E91" s="57">
        <f t="shared" si="44"/>
        <v>1.2719133829350318E-2</v>
      </c>
      <c r="F91" s="57">
        <f t="shared" ref="F91:Y91" si="49">F$62*F71/100</f>
        <v>1.5611514585382516E-3</v>
      </c>
      <c r="G91" s="57">
        <f t="shared" si="49"/>
        <v>1.4083923079347125E-3</v>
      </c>
      <c r="H91" s="57">
        <f t="shared" si="49"/>
        <v>1.1046975077112749E-3</v>
      </c>
      <c r="I91" s="57">
        <f t="shared" si="49"/>
        <v>1.0757720841096704E-3</v>
      </c>
      <c r="J91" s="57">
        <f t="shared" si="49"/>
        <v>1.1556164004008374E-3</v>
      </c>
      <c r="K91" s="57">
        <f t="shared" si="49"/>
        <v>3.3991351598714015E-3</v>
      </c>
      <c r="L91" s="57">
        <f t="shared" si="49"/>
        <v>3.4468882655720175E-3</v>
      </c>
      <c r="M91" s="57">
        <f t="shared" si="49"/>
        <v>3.5200437905162814E-3</v>
      </c>
      <c r="N91" s="57">
        <f t="shared" si="49"/>
        <v>3.5696775695100661E-3</v>
      </c>
      <c r="O91" s="57">
        <f t="shared" si="49"/>
        <v>8.9642327283599235E-3</v>
      </c>
      <c r="P91" s="57">
        <f t="shared" si="49"/>
        <v>9.1880985854433331E-3</v>
      </c>
      <c r="Q91" s="57">
        <f t="shared" si="49"/>
        <v>9.4050297192304708E-3</v>
      </c>
      <c r="R91" s="57">
        <f t="shared" si="49"/>
        <v>9.812556456385341E-3</v>
      </c>
      <c r="S91" s="57">
        <f t="shared" si="49"/>
        <v>9.8758644903580092E-3</v>
      </c>
      <c r="T91" s="57">
        <f t="shared" si="49"/>
        <v>1.0018750425923668E-2</v>
      </c>
      <c r="U91" s="57">
        <f t="shared" si="49"/>
        <v>1.9443920196208091E-2</v>
      </c>
      <c r="V91" s="57">
        <f t="shared" si="49"/>
        <v>1.9249838264904274E-2</v>
      </c>
      <c r="W91" s="57">
        <f t="shared" si="49"/>
        <v>1.9072008768811512E-2</v>
      </c>
      <c r="X91" s="57">
        <f t="shared" si="49"/>
        <v>2.6677618278788541E-2</v>
      </c>
      <c r="Y91" s="57">
        <f t="shared" si="49"/>
        <v>2.7057567709939875E-2</v>
      </c>
      <c r="Z91" s="57">
        <f t="shared" ref="Z91:Z106" si="50">Z$62*Z71/100</f>
        <v>2.6864768709090568E-2</v>
      </c>
      <c r="AA91" s="57">
        <f t="shared" ref="AA91:AL91" si="51">AA$62*AA71/100</f>
        <v>3.1653985941311323E-2</v>
      </c>
      <c r="AB91" s="57">
        <f t="shared" si="51"/>
        <v>3.1570574389749188E-2</v>
      </c>
      <c r="AC91" s="57">
        <f t="shared" si="51"/>
        <v>3.1819082593370129E-2</v>
      </c>
      <c r="AD91" s="57">
        <f t="shared" si="51"/>
        <v>3.1795128028066159E-2</v>
      </c>
      <c r="AE91" s="57">
        <f t="shared" si="51"/>
        <v>3.242414366385684E-2</v>
      </c>
      <c r="AF91" s="57">
        <f t="shared" si="51"/>
        <v>3.2472904689368504E-2</v>
      </c>
      <c r="AG91" s="57">
        <f t="shared" si="51"/>
        <v>3.3008649524780227E-2</v>
      </c>
      <c r="AH91" s="125">
        <f t="shared" si="51"/>
        <v>7.9138648115722169E-5</v>
      </c>
      <c r="AI91" s="125">
        <f t="shared" si="51"/>
        <v>8.0106187504011743E-5</v>
      </c>
      <c r="AJ91" s="125">
        <f t="shared" si="51"/>
        <v>8.5282505890320114E-5</v>
      </c>
      <c r="AK91" s="125">
        <f t="shared" si="51"/>
        <v>1.5562659104844892E-4</v>
      </c>
      <c r="AL91" s="125">
        <f t="shared" si="51"/>
        <v>1.748693361781016E-4</v>
      </c>
      <c r="AM91" s="67"/>
      <c r="AN91" s="67"/>
    </row>
    <row r="92" spans="1:47">
      <c r="A92" s="66" t="s">
        <v>268</v>
      </c>
      <c r="B92" s="31">
        <v>5</v>
      </c>
      <c r="C92" s="61" t="s">
        <v>461</v>
      </c>
      <c r="D92" s="31" t="s">
        <v>12</v>
      </c>
      <c r="E92" s="57">
        <f t="shared" si="44"/>
        <v>7.6966960047283525E-3</v>
      </c>
      <c r="F92" s="57">
        <f t="shared" ref="F92:Y92" si="52">F$62*F72/100</f>
        <v>3.8123820060532624E-4</v>
      </c>
      <c r="G92" s="57">
        <f t="shared" si="52"/>
        <v>2.8987519486316075E-4</v>
      </c>
      <c r="H92" s="57">
        <f t="shared" si="52"/>
        <v>1.1461581735248691E-4</v>
      </c>
      <c r="I92" s="57">
        <f t="shared" si="52"/>
        <v>9.4021325823057594E-5</v>
      </c>
      <c r="J92" s="57">
        <f t="shared" si="52"/>
        <v>9.8961025511030588E-5</v>
      </c>
      <c r="K92" s="57">
        <f t="shared" si="52"/>
        <v>2.3221171741069006E-4</v>
      </c>
      <c r="L92" s="57">
        <f t="shared" si="52"/>
        <v>2.3670830823971007E-4</v>
      </c>
      <c r="M92" s="57">
        <f t="shared" si="52"/>
        <v>2.4833300270123978E-4</v>
      </c>
      <c r="N92" s="57">
        <f t="shared" si="52"/>
        <v>2.4864016819407065E-4</v>
      </c>
      <c r="O92" s="57">
        <f t="shared" si="52"/>
        <v>7.0784003323026104E-4</v>
      </c>
      <c r="P92" s="57">
        <f t="shared" si="52"/>
        <v>7.4105414231859473E-4</v>
      </c>
      <c r="Q92" s="57">
        <f t="shared" si="52"/>
        <v>7.641085564622671E-4</v>
      </c>
      <c r="R92" s="57">
        <f t="shared" si="52"/>
        <v>8.1566743754537207E-4</v>
      </c>
      <c r="S92" s="57">
        <f t="shared" si="52"/>
        <v>8.2867957713500268E-4</v>
      </c>
      <c r="T92" s="57">
        <f t="shared" si="52"/>
        <v>8.5177437884657772E-4</v>
      </c>
      <c r="U92" s="57">
        <f t="shared" si="52"/>
        <v>2.3162247964222497E-3</v>
      </c>
      <c r="V92" s="57">
        <f t="shared" si="52"/>
        <v>2.3012143865086868E-3</v>
      </c>
      <c r="W92" s="57">
        <f t="shared" si="52"/>
        <v>2.3068177514368494E-3</v>
      </c>
      <c r="X92" s="57">
        <f t="shared" si="52"/>
        <v>4.7956934253594614E-3</v>
      </c>
      <c r="Y92" s="57">
        <f t="shared" si="52"/>
        <v>5.177954952517585E-3</v>
      </c>
      <c r="Z92" s="57">
        <f t="shared" si="50"/>
        <v>5.2669031696455475E-3</v>
      </c>
      <c r="AA92" s="57">
        <f t="shared" ref="AA92:AL92" si="53">AA$62*AA72/100</f>
        <v>7.5610768090946558E-3</v>
      </c>
      <c r="AB92" s="57">
        <f t="shared" si="53"/>
        <v>7.5724398552867835E-3</v>
      </c>
      <c r="AC92" s="57">
        <f t="shared" si="53"/>
        <v>7.831089258948213E-3</v>
      </c>
      <c r="AD92" s="57">
        <f t="shared" si="53"/>
        <v>7.7402857688363942E-3</v>
      </c>
      <c r="AE92" s="57">
        <f t="shared" si="53"/>
        <v>7.9264290207783188E-3</v>
      </c>
      <c r="AF92" s="57">
        <f t="shared" si="53"/>
        <v>8.1680513909583429E-3</v>
      </c>
      <c r="AG92" s="57">
        <f t="shared" si="53"/>
        <v>8.2486377124283954E-3</v>
      </c>
      <c r="AH92" s="125">
        <f t="shared" si="53"/>
        <v>2.9312301207937359E-5</v>
      </c>
      <c r="AI92" s="125">
        <f t="shared" si="53"/>
        <v>1.9970573987960399E-5</v>
      </c>
      <c r="AJ92" s="125">
        <f t="shared" si="53"/>
        <v>1.3661165009176973E-5</v>
      </c>
      <c r="AK92" s="125">
        <f t="shared" si="53"/>
        <v>2.7724239979922149E-5</v>
      </c>
      <c r="AL92" s="125">
        <f t="shared" si="53"/>
        <v>2.1773020016149724E-5</v>
      </c>
      <c r="AM92" s="67"/>
      <c r="AN92" s="67"/>
    </row>
    <row r="93" spans="1:47">
      <c r="A93" s="66" t="s">
        <v>269</v>
      </c>
      <c r="B93" s="31">
        <v>6</v>
      </c>
      <c r="C93" s="61" t="s">
        <v>462</v>
      </c>
      <c r="D93" s="31" t="s">
        <v>12</v>
      </c>
      <c r="E93" s="57">
        <f t="shared" si="44"/>
        <v>9.2973106935406475E-4</v>
      </c>
      <c r="F93" s="57">
        <f t="shared" ref="F93:Y93" si="54">F$62*F73/100</f>
        <v>9.0778067216280411E-4</v>
      </c>
      <c r="G93" s="57">
        <f t="shared" si="54"/>
        <v>8.7661800955844628E-4</v>
      </c>
      <c r="H93" s="57">
        <f t="shared" si="54"/>
        <v>7.5818478078353263E-4</v>
      </c>
      <c r="I93" s="57">
        <f t="shared" si="54"/>
        <v>7.5376352295814409E-4</v>
      </c>
      <c r="J93" s="57">
        <f t="shared" si="54"/>
        <v>8.1922064108373531E-4</v>
      </c>
      <c r="K93" s="57">
        <f t="shared" si="54"/>
        <v>2.4400969103974459E-3</v>
      </c>
      <c r="L93" s="57">
        <f t="shared" si="54"/>
        <v>2.498451876530387E-3</v>
      </c>
      <c r="M93" s="57">
        <f t="shared" si="54"/>
        <v>2.5745313194177437E-3</v>
      </c>
      <c r="N93" s="57">
        <f t="shared" si="54"/>
        <v>2.5752289718377181E-3</v>
      </c>
      <c r="O93" s="57">
        <f t="shared" si="54"/>
        <v>7.5043704260112287E-3</v>
      </c>
      <c r="P93" s="57">
        <f t="shared" si="54"/>
        <v>7.8147837571598232E-3</v>
      </c>
      <c r="Q93" s="57">
        <f t="shared" si="54"/>
        <v>7.988697209972799E-3</v>
      </c>
      <c r="R93" s="57">
        <f t="shared" si="54"/>
        <v>8.7317447285207225E-3</v>
      </c>
      <c r="S93" s="57">
        <f t="shared" si="54"/>
        <v>8.2194356166672283E-3</v>
      </c>
      <c r="T93" s="57">
        <f t="shared" si="54"/>
        <v>8.3461892600097225E-3</v>
      </c>
      <c r="U93" s="57">
        <f t="shared" si="54"/>
        <v>2.4173066105480555E-2</v>
      </c>
      <c r="V93" s="57">
        <f t="shared" si="54"/>
        <v>2.3608044367992912E-2</v>
      </c>
      <c r="W93" s="57">
        <f t="shared" si="54"/>
        <v>2.3290932683846379E-2</v>
      </c>
      <c r="X93" s="57">
        <f t="shared" si="54"/>
        <v>5.5146732776702068E-2</v>
      </c>
      <c r="Y93" s="57">
        <f t="shared" si="54"/>
        <v>6.0587557175365341E-2</v>
      </c>
      <c r="Z93" s="57">
        <f t="shared" si="50"/>
        <v>6.0980343905890952E-2</v>
      </c>
      <c r="AA93" s="57">
        <f t="shared" ref="AA93:AL93" si="55">AA$62*AA73/100</f>
        <v>9.3849172656319896E-2</v>
      </c>
      <c r="AB93" s="57">
        <f t="shared" si="55"/>
        <v>9.2729931655753717E-2</v>
      </c>
      <c r="AC93" s="57">
        <f t="shared" si="55"/>
        <v>9.5733248213101751E-2</v>
      </c>
      <c r="AD93" s="57">
        <f t="shared" si="55"/>
        <v>9.0804296035580559E-2</v>
      </c>
      <c r="AE93" s="57">
        <f t="shared" si="55"/>
        <v>9.2194554984633928E-2</v>
      </c>
      <c r="AF93" s="57">
        <f t="shared" si="55"/>
        <v>9.4518793282351424E-2</v>
      </c>
      <c r="AG93" s="57">
        <f t="shared" si="55"/>
        <v>9.2863698334499992E-2</v>
      </c>
      <c r="AH93" s="125">
        <f t="shared" si="55"/>
        <v>4.1652325974894979E-5</v>
      </c>
      <c r="AI93" s="125">
        <f t="shared" si="55"/>
        <v>4.2547816295553651E-5</v>
      </c>
      <c r="AJ93" s="125">
        <f t="shared" si="55"/>
        <v>3.5897895025808166E-5</v>
      </c>
      <c r="AK93" s="125">
        <f t="shared" si="55"/>
        <v>9.0455716068646476E-5</v>
      </c>
      <c r="AL93" s="125">
        <f t="shared" si="55"/>
        <v>8.6306689166910615E-5</v>
      </c>
      <c r="AM93" s="67"/>
      <c r="AN93" s="67"/>
    </row>
    <row r="94" spans="1:47">
      <c r="A94" s="66" t="s">
        <v>270</v>
      </c>
      <c r="B94" s="31">
        <v>6</v>
      </c>
      <c r="C94" s="61" t="s">
        <v>462</v>
      </c>
      <c r="D94" s="31" t="s">
        <v>12</v>
      </c>
      <c r="E94" s="57">
        <f t="shared" si="44"/>
        <v>4.8611753515446074E-3</v>
      </c>
      <c r="F94" s="57">
        <f t="shared" ref="F94:Y94" si="56">F$62*F74/100</f>
        <v>5.0569856428473291E-3</v>
      </c>
      <c r="G94" s="57">
        <f t="shared" si="56"/>
        <v>4.8944336906442147E-3</v>
      </c>
      <c r="H94" s="57">
        <f t="shared" si="56"/>
        <v>4.0707929975481935E-3</v>
      </c>
      <c r="I94" s="57">
        <f t="shared" si="56"/>
        <v>4.0203608432272473E-3</v>
      </c>
      <c r="J94" s="57">
        <f t="shared" si="56"/>
        <v>4.3022047307045902E-3</v>
      </c>
      <c r="K94" s="57">
        <f t="shared" si="56"/>
        <v>1.1495998790747692E-2</v>
      </c>
      <c r="L94" s="57">
        <f t="shared" si="56"/>
        <v>1.1604639773803297E-2</v>
      </c>
      <c r="M94" s="57">
        <f t="shared" si="56"/>
        <v>1.181713977252833E-2</v>
      </c>
      <c r="N94" s="57">
        <f t="shared" si="56"/>
        <v>1.1829347028880974E-2</v>
      </c>
      <c r="O94" s="57">
        <f t="shared" si="56"/>
        <v>2.9038556485908321E-2</v>
      </c>
      <c r="P94" s="57">
        <f t="shared" si="56"/>
        <v>3.0099297282481185E-2</v>
      </c>
      <c r="Q94" s="57">
        <f t="shared" si="56"/>
        <v>3.0476834414089243E-2</v>
      </c>
      <c r="R94" s="57">
        <f t="shared" si="56"/>
        <v>3.1457533752214543E-2</v>
      </c>
      <c r="S94" s="57">
        <f t="shared" si="56"/>
        <v>3.1048761786999259E-2</v>
      </c>
      <c r="T94" s="57">
        <f t="shared" si="56"/>
        <v>3.1256598084227115E-2</v>
      </c>
      <c r="U94" s="57">
        <f t="shared" si="56"/>
        <v>7.2142522768993883E-2</v>
      </c>
      <c r="V94" s="57">
        <f t="shared" si="56"/>
        <v>7.0916434185637145E-2</v>
      </c>
      <c r="W94" s="57">
        <f t="shared" si="56"/>
        <v>6.976866519109777E-2</v>
      </c>
      <c r="X94" s="57">
        <f t="shared" si="56"/>
        <v>0.12016273169856316</v>
      </c>
      <c r="Y94" s="57">
        <f t="shared" si="56"/>
        <v>0.13393916983336232</v>
      </c>
      <c r="Z94" s="57">
        <f t="shared" si="50"/>
        <v>0.1340593010542287</v>
      </c>
      <c r="AA94" s="57">
        <f t="shared" ref="AA94:AL94" si="57">AA$62*AA74/100</f>
        <v>0.17082714835063315</v>
      </c>
      <c r="AB94" s="57">
        <f t="shared" si="57"/>
        <v>0.17002379895856265</v>
      </c>
      <c r="AC94" s="57">
        <f t="shared" si="57"/>
        <v>0.17196941704986174</v>
      </c>
      <c r="AD94" s="57">
        <f t="shared" si="57"/>
        <v>0.16882754487213439</v>
      </c>
      <c r="AE94" s="57">
        <f t="shared" si="57"/>
        <v>0.17076382250859859</v>
      </c>
      <c r="AF94" s="57">
        <f t="shared" si="57"/>
        <v>0.1712660461063561</v>
      </c>
      <c r="AG94" s="57">
        <f t="shared" si="57"/>
        <v>0.17116140445865025</v>
      </c>
      <c r="AH94" s="125">
        <f t="shared" si="57"/>
        <v>2.7771749256780645E-4</v>
      </c>
      <c r="AI94" s="125">
        <f t="shared" si="57"/>
        <v>2.6475685044531454E-4</v>
      </c>
      <c r="AJ94" s="125">
        <f t="shared" si="57"/>
        <v>2.9227430681842497E-4</v>
      </c>
      <c r="AK94" s="125">
        <f t="shared" si="57"/>
        <v>5.2470021298288124E-4</v>
      </c>
      <c r="AL94" s="125">
        <f t="shared" si="57"/>
        <v>5.3775238821534167E-4</v>
      </c>
      <c r="AM94" s="67"/>
      <c r="AN94" s="67"/>
    </row>
    <row r="95" spans="1:47">
      <c r="A95" s="66" t="s">
        <v>169</v>
      </c>
      <c r="B95" s="31">
        <v>6</v>
      </c>
      <c r="C95" s="61" t="s">
        <v>462</v>
      </c>
      <c r="D95" s="31" t="s">
        <v>12</v>
      </c>
      <c r="E95" s="57">
        <f t="shared" si="44"/>
        <v>4.1990385473728714E-2</v>
      </c>
      <c r="F95" s="57">
        <f t="shared" ref="F95:Y95" si="58">F$62*F75/100</f>
        <v>4.7205322347405244E-2</v>
      </c>
      <c r="G95" s="57">
        <f t="shared" si="58"/>
        <v>4.5419611704607933E-2</v>
      </c>
      <c r="H95" s="57">
        <f t="shared" si="58"/>
        <v>3.9105828896791123E-2</v>
      </c>
      <c r="I95" s="57">
        <f t="shared" si="58"/>
        <v>3.7245477454348773E-2</v>
      </c>
      <c r="J95" s="57">
        <f t="shared" si="58"/>
        <v>3.9262286727569623E-2</v>
      </c>
      <c r="K95" s="57">
        <f t="shared" si="58"/>
        <v>9.2419230378343015E-2</v>
      </c>
      <c r="L95" s="57">
        <f t="shared" si="58"/>
        <v>9.336948911486323E-2</v>
      </c>
      <c r="M95" s="57">
        <f t="shared" si="58"/>
        <v>9.2876394614822555E-2</v>
      </c>
      <c r="N95" s="57">
        <f t="shared" si="58"/>
        <v>9.1998164954878073E-2</v>
      </c>
      <c r="O95" s="57">
        <f t="shared" si="58"/>
        <v>0.19857152500169911</v>
      </c>
      <c r="P95" s="57">
        <f t="shared" si="58"/>
        <v>0.20150821278214573</v>
      </c>
      <c r="Q95" s="57">
        <f t="shared" si="58"/>
        <v>0.201444841415442</v>
      </c>
      <c r="R95" s="57">
        <f t="shared" si="58"/>
        <v>0.20527302856578419</v>
      </c>
      <c r="S95" s="57">
        <f t="shared" si="58"/>
        <v>0.20125142518390832</v>
      </c>
      <c r="T95" s="57">
        <f t="shared" si="58"/>
        <v>0.20087159195855669</v>
      </c>
      <c r="U95" s="57">
        <f t="shared" si="58"/>
        <v>0.40019459271844815</v>
      </c>
      <c r="V95" s="57">
        <f t="shared" si="58"/>
        <v>0.39228391867648765</v>
      </c>
      <c r="W95" s="57">
        <f t="shared" si="58"/>
        <v>0.38429299434034209</v>
      </c>
      <c r="X95" s="57">
        <f t="shared" si="58"/>
        <v>0.57018903701379198</v>
      </c>
      <c r="Y95" s="57">
        <f t="shared" si="58"/>
        <v>0.62716725613248336</v>
      </c>
      <c r="Z95" s="57">
        <f t="shared" si="50"/>
        <v>0.62435152084332624</v>
      </c>
      <c r="AA95" s="57">
        <f t="shared" ref="AA95:AL95" si="59">AA$62*AA75/100</f>
        <v>0.73849191659549429</v>
      </c>
      <c r="AB95" s="57">
        <f t="shared" si="59"/>
        <v>0.73450361811177278</v>
      </c>
      <c r="AC95" s="57">
        <f t="shared" si="59"/>
        <v>0.73620173123984711</v>
      </c>
      <c r="AD95" s="57">
        <f t="shared" si="59"/>
        <v>0.72850579826400075</v>
      </c>
      <c r="AE95" s="57">
        <f t="shared" si="59"/>
        <v>0.73488629384930748</v>
      </c>
      <c r="AF95" s="57">
        <f t="shared" si="59"/>
        <v>0.73115753114065019</v>
      </c>
      <c r="AG95" s="57">
        <f t="shared" si="59"/>
        <v>0.7335730493237288</v>
      </c>
      <c r="AH95" s="125">
        <f t="shared" si="59"/>
        <v>3.3872938984951984E-3</v>
      </c>
      <c r="AI95" s="125">
        <f t="shared" si="59"/>
        <v>3.2185447355353746E-3</v>
      </c>
      <c r="AJ95" s="125">
        <f t="shared" si="59"/>
        <v>3.4152843722505223E-3</v>
      </c>
      <c r="AK95" s="125">
        <f t="shared" si="59"/>
        <v>5.0497086439222141E-3</v>
      </c>
      <c r="AL95" s="125">
        <f t="shared" si="59"/>
        <v>5.2324359156999513E-3</v>
      </c>
      <c r="AM95" s="67"/>
      <c r="AN95" s="67"/>
    </row>
    <row r="96" spans="1:47">
      <c r="A96" s="66" t="s">
        <v>171</v>
      </c>
      <c r="B96" s="31">
        <v>6</v>
      </c>
      <c r="C96" s="61" t="s">
        <v>462</v>
      </c>
      <c r="D96" s="31" t="s">
        <v>12</v>
      </c>
      <c r="E96" s="57">
        <f t="shared" si="44"/>
        <v>3.1910394302084873E-2</v>
      </c>
      <c r="F96" s="57">
        <f t="shared" ref="F96:Y96" si="60">F$62*F76/100</f>
        <v>3.618527866549974E-2</v>
      </c>
      <c r="G96" s="57">
        <f t="shared" si="60"/>
        <v>3.4919782403093257E-2</v>
      </c>
      <c r="H96" s="57">
        <f t="shared" si="60"/>
        <v>3.1569325632252197E-2</v>
      </c>
      <c r="I96" s="57">
        <f t="shared" si="60"/>
        <v>3.0135782371693624E-2</v>
      </c>
      <c r="J96" s="57">
        <f t="shared" si="60"/>
        <v>3.1208662225362175E-2</v>
      </c>
      <c r="K96" s="57">
        <f t="shared" si="60"/>
        <v>6.1603633847350341E-2</v>
      </c>
      <c r="L96" s="57">
        <f t="shared" si="60"/>
        <v>6.234148551666184E-2</v>
      </c>
      <c r="M96" s="57">
        <f t="shared" si="60"/>
        <v>6.1686048186511272E-2</v>
      </c>
      <c r="N96" s="57">
        <f t="shared" si="60"/>
        <v>6.0894040249372956E-2</v>
      </c>
      <c r="O96" s="57">
        <f t="shared" si="60"/>
        <v>0.12427186756231862</v>
      </c>
      <c r="P96" s="57">
        <f t="shared" si="60"/>
        <v>0.12579628793343273</v>
      </c>
      <c r="Q96" s="57">
        <f t="shared" si="60"/>
        <v>0.12577910524007299</v>
      </c>
      <c r="R96" s="57">
        <f t="shared" si="60"/>
        <v>0.12802246514139876</v>
      </c>
      <c r="S96" s="57">
        <f t="shared" si="60"/>
        <v>0.12507760083179834</v>
      </c>
      <c r="T96" s="57">
        <f t="shared" si="60"/>
        <v>0.12456007222816388</v>
      </c>
      <c r="U96" s="57">
        <f t="shared" si="60"/>
        <v>0.25032905387652243</v>
      </c>
      <c r="V96" s="57">
        <f t="shared" si="60"/>
        <v>0.24508119363721637</v>
      </c>
      <c r="W96" s="57">
        <f t="shared" si="60"/>
        <v>0.23986163235318547</v>
      </c>
      <c r="X96" s="57">
        <f t="shared" si="60"/>
        <v>0.36235204717967973</v>
      </c>
      <c r="Y96" s="57">
        <f t="shared" si="60"/>
        <v>0.39783328218242686</v>
      </c>
      <c r="Z96" s="57">
        <f t="shared" si="50"/>
        <v>0.39593857839608154</v>
      </c>
      <c r="AA96" s="57">
        <f t="shared" ref="AA96:AL96" si="61">AA$62*AA76/100</f>
        <v>0.46776175568397355</v>
      </c>
      <c r="AB96" s="57">
        <f t="shared" si="61"/>
        <v>0.46505256255521588</v>
      </c>
      <c r="AC96" s="57">
        <f t="shared" si="61"/>
        <v>0.46640674323931547</v>
      </c>
      <c r="AD96" s="57">
        <f t="shared" si="61"/>
        <v>0.4607589984529008</v>
      </c>
      <c r="AE96" s="57">
        <f t="shared" si="61"/>
        <v>0.46474580946035771</v>
      </c>
      <c r="AF96" s="57">
        <f t="shared" si="61"/>
        <v>0.46290278337808971</v>
      </c>
      <c r="AG96" s="57">
        <f t="shared" si="61"/>
        <v>0.46389505292121919</v>
      </c>
      <c r="AH96" s="125">
        <f t="shared" si="61"/>
        <v>1.2108506144781246E-2</v>
      </c>
      <c r="AI96" s="125">
        <f t="shared" si="61"/>
        <v>1.1590563535507898E-2</v>
      </c>
      <c r="AJ96" s="125">
        <f t="shared" si="61"/>
        <v>1.2037429945521892E-2</v>
      </c>
      <c r="AK96" s="125">
        <f t="shared" si="61"/>
        <v>1.2490591946778016E-2</v>
      </c>
      <c r="AL96" s="125">
        <f t="shared" si="61"/>
        <v>1.2537398697816782E-2</v>
      </c>
      <c r="AM96" s="67"/>
      <c r="AN96" s="67"/>
    </row>
    <row r="97" spans="1:47">
      <c r="A97" s="66" t="s">
        <v>174</v>
      </c>
      <c r="B97" s="31">
        <v>6</v>
      </c>
      <c r="C97" s="61" t="s">
        <v>461</v>
      </c>
      <c r="D97" s="31" t="s">
        <v>12</v>
      </c>
      <c r="E97" s="57">
        <f t="shared" si="44"/>
        <v>2.3569891372452045</v>
      </c>
      <c r="F97" s="57">
        <f t="shared" ref="F97:Y97" si="62">F$62*F77/100</f>
        <v>2.3133663047377793</v>
      </c>
      <c r="G97" s="57">
        <f t="shared" si="62"/>
        <v>2.2769488266555196</v>
      </c>
      <c r="H97" s="57">
        <f t="shared" si="62"/>
        <v>2.3112174301259802</v>
      </c>
      <c r="I97" s="57">
        <f t="shared" si="62"/>
        <v>2.226618377647704</v>
      </c>
      <c r="J97" s="57">
        <f t="shared" si="62"/>
        <v>2.2722919986077605</v>
      </c>
      <c r="K97" s="57">
        <f t="shared" si="62"/>
        <v>2.2181949226787174</v>
      </c>
      <c r="L97" s="57">
        <f t="shared" si="62"/>
        <v>2.2477012689957676</v>
      </c>
      <c r="M97" s="57">
        <f t="shared" si="62"/>
        <v>2.2088348561851916</v>
      </c>
      <c r="N97" s="57">
        <f t="shared" si="62"/>
        <v>2.18049209766161</v>
      </c>
      <c r="O97" s="57">
        <f t="shared" si="62"/>
        <v>2.0356466229136756</v>
      </c>
      <c r="P97" s="57">
        <f t="shared" si="62"/>
        <v>2.004745271768348</v>
      </c>
      <c r="Q97" s="57">
        <f t="shared" si="62"/>
        <v>1.9633540873368036</v>
      </c>
      <c r="R97" s="57">
        <f t="shared" si="62"/>
        <v>2.0433974001560498</v>
      </c>
      <c r="S97" s="57">
        <f t="shared" si="62"/>
        <v>2.0313881022889815</v>
      </c>
      <c r="T97" s="57">
        <f t="shared" si="62"/>
        <v>2.0098411310911302</v>
      </c>
      <c r="U97" s="57">
        <f t="shared" si="62"/>
        <v>1.6540630705812516</v>
      </c>
      <c r="V97" s="57">
        <f t="shared" si="62"/>
        <v>1.6516819504417619</v>
      </c>
      <c r="W97" s="57">
        <f t="shared" si="62"/>
        <v>1.641815115204633</v>
      </c>
      <c r="X97" s="57">
        <f t="shared" si="62"/>
        <v>1.2684009476369011</v>
      </c>
      <c r="Y97" s="57">
        <f t="shared" si="62"/>
        <v>1.1330425663601831</v>
      </c>
      <c r="Z97" s="57">
        <f t="shared" si="50"/>
        <v>1.1146574658262738</v>
      </c>
      <c r="AA97" s="57">
        <f t="shared" ref="AA97:AL97" si="63">AA$62*AA77/100</f>
        <v>0.89762043663519231</v>
      </c>
      <c r="AB97" s="57">
        <f t="shared" si="63"/>
        <v>0.90779932488207049</v>
      </c>
      <c r="AC97" s="57">
        <f t="shared" si="63"/>
        <v>0.87525202605996943</v>
      </c>
      <c r="AD97" s="57">
        <f t="shared" si="63"/>
        <v>0.9207779444083688</v>
      </c>
      <c r="AE97" s="57">
        <f t="shared" si="63"/>
        <v>0.92311451190199179</v>
      </c>
      <c r="AF97" s="57">
        <f t="shared" si="63"/>
        <v>0.88445310264064214</v>
      </c>
      <c r="AG97" s="57">
        <f t="shared" si="63"/>
        <v>0.92049372863770085</v>
      </c>
      <c r="AH97" s="125">
        <f t="shared" si="63"/>
        <v>2.5035065289038991</v>
      </c>
      <c r="AI97" s="125">
        <f t="shared" si="63"/>
        <v>2.3928666579075499</v>
      </c>
      <c r="AJ97" s="125">
        <f t="shared" si="63"/>
        <v>2.4798357893636189</v>
      </c>
      <c r="AK97" s="125">
        <f t="shared" si="63"/>
        <v>2.4460861089850194</v>
      </c>
      <c r="AL97" s="125">
        <f t="shared" si="63"/>
        <v>2.4450399851399789</v>
      </c>
      <c r="AM97" s="67"/>
      <c r="AN97" s="67"/>
    </row>
    <row r="98" spans="1:47">
      <c r="A98" s="66" t="s">
        <v>272</v>
      </c>
      <c r="B98" s="31">
        <v>6</v>
      </c>
      <c r="C98" s="61" t="s">
        <v>463</v>
      </c>
      <c r="D98" s="31" t="s">
        <v>12</v>
      </c>
      <c r="E98" s="57">
        <f t="shared" si="44"/>
        <v>1.3336199597427198E-2</v>
      </c>
      <c r="F98" s="57">
        <f t="shared" ref="F98:Y98" si="64">F$62*F78/100</f>
        <v>1.2885429240579947E-2</v>
      </c>
      <c r="G98" s="57">
        <f t="shared" si="64"/>
        <v>1.2570823545185376E-2</v>
      </c>
      <c r="H98" s="57">
        <f t="shared" si="64"/>
        <v>1.3096789763447768E-2</v>
      </c>
      <c r="I98" s="57">
        <f t="shared" si="64"/>
        <v>1.2434612201927805E-2</v>
      </c>
      <c r="J98" s="57">
        <f t="shared" si="64"/>
        <v>1.2585295888549867E-2</v>
      </c>
      <c r="K98" s="57">
        <f t="shared" si="64"/>
        <v>1.1005118811194446E-2</v>
      </c>
      <c r="L98" s="57">
        <f t="shared" si="64"/>
        <v>1.1121209371381446E-2</v>
      </c>
      <c r="M98" s="57">
        <f t="shared" si="64"/>
        <v>1.0640920522010591E-2</v>
      </c>
      <c r="N98" s="57">
        <f t="shared" si="64"/>
        <v>1.0454479778543387E-2</v>
      </c>
      <c r="O98" s="57">
        <f t="shared" si="64"/>
        <v>9.5531243357920084E-3</v>
      </c>
      <c r="P98" s="57">
        <f t="shared" si="64"/>
        <v>9.5017716465429607E-3</v>
      </c>
      <c r="Q98" s="57">
        <f t="shared" si="64"/>
        <v>9.0444030553990824E-3</v>
      </c>
      <c r="R98" s="57">
        <f t="shared" si="64"/>
        <v>9.2571636255223567E-3</v>
      </c>
      <c r="S98" s="57">
        <f t="shared" si="64"/>
        <v>9.1153009096621353E-3</v>
      </c>
      <c r="T98" s="57">
        <f t="shared" si="64"/>
        <v>8.96138165034094E-3</v>
      </c>
      <c r="U98" s="57">
        <f t="shared" si="64"/>
        <v>9.3504784885937529E-3</v>
      </c>
      <c r="V98" s="57">
        <f t="shared" si="64"/>
        <v>9.270826099978563E-3</v>
      </c>
      <c r="W98" s="57">
        <f t="shared" si="64"/>
        <v>9.0626165064318035E-3</v>
      </c>
      <c r="X98" s="57">
        <f t="shared" si="64"/>
        <v>9.057008857165259E-3</v>
      </c>
      <c r="Y98" s="57">
        <f t="shared" si="64"/>
        <v>8.8567322492529178E-3</v>
      </c>
      <c r="Z98" s="57">
        <f t="shared" si="50"/>
        <v>8.7062939411654619E-3</v>
      </c>
      <c r="AA98" s="57">
        <f t="shared" ref="AA98:AL98" si="65">AA$62*AA78/100</f>
        <v>7.9077719052252533E-3</v>
      </c>
      <c r="AB98" s="57">
        <f t="shared" si="65"/>
        <v>7.8584948383707727E-3</v>
      </c>
      <c r="AC98" s="57">
        <f t="shared" si="65"/>
        <v>7.6082153790872509E-3</v>
      </c>
      <c r="AD98" s="57">
        <f t="shared" si="65"/>
        <v>7.7065472532028582E-3</v>
      </c>
      <c r="AE98" s="57">
        <f t="shared" si="65"/>
        <v>7.7183968819890059E-3</v>
      </c>
      <c r="AF98" s="57">
        <f t="shared" si="65"/>
        <v>7.4189134877291176E-3</v>
      </c>
      <c r="AG98" s="57">
        <f t="shared" si="65"/>
        <v>7.513488658424855E-3</v>
      </c>
      <c r="AH98" s="125">
        <f t="shared" si="65"/>
        <v>1.6170001982519687E-2</v>
      </c>
      <c r="AI98" s="125">
        <f t="shared" si="65"/>
        <v>1.4853261649072141E-3</v>
      </c>
      <c r="AJ98" s="125">
        <f t="shared" si="65"/>
        <v>1.9007357591539439E-3</v>
      </c>
      <c r="AK98" s="125">
        <f t="shared" si="65"/>
        <v>1.4622895767483497E-2</v>
      </c>
      <c r="AL98" s="125">
        <f t="shared" si="65"/>
        <v>1.5175478618039527E-2</v>
      </c>
      <c r="AM98" s="67"/>
      <c r="AN98" s="67"/>
    </row>
    <row r="99" spans="1:47">
      <c r="A99" s="66" t="s">
        <v>273</v>
      </c>
      <c r="B99" s="31">
        <v>7</v>
      </c>
      <c r="C99" s="61" t="s">
        <v>462</v>
      </c>
      <c r="D99" s="31" t="s">
        <v>12</v>
      </c>
      <c r="E99" s="57">
        <f t="shared" si="44"/>
        <v>1.4733532601572133E-2</v>
      </c>
      <c r="F99" s="57">
        <f t="shared" ref="F99:Y99" si="66">F$62*F79/100</f>
        <v>1.3819168258025795E-2</v>
      </c>
      <c r="G99" s="57">
        <f t="shared" si="66"/>
        <v>1.3358429591267944E-2</v>
      </c>
      <c r="H99" s="57">
        <f t="shared" si="66"/>
        <v>1.2186812348226448E-2</v>
      </c>
      <c r="I99" s="57">
        <f t="shared" si="66"/>
        <v>1.1540915902841726E-2</v>
      </c>
      <c r="J99" s="57">
        <f t="shared" si="66"/>
        <v>1.2025056906017654E-2</v>
      </c>
      <c r="K99" s="57">
        <f t="shared" si="66"/>
        <v>2.3901330462551461E-2</v>
      </c>
      <c r="L99" s="57">
        <f t="shared" si="66"/>
        <v>2.4172614576102407E-2</v>
      </c>
      <c r="M99" s="57">
        <f t="shared" si="66"/>
        <v>2.3725467003201842E-2</v>
      </c>
      <c r="N99" s="57">
        <f t="shared" si="66"/>
        <v>2.3329974527679109E-2</v>
      </c>
      <c r="O99" s="57">
        <f t="shared" si="66"/>
        <v>3.8389245335291131E-2</v>
      </c>
      <c r="P99" s="57">
        <f t="shared" si="66"/>
        <v>3.8129096950433879E-2</v>
      </c>
      <c r="Q99" s="57">
        <f t="shared" si="66"/>
        <v>3.7477461595992904E-2</v>
      </c>
      <c r="R99" s="57">
        <f t="shared" si="66"/>
        <v>3.8146068170034061E-2</v>
      </c>
      <c r="S99" s="57">
        <f t="shared" si="66"/>
        <v>3.7444152452946501E-2</v>
      </c>
      <c r="T99" s="57">
        <f t="shared" si="66"/>
        <v>3.6965904991358017E-2</v>
      </c>
      <c r="U99" s="57">
        <f t="shared" si="66"/>
        <v>4.6671370540259105E-2</v>
      </c>
      <c r="V99" s="57">
        <f t="shared" si="66"/>
        <v>4.5843683220184256E-2</v>
      </c>
      <c r="W99" s="57">
        <f t="shared" si="66"/>
        <v>4.4838995639141191E-2</v>
      </c>
      <c r="X99" s="57">
        <f t="shared" si="66"/>
        <v>3.9100960335124536E-2</v>
      </c>
      <c r="Y99" s="57">
        <f t="shared" si="66"/>
        <v>3.6438147201810128E-2</v>
      </c>
      <c r="Z99" s="57">
        <f t="shared" si="50"/>
        <v>3.5250397471402885E-2</v>
      </c>
      <c r="AA99" s="57">
        <f t="shared" ref="AA99:AL99" si="67">AA$62*AA79/100</f>
        <v>2.4973765968102624E-2</v>
      </c>
      <c r="AB99" s="57">
        <f t="shared" si="67"/>
        <v>2.479554868250327E-2</v>
      </c>
      <c r="AC99" s="57">
        <f t="shared" si="67"/>
        <v>2.3248734456105556E-2</v>
      </c>
      <c r="AD99" s="57">
        <f t="shared" si="67"/>
        <v>2.4098869279474942E-2</v>
      </c>
      <c r="AE99" s="57">
        <f t="shared" si="67"/>
        <v>2.3908333868734429E-2</v>
      </c>
      <c r="AF99" s="57">
        <f t="shared" si="67"/>
        <v>2.2382697662492471E-2</v>
      </c>
      <c r="AG99" s="57">
        <f t="shared" si="67"/>
        <v>2.3097300570674318E-2</v>
      </c>
      <c r="AH99" s="125">
        <f t="shared" si="67"/>
        <v>9.2025292196611748E-4</v>
      </c>
      <c r="AI99" s="125">
        <f t="shared" si="67"/>
        <v>8.5184533230545057E-4</v>
      </c>
      <c r="AJ99" s="125">
        <f t="shared" si="67"/>
        <v>8.9708501287834156E-4</v>
      </c>
      <c r="AK99" s="125">
        <f t="shared" si="67"/>
        <v>1.5355989389841962E-3</v>
      </c>
      <c r="AL99" s="125">
        <f t="shared" si="67"/>
        <v>1.6312093001802812E-3</v>
      </c>
      <c r="AM99" s="67"/>
      <c r="AN99" s="67"/>
    </row>
    <row r="100" spans="1:47">
      <c r="A100" s="66" t="s">
        <v>274</v>
      </c>
      <c r="B100" s="31">
        <v>7</v>
      </c>
      <c r="C100" s="61" t="s">
        <v>462</v>
      </c>
      <c r="D100" s="31" t="s">
        <v>12</v>
      </c>
      <c r="E100" s="57">
        <f t="shared" si="44"/>
        <v>1.2451671418840833E-2</v>
      </c>
      <c r="F100" s="57">
        <f t="shared" ref="F100:Y100" si="68">F$62*F80/100</f>
        <v>1.2101431157122713E-2</v>
      </c>
      <c r="G100" s="57">
        <f t="shared" si="68"/>
        <v>1.1612736076084327E-2</v>
      </c>
      <c r="H100" s="57">
        <f t="shared" si="68"/>
        <v>1.0515789996377856E-2</v>
      </c>
      <c r="I100" s="57">
        <f t="shared" si="68"/>
        <v>9.8500400518079928E-3</v>
      </c>
      <c r="J100" s="57">
        <f t="shared" si="68"/>
        <v>1.0299727858742638E-2</v>
      </c>
      <c r="K100" s="57">
        <f t="shared" si="68"/>
        <v>2.2279120025159461E-2</v>
      </c>
      <c r="L100" s="57">
        <f t="shared" si="68"/>
        <v>2.2482399618104835E-2</v>
      </c>
      <c r="M100" s="57">
        <f t="shared" si="68"/>
        <v>2.2055268317277256E-2</v>
      </c>
      <c r="N100" s="57">
        <f t="shared" si="68"/>
        <v>2.1650217330092453E-2</v>
      </c>
      <c r="O100" s="57">
        <f t="shared" si="68"/>
        <v>3.8997374632541167E-2</v>
      </c>
      <c r="P100" s="57">
        <f t="shared" si="68"/>
        <v>3.887133423836913E-2</v>
      </c>
      <c r="Q100" s="57">
        <f t="shared" si="68"/>
        <v>3.8276319297261385E-2</v>
      </c>
      <c r="R100" s="57">
        <f t="shared" si="68"/>
        <v>3.891419836396165E-2</v>
      </c>
      <c r="S100" s="57">
        <f t="shared" si="68"/>
        <v>3.8194070483529921E-2</v>
      </c>
      <c r="T100" s="57">
        <f t="shared" si="68"/>
        <v>3.7740064720470444E-2</v>
      </c>
      <c r="U100" s="57">
        <f t="shared" si="68"/>
        <v>5.09749715981163E-2</v>
      </c>
      <c r="V100" s="57">
        <f t="shared" si="68"/>
        <v>5.015128959841262E-2</v>
      </c>
      <c r="W100" s="57">
        <f t="shared" si="68"/>
        <v>4.9036404364861758E-2</v>
      </c>
      <c r="X100" s="57">
        <f t="shared" si="68"/>
        <v>4.352854535133311E-2</v>
      </c>
      <c r="Y100" s="57">
        <f t="shared" si="68"/>
        <v>4.0827053880952847E-2</v>
      </c>
      <c r="Z100" s="57">
        <f t="shared" si="50"/>
        <v>3.9652803694555955E-2</v>
      </c>
      <c r="AA100" s="57">
        <f t="shared" ref="AA100:AL100" si="69">AA$62*AA80/100</f>
        <v>2.8007520432864318E-2</v>
      </c>
      <c r="AB100" s="57">
        <f t="shared" si="69"/>
        <v>2.7810944613811509E-2</v>
      </c>
      <c r="AC100" s="57">
        <f t="shared" si="69"/>
        <v>2.6073038517009234E-2</v>
      </c>
      <c r="AD100" s="57">
        <f t="shared" si="69"/>
        <v>2.7103748785936573E-2</v>
      </c>
      <c r="AE100" s="57">
        <f t="shared" si="69"/>
        <v>2.6848762609948812E-2</v>
      </c>
      <c r="AF100" s="57">
        <f t="shared" si="69"/>
        <v>2.5081107116839578E-2</v>
      </c>
      <c r="AG100" s="57">
        <f t="shared" si="69"/>
        <v>2.6020129920015039E-2</v>
      </c>
      <c r="AH100" s="125">
        <f t="shared" si="69"/>
        <v>5.6915639461156079E-4</v>
      </c>
      <c r="AI100" s="125">
        <f t="shared" si="69"/>
        <v>5.220734559921986E-4</v>
      </c>
      <c r="AJ100" s="125">
        <f t="shared" si="69"/>
        <v>5.6571281607047921E-4</v>
      </c>
      <c r="AK100" s="125">
        <f t="shared" si="69"/>
        <v>9.2042617425530302E-4</v>
      </c>
      <c r="AL100" s="125">
        <f t="shared" si="69"/>
        <v>9.7052966687131699E-4</v>
      </c>
      <c r="AM100" s="67"/>
      <c r="AN100" s="67"/>
    </row>
    <row r="101" spans="1:47">
      <c r="A101" s="66" t="s">
        <v>177</v>
      </c>
      <c r="B101" s="31">
        <v>7</v>
      </c>
      <c r="C101" s="61" t="s">
        <v>462</v>
      </c>
      <c r="D101" s="31" t="s">
        <v>12</v>
      </c>
      <c r="E101" s="57">
        <f t="shared" si="44"/>
        <v>0.24796381750846752</v>
      </c>
      <c r="F101" s="57">
        <f t="shared" ref="F101:Y101" si="70">F$62*F81/100</f>
        <v>0.231421594086199</v>
      </c>
      <c r="G101" s="57">
        <f t="shared" si="70"/>
        <v>0.22862887571094626</v>
      </c>
      <c r="H101" s="57">
        <f t="shared" si="70"/>
        <v>0.24585178648954606</v>
      </c>
      <c r="I101" s="57">
        <f t="shared" si="70"/>
        <v>0.23811276070789031</v>
      </c>
      <c r="J101" s="57">
        <f t="shared" si="70"/>
        <v>0.24236164444562547</v>
      </c>
      <c r="K101" s="57">
        <f t="shared" si="70"/>
        <v>0.21336286612762773</v>
      </c>
      <c r="L101" s="57">
        <f t="shared" si="70"/>
        <v>0.21611736437856222</v>
      </c>
      <c r="M101" s="57">
        <f t="shared" si="70"/>
        <v>0.21203445824357658</v>
      </c>
      <c r="N101" s="57">
        <f t="shared" si="70"/>
        <v>0.20945087326033573</v>
      </c>
      <c r="O101" s="57">
        <f t="shared" si="70"/>
        <v>0.15881662657976359</v>
      </c>
      <c r="P101" s="57">
        <f t="shared" si="70"/>
        <v>0.15602655032114482</v>
      </c>
      <c r="Q101" s="57">
        <f t="shared" si="70"/>
        <v>0.15133421252897444</v>
      </c>
      <c r="R101" s="57">
        <f t="shared" si="70"/>
        <v>0.15926302925269029</v>
      </c>
      <c r="S101" s="57">
        <f t="shared" si="70"/>
        <v>0.1601626340199501</v>
      </c>
      <c r="T101" s="57">
        <f t="shared" si="70"/>
        <v>0.15745767664111043</v>
      </c>
      <c r="U101" s="57">
        <f t="shared" si="70"/>
        <v>8.7803976792341712E-2</v>
      </c>
      <c r="V101" s="57">
        <f t="shared" si="70"/>
        <v>8.864339946419332E-2</v>
      </c>
      <c r="W101" s="57">
        <f t="shared" si="70"/>
        <v>8.8534787764312048E-2</v>
      </c>
      <c r="X101" s="57">
        <f t="shared" si="70"/>
        <v>5.3606308742044112E-2</v>
      </c>
      <c r="Y101" s="57">
        <f t="shared" si="70"/>
        <v>3.5404148322052485E-2</v>
      </c>
      <c r="Z101" s="57">
        <f t="shared" si="50"/>
        <v>3.4360158306343438E-2</v>
      </c>
      <c r="AA101" s="57">
        <f t="shared" ref="AA101:AL101" si="71">AA$62*AA81/100</f>
        <v>1.8959000299912467E-2</v>
      </c>
      <c r="AB101" s="57">
        <f t="shared" si="71"/>
        <v>1.9203159312587814E-2</v>
      </c>
      <c r="AC101" s="57">
        <f t="shared" si="71"/>
        <v>1.7723320873109245E-2</v>
      </c>
      <c r="AD101" s="57">
        <f t="shared" si="71"/>
        <v>1.9240412620076693E-2</v>
      </c>
      <c r="AE101" s="57">
        <f t="shared" si="71"/>
        <v>1.902046636263182E-2</v>
      </c>
      <c r="AF101" s="57">
        <f t="shared" si="71"/>
        <v>1.7528254235156776E-2</v>
      </c>
      <c r="AG101" s="57">
        <f t="shared" si="71"/>
        <v>1.862275033777681E-2</v>
      </c>
      <c r="AH101" s="125">
        <f t="shared" si="71"/>
        <v>0.2987121081025999</v>
      </c>
      <c r="AI101" s="125">
        <f t="shared" si="71"/>
        <v>0.28352761205554478</v>
      </c>
      <c r="AJ101" s="125">
        <f t="shared" si="71"/>
        <v>0.29076653289597798</v>
      </c>
      <c r="AK101" s="125">
        <f t="shared" si="71"/>
        <v>0.28504291410065369</v>
      </c>
      <c r="AL101" s="125">
        <f t="shared" si="71"/>
        <v>0.28435141819887072</v>
      </c>
      <c r="AM101" s="67"/>
      <c r="AN101" s="67"/>
    </row>
    <row r="102" spans="1:47">
      <c r="A102" s="66" t="s">
        <v>175</v>
      </c>
      <c r="B102" s="31">
        <v>8</v>
      </c>
      <c r="C102" s="61" t="s">
        <v>461</v>
      </c>
      <c r="D102" s="31" t="s">
        <v>12</v>
      </c>
      <c r="E102" s="57">
        <f t="shared" si="44"/>
        <v>7.6190442773158229E-2</v>
      </c>
      <c r="F102" s="57">
        <f t="shared" ref="F102:Y102" si="72">F$62*F82/100</f>
        <v>6.3344275001520206E-2</v>
      </c>
      <c r="G102" s="57">
        <f t="shared" si="72"/>
        <v>6.2949760158373391E-2</v>
      </c>
      <c r="H102" s="57">
        <f t="shared" si="72"/>
        <v>9.8586465982758595E-2</v>
      </c>
      <c r="I102" s="57">
        <f t="shared" si="72"/>
        <v>9.7228971683724255E-2</v>
      </c>
      <c r="J102" s="57">
        <f t="shared" si="72"/>
        <v>9.858387225047302E-2</v>
      </c>
      <c r="K102" s="57">
        <f t="shared" si="72"/>
        <v>6.9824492060996141E-2</v>
      </c>
      <c r="L102" s="57">
        <f t="shared" si="72"/>
        <v>7.0772749159548828E-2</v>
      </c>
      <c r="M102" s="57">
        <f t="shared" si="72"/>
        <v>6.95570375520361E-2</v>
      </c>
      <c r="N102" s="57">
        <f t="shared" si="72"/>
        <v>6.8650460020191609E-2</v>
      </c>
      <c r="O102" s="57">
        <f t="shared" si="72"/>
        <v>3.5239648795152206E-2</v>
      </c>
      <c r="P102" s="57">
        <f t="shared" si="72"/>
        <v>3.3896859544959641E-2</v>
      </c>
      <c r="Q102" s="57">
        <f t="shared" si="72"/>
        <v>3.2769722037431087E-2</v>
      </c>
      <c r="R102" s="57">
        <f t="shared" si="72"/>
        <v>3.5193388399330033E-2</v>
      </c>
      <c r="S102" s="57">
        <f t="shared" si="72"/>
        <v>3.5891124282012681E-2</v>
      </c>
      <c r="T102" s="57">
        <f t="shared" si="72"/>
        <v>3.5375288198635453E-2</v>
      </c>
      <c r="U102" s="57">
        <f t="shared" si="72"/>
        <v>9.949980715126247E-3</v>
      </c>
      <c r="V102" s="57">
        <f t="shared" si="72"/>
        <v>1.0160329118892957E-2</v>
      </c>
      <c r="W102" s="57">
        <f t="shared" si="72"/>
        <v>1.0242306163448069E-2</v>
      </c>
      <c r="X102" s="57">
        <f t="shared" si="72"/>
        <v>5.0060432270026666E-3</v>
      </c>
      <c r="Y102" s="57">
        <f t="shared" si="72"/>
        <v>1.5951102714422045E-3</v>
      </c>
      <c r="Z102" s="57">
        <f t="shared" si="50"/>
        <v>1.4955942934247995E-3</v>
      </c>
      <c r="AA102" s="57">
        <f t="shared" ref="AA102:AL102" si="73">AA$62*AA82/100</f>
        <v>3.9359551226082664E-4</v>
      </c>
      <c r="AB102" s="57">
        <f t="shared" si="73"/>
        <v>4.0446504290519785E-4</v>
      </c>
      <c r="AC102" s="57">
        <f t="shared" si="73"/>
        <v>3.4634529333972444E-4</v>
      </c>
      <c r="AD102" s="57">
        <f t="shared" si="73"/>
        <v>4.0195412221074038E-4</v>
      </c>
      <c r="AE102" s="57">
        <f t="shared" si="73"/>
        <v>3.8866584786779622E-4</v>
      </c>
      <c r="AF102" s="57">
        <f t="shared" si="73"/>
        <v>3.4068396748091379E-4</v>
      </c>
      <c r="AG102" s="57">
        <f t="shared" si="73"/>
        <v>3.7100012816096748E-4</v>
      </c>
      <c r="AH102" s="125">
        <f t="shared" si="73"/>
        <v>0.14885050615394055</v>
      </c>
      <c r="AI102" s="125">
        <f t="shared" si="73"/>
        <v>0.14362598042907235</v>
      </c>
      <c r="AJ102" s="125">
        <f t="shared" si="73"/>
        <v>0.14419876050390459</v>
      </c>
      <c r="AK102" s="125">
        <f t="shared" si="73"/>
        <v>0.14058330026925778</v>
      </c>
      <c r="AL102" s="125">
        <f t="shared" si="73"/>
        <v>0.1403485223026463</v>
      </c>
      <c r="AM102" s="67"/>
      <c r="AN102" s="67"/>
    </row>
    <row r="103" spans="1:47">
      <c r="A103" s="61" t="s">
        <v>464</v>
      </c>
      <c r="B103" s="31">
        <v>3</v>
      </c>
      <c r="C103" s="61"/>
      <c r="D103" s="31" t="s">
        <v>12</v>
      </c>
      <c r="E103" s="57">
        <f t="shared" si="44"/>
        <v>8.3216549061200732E-5</v>
      </c>
      <c r="F103" s="57">
        <f t="shared" ref="F103:Y103" si="74">F$62*F83/100</f>
        <v>2.8850665680319027E-5</v>
      </c>
      <c r="G103" s="57">
        <f t="shared" si="74"/>
        <v>2.2507863371013865E-5</v>
      </c>
      <c r="H103" s="57">
        <f t="shared" si="74"/>
        <v>2.0295043235176996E-5</v>
      </c>
      <c r="I103" s="57">
        <f t="shared" si="74"/>
        <v>1.7543744422910008E-5</v>
      </c>
      <c r="J103" s="57">
        <f t="shared" si="74"/>
        <v>1.6927170202649676E-5</v>
      </c>
      <c r="K103" s="57">
        <f t="shared" si="74"/>
        <v>3.4978596506332084E-5</v>
      </c>
      <c r="L103" s="57">
        <f t="shared" si="74"/>
        <v>3.0242287943434815E-5</v>
      </c>
      <c r="M103" s="57">
        <f t="shared" si="74"/>
        <v>2.7451558506609774E-5</v>
      </c>
      <c r="N103" s="57">
        <f t="shared" si="74"/>
        <v>3.3262237389774445E-5</v>
      </c>
      <c r="O103" s="57">
        <f t="shared" si="74"/>
        <v>5.6211873946595296E-5</v>
      </c>
      <c r="P103" s="57">
        <f t="shared" si="74"/>
        <v>6.4476712772243433E-5</v>
      </c>
      <c r="Q103" s="57">
        <f t="shared" si="74"/>
        <v>5.9417141995405746E-5</v>
      </c>
      <c r="R103" s="57">
        <f t="shared" si="74"/>
        <v>5.7850408062561781E-4</v>
      </c>
      <c r="S103" s="57">
        <f t="shared" si="74"/>
        <v>6.3318612673334313E-5</v>
      </c>
      <c r="T103" s="57">
        <f t="shared" si="74"/>
        <v>5.7558666217444561E-5</v>
      </c>
      <c r="U103" s="57">
        <f t="shared" si="74"/>
        <v>1.6131617951279837E-4</v>
      </c>
      <c r="V103" s="57">
        <f t="shared" si="74"/>
        <v>1.4738101964145573E-4</v>
      </c>
      <c r="W103" s="57">
        <f t="shared" si="74"/>
        <v>1.598898818110881E-4</v>
      </c>
      <c r="X103" s="57">
        <f t="shared" si="74"/>
        <v>2.4323653795922866E-3</v>
      </c>
      <c r="Y103" s="57">
        <f t="shared" si="74"/>
        <v>3.3018513369325036E-4</v>
      </c>
      <c r="Z103" s="57">
        <f t="shared" si="50"/>
        <v>3.3319255297946387E-4</v>
      </c>
      <c r="AA103" s="57">
        <f t="shared" ref="AA103:AL103" si="75">AA$62*AA83/100</f>
        <v>3.5149278032067175E-4</v>
      </c>
      <c r="AB103" s="57">
        <f t="shared" si="75"/>
        <v>3.560100868134196E-4</v>
      </c>
      <c r="AC103" s="57">
        <f t="shared" si="75"/>
        <v>3.5070299471106183E-4</v>
      </c>
      <c r="AD103" s="57">
        <f t="shared" si="75"/>
        <v>3.4026503586118313E-4</v>
      </c>
      <c r="AE103" s="57">
        <f t="shared" si="75"/>
        <v>3.507888369802054E-4</v>
      </c>
      <c r="AF103" s="57">
        <f t="shared" si="75"/>
        <v>3.5626875491249875E-4</v>
      </c>
      <c r="AG103" s="57">
        <f t="shared" si="75"/>
        <v>3.5636598954441996E-4</v>
      </c>
      <c r="AH103" s="125">
        <f t="shared" si="75"/>
        <v>5.5543042238504896E-5</v>
      </c>
      <c r="AI103" s="125">
        <f t="shared" si="75"/>
        <v>0</v>
      </c>
      <c r="AJ103" s="125">
        <f t="shared" si="75"/>
        <v>0</v>
      </c>
      <c r="AK103" s="125">
        <f t="shared" si="75"/>
        <v>0</v>
      </c>
      <c r="AL103" s="125">
        <f t="shared" si="75"/>
        <v>0</v>
      </c>
      <c r="AM103" s="67"/>
      <c r="AN103" s="67"/>
    </row>
    <row r="104" spans="1:47">
      <c r="A104" s="61" t="s">
        <v>465</v>
      </c>
      <c r="B104" s="31">
        <v>7</v>
      </c>
      <c r="D104" s="31" t="s">
        <v>12</v>
      </c>
      <c r="E104" s="57">
        <f t="shared" si="44"/>
        <v>1.4621767413196783E-2</v>
      </c>
      <c r="F104" s="57">
        <f t="shared" ref="F104:Y104" si="76">F$62*F84/100</f>
        <v>1.4000998784564905E-2</v>
      </c>
      <c r="G104" s="57">
        <f t="shared" si="76"/>
        <v>1.3725116129664599E-2</v>
      </c>
      <c r="H104" s="57">
        <f t="shared" si="76"/>
        <v>1.2328137465457158E-2</v>
      </c>
      <c r="I104" s="57">
        <f t="shared" si="76"/>
        <v>1.1870573001135873E-2</v>
      </c>
      <c r="J104" s="57">
        <f t="shared" si="76"/>
        <v>1.2572872130412692E-2</v>
      </c>
      <c r="K104" s="57">
        <f t="shared" si="76"/>
        <v>2.4545855244027463E-2</v>
      </c>
      <c r="L104" s="57">
        <f t="shared" si="76"/>
        <v>2.4852230762942469E-2</v>
      </c>
      <c r="M104" s="57">
        <f t="shared" si="76"/>
        <v>2.5039074519335146E-2</v>
      </c>
      <c r="N104" s="57">
        <f t="shared" si="76"/>
        <v>2.4596466580397883E-2</v>
      </c>
      <c r="O104" s="57">
        <f t="shared" si="76"/>
        <v>4.2805801611773525E-2</v>
      </c>
      <c r="P104" s="57">
        <f t="shared" si="76"/>
        <v>4.3967933288869894E-2</v>
      </c>
      <c r="Q104" s="57">
        <f t="shared" si="76"/>
        <v>4.2662980354283724E-2</v>
      </c>
      <c r="R104" s="57">
        <f t="shared" si="76"/>
        <v>4.3642806856378773E-2</v>
      </c>
      <c r="S104" s="57">
        <f t="shared" si="76"/>
        <v>4.3070730972548078E-2</v>
      </c>
      <c r="T104" s="57">
        <f t="shared" si="76"/>
        <v>4.2356663414400024E-2</v>
      </c>
      <c r="U104" s="57">
        <f t="shared" si="76"/>
        <v>6.1512845606073077E-2</v>
      </c>
      <c r="V104" s="57">
        <f t="shared" si="76"/>
        <v>6.0428741872790598E-2</v>
      </c>
      <c r="W104" s="57">
        <f t="shared" si="76"/>
        <v>5.9097116267634503E-2</v>
      </c>
      <c r="X104" s="57">
        <f t="shared" si="76"/>
        <v>5.938258875916979E-2</v>
      </c>
      <c r="Y104" s="57">
        <f t="shared" si="76"/>
        <v>5.969941976674762E-2</v>
      </c>
      <c r="Z104" s="57">
        <f t="shared" si="50"/>
        <v>5.7844708691679195E-2</v>
      </c>
      <c r="AA104" s="57">
        <f t="shared" ref="AA104:AL104" si="77">AA$62*AA84/100</f>
        <v>4.7542103950761971E-2</v>
      </c>
      <c r="AB104" s="57">
        <f t="shared" si="77"/>
        <v>4.7052459176494379E-2</v>
      </c>
      <c r="AC104" s="57">
        <f t="shared" si="77"/>
        <v>4.4715026118063307E-2</v>
      </c>
      <c r="AD104" s="57">
        <f t="shared" si="77"/>
        <v>4.5367003130828823E-2</v>
      </c>
      <c r="AE104" s="57">
        <f t="shared" si="77"/>
        <v>4.5223419353147561E-2</v>
      </c>
      <c r="AF104" s="57">
        <f t="shared" si="77"/>
        <v>4.289771627941253E-2</v>
      </c>
      <c r="AG104" s="57">
        <f t="shared" si="77"/>
        <v>4.3808152024344495E-2</v>
      </c>
      <c r="AH104" s="125">
        <f t="shared" si="77"/>
        <v>2.5254662220736894E-3</v>
      </c>
      <c r="AI104" s="125">
        <f t="shared" si="77"/>
        <v>1.4887708958288292E-2</v>
      </c>
      <c r="AJ104" s="125">
        <f t="shared" si="77"/>
        <v>1.596020184123674E-2</v>
      </c>
      <c r="AK104" s="125">
        <f t="shared" si="77"/>
        <v>2.8845639235106396E-3</v>
      </c>
      <c r="AL104" s="125">
        <f t="shared" si="77"/>
        <v>3.9894453759429759E-3</v>
      </c>
      <c r="AM104" s="67"/>
      <c r="AN104" s="67"/>
    </row>
    <row r="105" spans="1:47">
      <c r="A105" s="61" t="s">
        <v>466</v>
      </c>
      <c r="B105" s="31">
        <v>8</v>
      </c>
      <c r="D105" s="31" t="s">
        <v>12</v>
      </c>
      <c r="E105" s="57">
        <f t="shared" si="44"/>
        <v>3.1369805184699721E-2</v>
      </c>
      <c r="F105" s="57">
        <f t="shared" ref="F105:Y105" si="78">F$62*F85/100</f>
        <v>2.4141902703935826E-2</v>
      </c>
      <c r="G105" s="57">
        <f t="shared" si="78"/>
        <v>2.3233966777325317E-2</v>
      </c>
      <c r="H105" s="57">
        <f t="shared" si="78"/>
        <v>3.0853221292697817E-2</v>
      </c>
      <c r="I105" s="57">
        <f t="shared" si="78"/>
        <v>2.9382062560342724E-2</v>
      </c>
      <c r="J105" s="57">
        <f t="shared" si="78"/>
        <v>3.0311972297264071E-2</v>
      </c>
      <c r="K105" s="57">
        <f t="shared" si="78"/>
        <v>4.9542967368131352E-2</v>
      </c>
      <c r="L105" s="57">
        <f t="shared" si="78"/>
        <v>5.0267756260519311E-2</v>
      </c>
      <c r="M105" s="57">
        <f t="shared" si="78"/>
        <v>4.8886233805705885E-2</v>
      </c>
      <c r="N105" s="57">
        <f t="shared" si="78"/>
        <v>4.7815650914762947E-2</v>
      </c>
      <c r="O105" s="57">
        <f t="shared" si="78"/>
        <v>5.7484309485088148E-2</v>
      </c>
      <c r="P105" s="57">
        <f t="shared" si="78"/>
        <v>5.5647409655551462E-2</v>
      </c>
      <c r="Q105" s="57">
        <f t="shared" si="78"/>
        <v>5.4112854682303493E-2</v>
      </c>
      <c r="R105" s="57">
        <f t="shared" si="78"/>
        <v>5.5561957754874325E-2</v>
      </c>
      <c r="S105" s="57">
        <f t="shared" si="78"/>
        <v>5.4942076902520294E-2</v>
      </c>
      <c r="T105" s="57">
        <f t="shared" si="78"/>
        <v>5.4013647098391175E-2</v>
      </c>
      <c r="U105" s="57">
        <f t="shared" si="78"/>
        <v>3.6942389618764754E-2</v>
      </c>
      <c r="V105" s="57">
        <f t="shared" si="78"/>
        <v>3.6485687169018066E-2</v>
      </c>
      <c r="W105" s="57">
        <f t="shared" si="78"/>
        <v>3.567646382033679E-2</v>
      </c>
      <c r="X105" s="57">
        <f t="shared" si="78"/>
        <v>2.1876256140432475E-2</v>
      </c>
      <c r="Y105" s="57">
        <f t="shared" si="78"/>
        <v>1.2454302601068688E-2</v>
      </c>
      <c r="Z105" s="57">
        <f t="shared" si="50"/>
        <v>1.1770328222086171E-2</v>
      </c>
      <c r="AA105" s="57">
        <f t="shared" ref="AA105:AL105" si="79">AA$62*AA85/100</f>
        <v>6.12727139393438E-3</v>
      </c>
      <c r="AB105" s="57">
        <f t="shared" si="79"/>
        <v>6.2409278768506028E-3</v>
      </c>
      <c r="AC105" s="57">
        <f t="shared" si="79"/>
        <v>5.8874266086720393E-3</v>
      </c>
      <c r="AD105" s="57">
        <f t="shared" si="79"/>
        <v>6.2243025703500165E-3</v>
      </c>
      <c r="AE105" s="57">
        <f t="shared" si="79"/>
        <v>6.2159317148637403E-3</v>
      </c>
      <c r="AF105" s="57">
        <f t="shared" si="79"/>
        <v>5.8139470970379427E-3</v>
      </c>
      <c r="AG105" s="57">
        <f t="shared" si="79"/>
        <v>6.0548955968430362E-3</v>
      </c>
      <c r="AH105" s="125">
        <f t="shared" si="79"/>
        <v>5.9264059123342082E-3</v>
      </c>
      <c r="AI105" s="125">
        <f t="shared" si="79"/>
        <v>5.8042547201272339E-3</v>
      </c>
      <c r="AJ105" s="125">
        <f t="shared" si="79"/>
        <v>5.8092803276025475E-3</v>
      </c>
      <c r="AK105" s="125">
        <f t="shared" si="79"/>
        <v>7.1559664810768317E-3</v>
      </c>
      <c r="AL105" s="125">
        <f t="shared" si="79"/>
        <v>7.5651155529691174E-3</v>
      </c>
      <c r="AM105" s="67"/>
      <c r="AN105" s="67"/>
    </row>
    <row r="106" spans="1:47">
      <c r="A106" s="61" t="s">
        <v>467</v>
      </c>
      <c r="B106" s="31" t="s">
        <v>492</v>
      </c>
      <c r="D106" s="31" t="s">
        <v>12</v>
      </c>
      <c r="E106" s="57">
        <f t="shared" si="44"/>
        <v>1.8521775738170126E-2</v>
      </c>
      <c r="F106" s="57">
        <f t="shared" ref="F106:Y106" si="80">F$62*F86/100</f>
        <v>6.5365121063125896E-4</v>
      </c>
      <c r="G106" s="57">
        <f t="shared" si="80"/>
        <v>4.946741930960556E-4</v>
      </c>
      <c r="H106" s="57">
        <f t="shared" si="80"/>
        <v>1.3982211071696487E-4</v>
      </c>
      <c r="I106" s="57">
        <f t="shared" si="80"/>
        <v>1.0027873488588734E-4</v>
      </c>
      <c r="J106" s="57">
        <f t="shared" si="80"/>
        <v>9.4364823537081052E-5</v>
      </c>
      <c r="K106" s="57">
        <f t="shared" si="80"/>
        <v>3.6559464328477103E-5</v>
      </c>
      <c r="L106" s="57">
        <f t="shared" si="80"/>
        <v>3.815050670139067E-5</v>
      </c>
      <c r="M106" s="57">
        <f t="shared" si="80"/>
        <v>3.6930964074525656E-5</v>
      </c>
      <c r="N106" s="57">
        <f t="shared" si="80"/>
        <v>3.0484436603983641E-5</v>
      </c>
      <c r="O106" s="57">
        <f t="shared" si="80"/>
        <v>2.6021473444839136E-4</v>
      </c>
      <c r="P106" s="57">
        <f t="shared" si="80"/>
        <v>2.5626210102591229E-4</v>
      </c>
      <c r="Q106" s="57">
        <f t="shared" si="80"/>
        <v>2.6198459316481093E-4</v>
      </c>
      <c r="R106" s="57">
        <f t="shared" si="80"/>
        <v>2.9073896567243218E-4</v>
      </c>
      <c r="S106" s="57">
        <f t="shared" si="80"/>
        <v>2.5990736389711939E-4</v>
      </c>
      <c r="T106" s="57">
        <f t="shared" si="80"/>
        <v>2.9080827518652595E-4</v>
      </c>
      <c r="U106" s="57">
        <f t="shared" si="80"/>
        <v>3.6580494782277053E-4</v>
      </c>
      <c r="V106" s="57">
        <f t="shared" si="80"/>
        <v>3.2490235616655302E-4</v>
      </c>
      <c r="W106" s="57">
        <f t="shared" si="80"/>
        <v>3.6451244884662094E-4</v>
      </c>
      <c r="X106" s="57">
        <f t="shared" si="80"/>
        <v>4.0560244858160748E-4</v>
      </c>
      <c r="Y106" s="57">
        <f t="shared" si="80"/>
        <v>5.0463801024121788E-4</v>
      </c>
      <c r="Z106" s="57">
        <f t="shared" si="50"/>
        <v>4.5910967956985121E-4</v>
      </c>
      <c r="AA106" s="57">
        <f t="shared" ref="AA106:AL106" si="81">AA$62*AA86/100</f>
        <v>6.1703186908487859E-4</v>
      </c>
      <c r="AB106" s="57">
        <f t="shared" si="81"/>
        <v>6.4571629096728321E-4</v>
      </c>
      <c r="AC106" s="57">
        <f t="shared" si="81"/>
        <v>6.2339875461653999E-4</v>
      </c>
      <c r="AD106" s="57">
        <f t="shared" si="81"/>
        <v>6.154789700504559E-4</v>
      </c>
      <c r="AE106" s="57">
        <f t="shared" si="81"/>
        <v>6.4738222119049631E-4</v>
      </c>
      <c r="AF106" s="57">
        <f t="shared" si="81"/>
        <v>6.8288846480770566E-4</v>
      </c>
      <c r="AG106" s="57">
        <f t="shared" si="81"/>
        <v>6.9346867171829387E-4</v>
      </c>
      <c r="AH106" s="125">
        <f t="shared" si="81"/>
        <v>4.5855753345380441E-4</v>
      </c>
      <c r="AI106" s="125">
        <f t="shared" si="81"/>
        <v>4.1350578696409458E-4</v>
      </c>
      <c r="AJ106" s="125">
        <f t="shared" si="81"/>
        <v>4.3435138736176493E-4</v>
      </c>
      <c r="AK106" s="125">
        <f t="shared" si="81"/>
        <v>3.3610193857759916E-4</v>
      </c>
      <c r="AL106" s="125">
        <f t="shared" si="81"/>
        <v>3.4140351085841584E-4</v>
      </c>
      <c r="AM106" s="67"/>
      <c r="AN106" s="67"/>
    </row>
    <row r="107" spans="1:47" s="137" customFormat="1">
      <c r="A107" s="135" t="s">
        <v>468</v>
      </c>
      <c r="B107" s="136"/>
      <c r="C107" s="136"/>
      <c r="D107" s="136" t="s">
        <v>12</v>
      </c>
      <c r="E107" s="138">
        <f>SUM(E88:E106)</f>
        <v>2.9026003464534376</v>
      </c>
      <c r="F107" s="138">
        <f t="shared" ref="F107:Y107" si="82">SUM(F88:F106)</f>
        <v>2.7828699046415815</v>
      </c>
      <c r="G107" s="138">
        <f t="shared" si="82"/>
        <v>2.7370103510094439</v>
      </c>
      <c r="H107" s="138">
        <f t="shared" si="82"/>
        <v>2.817135764332146</v>
      </c>
      <c r="I107" s="138">
        <f t="shared" si="82"/>
        <v>2.7161874985219292</v>
      </c>
      <c r="J107" s="138">
        <f t="shared" si="82"/>
        <v>2.774154236489057</v>
      </c>
      <c r="K107" s="138">
        <f t="shared" si="82"/>
        <v>2.8234418007905338</v>
      </c>
      <c r="L107" s="138">
        <f t="shared" si="82"/>
        <v>2.8603779155096527</v>
      </c>
      <c r="M107" s="138">
        <f t="shared" si="82"/>
        <v>2.8135578894317961</v>
      </c>
      <c r="N107" s="138">
        <f t="shared" si="82"/>
        <v>2.7779865872200209</v>
      </c>
      <c r="O107" s="138">
        <f t="shared" si="82"/>
        <v>2.8405266109029164</v>
      </c>
      <c r="P107" s="138">
        <f t="shared" si="82"/>
        <v>2.8123463797499224</v>
      </c>
      <c r="Q107" s="138">
        <f t="shared" si="82"/>
        <v>2.7627739026134113</v>
      </c>
      <c r="R107" s="138">
        <f t="shared" si="82"/>
        <v>2.8689223787056948</v>
      </c>
      <c r="S107" s="138">
        <f t="shared" si="82"/>
        <v>2.8480736881801412</v>
      </c>
      <c r="T107" s="138">
        <f t="shared" si="82"/>
        <v>2.8213727405630791</v>
      </c>
      <c r="U107" s="138">
        <f t="shared" si="82"/>
        <v>2.8631470210827081</v>
      </c>
      <c r="V107" s="138">
        <f t="shared" si="82"/>
        <v>2.8425337084470912</v>
      </c>
      <c r="W107" s="138">
        <f t="shared" si="82"/>
        <v>2.812349461997631</v>
      </c>
      <c r="X107" s="138">
        <f t="shared" si="82"/>
        <v>2.8665577967102673</v>
      </c>
      <c r="Y107" s="138">
        <f t="shared" si="82"/>
        <v>2.8168944698506642</v>
      </c>
      <c r="Z107" s="138">
        <f>SUM(Z88:Z106)</f>
        <v>2.7891300460996429</v>
      </c>
      <c r="AA107" s="138">
        <f t="shared" ref="AA107:AL107" si="83">SUM(AA88:AA106)</f>
        <v>2.8495043671838363</v>
      </c>
      <c r="AB107" s="138">
        <f t="shared" si="83"/>
        <v>2.8497152341449055</v>
      </c>
      <c r="AC107" s="138">
        <f t="shared" si="83"/>
        <v>2.8214238715646576</v>
      </c>
      <c r="AD107" s="138">
        <f t="shared" si="83"/>
        <v>2.8479205928207239</v>
      </c>
      <c r="AE107" s="138">
        <f t="shared" si="83"/>
        <v>2.8697590168375524</v>
      </c>
      <c r="AF107" s="138">
        <f t="shared" si="83"/>
        <v>2.8223189423567541</v>
      </c>
      <c r="AG107" s="138">
        <f t="shared" si="83"/>
        <v>2.8664153077515468</v>
      </c>
      <c r="AH107" s="138">
        <f t="shared" si="83"/>
        <v>2.9939307473181866</v>
      </c>
      <c r="AI107" s="138">
        <f t="shared" si="83"/>
        <v>2.8595522381978804</v>
      </c>
      <c r="AJ107" s="138">
        <f t="shared" si="83"/>
        <v>2.9566152646313832</v>
      </c>
      <c r="AK107" s="138">
        <f t="shared" si="83"/>
        <v>2.9183007974241937</v>
      </c>
      <c r="AL107" s="138">
        <f t="shared" si="83"/>
        <v>2.9188215028035978</v>
      </c>
      <c r="AM107" s="136"/>
      <c r="AN107" s="136"/>
      <c r="AO107" s="136"/>
      <c r="AP107" s="136"/>
      <c r="AQ107" s="136"/>
      <c r="AR107" s="136"/>
      <c r="AS107" s="136"/>
    </row>
    <row r="108" spans="1:47" s="137" customFormat="1">
      <c r="A108" s="135" t="s">
        <v>493</v>
      </c>
      <c r="B108" s="136"/>
      <c r="C108" s="136"/>
      <c r="D108" s="136"/>
      <c r="E108" s="136"/>
      <c r="F108" s="136"/>
      <c r="G108" s="136"/>
      <c r="H108" s="136"/>
      <c r="I108" s="136"/>
      <c r="J108" s="136"/>
      <c r="K108" s="136"/>
      <c r="Z108" s="138"/>
      <c r="AJ108" s="136"/>
      <c r="AK108" s="136"/>
      <c r="AL108" s="136"/>
      <c r="AM108" s="136"/>
      <c r="AN108" s="136"/>
      <c r="AO108" s="136"/>
      <c r="AP108" s="136"/>
      <c r="AQ108" s="136"/>
      <c r="AR108" s="136"/>
      <c r="AS108" s="136"/>
    </row>
    <row r="109" spans="1:47">
      <c r="B109" s="1"/>
      <c r="C109" s="61" t="s">
        <v>494</v>
      </c>
      <c r="D109" s="31" t="s">
        <v>495</v>
      </c>
      <c r="E109" s="57">
        <f>E103/E$64*100</f>
        <v>2.8673963863120916E-3</v>
      </c>
      <c r="F109" s="57">
        <f t="shared" ref="F109:AG109" si="84">F103/F$64*100</f>
        <v>1.0369083395197656E-3</v>
      </c>
      <c r="G109" s="57">
        <f t="shared" si="84"/>
        <v>8.2249795792308444E-4</v>
      </c>
      <c r="H109" s="57">
        <f t="shared" si="84"/>
        <v>7.2045822686790618E-4</v>
      </c>
      <c r="I109" s="57">
        <f t="shared" si="84"/>
        <v>6.4593343570715656E-4</v>
      </c>
      <c r="J109" s="57">
        <f t="shared" si="84"/>
        <v>6.1021182117862417E-4</v>
      </c>
      <c r="K109" s="57">
        <f t="shared" si="84"/>
        <v>1.2390867168042788E-3</v>
      </c>
      <c r="L109" s="57">
        <f t="shared" si="84"/>
        <v>1.0574733389750455E-3</v>
      </c>
      <c r="M109" s="57">
        <f t="shared" si="84"/>
        <v>9.7587262743430137E-4</v>
      </c>
      <c r="N109" s="57">
        <f t="shared" si="84"/>
        <v>1.1975827340319908E-3</v>
      </c>
      <c r="O109" s="57">
        <f t="shared" si="84"/>
        <v>1.9798225623588886E-3</v>
      </c>
      <c r="P109" s="57">
        <f t="shared" si="84"/>
        <v>2.2937067316535849E-3</v>
      </c>
      <c r="Q109" s="57">
        <f t="shared" si="84"/>
        <v>2.1516909859847898E-3</v>
      </c>
      <c r="R109" s="57">
        <f t="shared" si="84"/>
        <v>2.0174648634923447E-2</v>
      </c>
      <c r="S109" s="57">
        <f t="shared" si="84"/>
        <v>2.2243137624877048E-3</v>
      </c>
      <c r="T109" s="57">
        <f t="shared" si="84"/>
        <v>2.0411370158411558E-3</v>
      </c>
      <c r="U109" s="57">
        <f t="shared" si="84"/>
        <v>5.6400942090494366E-3</v>
      </c>
      <c r="V109" s="57">
        <f t="shared" si="84"/>
        <v>5.1902507032570624E-3</v>
      </c>
      <c r="W109" s="57">
        <f t="shared" si="84"/>
        <v>5.6912357270135104E-3</v>
      </c>
      <c r="X109" s="57">
        <f t="shared" si="84"/>
        <v>8.4995493929476862E-2</v>
      </c>
      <c r="Y109" s="57">
        <f t="shared" si="84"/>
        <v>1.1742602373763258E-2</v>
      </c>
      <c r="Z109" s="57">
        <f t="shared" si="84"/>
        <v>1.1967852425382564E-2</v>
      </c>
      <c r="AA109" s="57">
        <f t="shared" si="84"/>
        <v>1.2363415295125283E-2</v>
      </c>
      <c r="AB109" s="57">
        <f t="shared" si="84"/>
        <v>1.2521347128090861E-2</v>
      </c>
      <c r="AC109" s="57">
        <f t="shared" si="84"/>
        <v>1.2458994154549033E-2</v>
      </c>
      <c r="AD109" s="57">
        <f t="shared" si="84"/>
        <v>1.1975318504622908E-2</v>
      </c>
      <c r="AE109" s="57">
        <f t="shared" si="84"/>
        <v>1.2252005183274853E-2</v>
      </c>
      <c r="AF109" s="57">
        <f t="shared" si="84"/>
        <v>1.2653182587715523E-2</v>
      </c>
      <c r="AG109" s="57">
        <f t="shared" si="84"/>
        <v>1.2461669269576514E-2</v>
      </c>
      <c r="AH109" s="125"/>
      <c r="AI109" s="68"/>
      <c r="AJ109" s="67"/>
      <c r="AK109" s="67"/>
      <c r="AL109" s="67"/>
      <c r="AM109" s="67"/>
      <c r="AN109" s="67"/>
      <c r="AP109" s="57">
        <f>AVERAGE(E109:J109)</f>
        <v>1.1172343612514382E-3</v>
      </c>
      <c r="AQ109" s="57">
        <f>AVERAGE(K109:N109)</f>
        <v>1.1175038543114041E-3</v>
      </c>
      <c r="AR109" s="57">
        <f>AVERAGE(O109:T109)</f>
        <v>5.1442199488749285E-3</v>
      </c>
      <c r="AS109" s="57">
        <f>AVERAGE(U109:W109)</f>
        <v>5.507193546440004E-3</v>
      </c>
      <c r="AT109" s="55">
        <f>AVERAGE(X109:Z109)</f>
        <v>3.6235316242874231E-2</v>
      </c>
      <c r="AU109" s="55">
        <f>AVERAGE(AA109:AG109)</f>
        <v>1.2383704588993568E-2</v>
      </c>
    </row>
    <row r="110" spans="1:47">
      <c r="B110" s="1"/>
      <c r="C110" s="61" t="s">
        <v>301</v>
      </c>
      <c r="D110" s="31" t="s">
        <v>495</v>
      </c>
      <c r="E110" s="57">
        <f>E88/E$64*100</f>
        <v>6.2293543063486348E-2</v>
      </c>
      <c r="F110" s="57">
        <f t="shared" ref="F110:AG110" si="85">F88/F$64*100</f>
        <v>4.2044408500742335E-2</v>
      </c>
      <c r="G110" s="57">
        <f t="shared" si="85"/>
        <v>4.2022003793769649E-2</v>
      </c>
      <c r="H110" s="57">
        <f t="shared" si="85"/>
        <v>3.9115599036105009E-2</v>
      </c>
      <c r="I110" s="57">
        <f t="shared" si="85"/>
        <v>4.137513564213368E-2</v>
      </c>
      <c r="J110" s="57">
        <f t="shared" si="85"/>
        <v>4.3821652102563335E-2</v>
      </c>
      <c r="K110" s="57">
        <f t="shared" si="85"/>
        <v>0.14404707641291531</v>
      </c>
      <c r="L110" s="57">
        <f t="shared" si="85"/>
        <v>0.14391610476096889</v>
      </c>
      <c r="M110" s="57">
        <f t="shared" si="85"/>
        <v>0.15220764541114545</v>
      </c>
      <c r="N110" s="57">
        <f t="shared" si="85"/>
        <v>0.15761600509740112</v>
      </c>
      <c r="O110" s="57">
        <f t="shared" si="85"/>
        <v>0.44610747689640995</v>
      </c>
      <c r="P110" s="57">
        <f t="shared" si="85"/>
        <v>0.4696961214728087</v>
      </c>
      <c r="Q110" s="57">
        <f t="shared" si="85"/>
        <v>0.49327494815854062</v>
      </c>
      <c r="R110" s="57">
        <f t="shared" si="85"/>
        <v>0.49938496134112081</v>
      </c>
      <c r="S110" s="57">
        <f t="shared" si="85"/>
        <v>0.50933443840364312</v>
      </c>
      <c r="T110" s="57">
        <f t="shared" si="85"/>
        <v>0.52654683481417608</v>
      </c>
      <c r="U110" s="57">
        <f t="shared" si="85"/>
        <v>1.2741672966621125</v>
      </c>
      <c r="V110" s="57">
        <f t="shared" si="85"/>
        <v>1.2765802476079713</v>
      </c>
      <c r="W110" s="57">
        <f t="shared" si="85"/>
        <v>1.2834787805844179</v>
      </c>
      <c r="X110" s="57">
        <f t="shared" si="85"/>
        <v>2.3450748741350833</v>
      </c>
      <c r="Y110" s="57">
        <f t="shared" si="85"/>
        <v>2.5394559909698642</v>
      </c>
      <c r="Z110" s="57">
        <f t="shared" si="85"/>
        <v>2.5896219877692874</v>
      </c>
      <c r="AA110" s="57">
        <f t="shared" si="85"/>
        <v>3.4268849187662873</v>
      </c>
      <c r="AB110" s="57">
        <f t="shared" si="85"/>
        <v>3.4176050821606228</v>
      </c>
      <c r="AC110" s="57">
        <f t="shared" si="85"/>
        <v>3.5061718149195724</v>
      </c>
      <c r="AD110" s="57">
        <f t="shared" si="85"/>
        <v>3.4448136837585923</v>
      </c>
      <c r="AE110" s="57">
        <f t="shared" si="85"/>
        <v>3.4813648395719299</v>
      </c>
      <c r="AF110" s="57">
        <f t="shared" si="85"/>
        <v>3.5712222872829171</v>
      </c>
      <c r="AG110" s="57">
        <f t="shared" si="85"/>
        <v>3.5256080196384105</v>
      </c>
      <c r="AH110" s="125"/>
      <c r="AI110" s="68"/>
      <c r="AJ110" s="67"/>
      <c r="AK110" s="67"/>
      <c r="AL110" s="67"/>
      <c r="AM110" s="67"/>
      <c r="AN110" s="67"/>
      <c r="AP110" s="57">
        <f t="shared" ref="AP110:AP132" si="86">AVERAGE(E110:J110)</f>
        <v>4.5112057023133395E-2</v>
      </c>
      <c r="AQ110" s="57">
        <f t="shared" ref="AQ110:AQ132" si="87">AVERAGE(K110:N110)</f>
        <v>0.14944670792060769</v>
      </c>
      <c r="AR110" s="57">
        <f t="shared" ref="AR110:AR132" si="88">AVERAGE(O110:T110)</f>
        <v>0.49072413018111655</v>
      </c>
      <c r="AS110" s="57">
        <f t="shared" ref="AS110:AS132" si="89">AVERAGE(U110:W110)</f>
        <v>1.2780754416181672</v>
      </c>
      <c r="AT110" s="55">
        <f t="shared" ref="AT110:AT132" si="90">AVERAGE(X110:Z110)</f>
        <v>2.4913842842914118</v>
      </c>
      <c r="AU110" s="55">
        <f t="shared" ref="AU110:AU132" si="91">AVERAGE(AA110:AG110)</f>
        <v>3.4819529494426193</v>
      </c>
    </row>
    <row r="111" spans="1:47">
      <c r="B111" s="1"/>
      <c r="C111" s="61" t="s">
        <v>302</v>
      </c>
      <c r="D111" s="31" t="s">
        <v>495</v>
      </c>
      <c r="E111" s="57">
        <f>SUM(E89:E90)/E$64*100</f>
        <v>0.4969947579976039</v>
      </c>
      <c r="F111" s="57">
        <f t="shared" ref="F111:AG111" si="92">SUM(F89:F90)/F$64*100</f>
        <v>0.1667176876117909</v>
      </c>
      <c r="G111" s="57">
        <f t="shared" si="92"/>
        <v>0.16466058505401601</v>
      </c>
      <c r="H111" s="57">
        <f t="shared" si="92"/>
        <v>0.16023979367943048</v>
      </c>
      <c r="I111" s="57">
        <f t="shared" si="92"/>
        <v>0.16871772642165447</v>
      </c>
      <c r="J111" s="57">
        <f t="shared" si="92"/>
        <v>0.17836979900240352</v>
      </c>
      <c r="K111" s="57">
        <f t="shared" si="92"/>
        <v>0.53337879243404707</v>
      </c>
      <c r="L111" s="57">
        <f t="shared" si="92"/>
        <v>0.53178994324755602</v>
      </c>
      <c r="M111" s="57">
        <f t="shared" si="92"/>
        <v>0.55868853593069345</v>
      </c>
      <c r="N111" s="57">
        <f t="shared" si="92"/>
        <v>0.57570183618952986</v>
      </c>
      <c r="O111" s="57">
        <f t="shared" si="92"/>
        <v>1.4635259854604437</v>
      </c>
      <c r="P111" s="57">
        <f t="shared" si="92"/>
        <v>1.5257198398805234</v>
      </c>
      <c r="Q111" s="57">
        <f t="shared" si="92"/>
        <v>1.5912295482766161</v>
      </c>
      <c r="R111" s="57">
        <f t="shared" si="92"/>
        <v>1.6127176546999269</v>
      </c>
      <c r="S111" s="57">
        <f t="shared" si="92"/>
        <v>1.6419775782204276</v>
      </c>
      <c r="T111" s="57">
        <f t="shared" si="92"/>
        <v>1.6865437627493578</v>
      </c>
      <c r="U111" s="57">
        <f t="shared" si="92"/>
        <v>3.507070283286843</v>
      </c>
      <c r="V111" s="57">
        <f t="shared" si="92"/>
        <v>3.5112810730073689</v>
      </c>
      <c r="W111" s="57">
        <f t="shared" si="92"/>
        <v>3.5192529490846796</v>
      </c>
      <c r="X111" s="57">
        <f t="shared" si="92"/>
        <v>5.4975626398703579</v>
      </c>
      <c r="Y111" s="57">
        <f t="shared" si="92"/>
        <v>5.8528419118924813</v>
      </c>
      <c r="Z111" s="57">
        <f t="shared" si="92"/>
        <v>5.9280938873749225</v>
      </c>
      <c r="AA111" s="57">
        <f t="shared" si="92"/>
        <v>7.3665920107339762</v>
      </c>
      <c r="AB111" s="57">
        <f t="shared" si="92"/>
        <v>7.3481712801679562</v>
      </c>
      <c r="AC111" s="57">
        <f t="shared" si="92"/>
        <v>7.4938261957864514</v>
      </c>
      <c r="AD111" s="57">
        <f t="shared" si="92"/>
        <v>7.3813114537219127</v>
      </c>
      <c r="AE111" s="57">
        <f t="shared" si="92"/>
        <v>7.4641070601263575</v>
      </c>
      <c r="AF111" s="57">
        <f t="shared" si="92"/>
        <v>7.6119065044489789</v>
      </c>
      <c r="AG111" s="57">
        <f t="shared" si="92"/>
        <v>7.5466674158946017</v>
      </c>
      <c r="AH111" s="125"/>
      <c r="AI111" s="68"/>
      <c r="AJ111" s="67"/>
      <c r="AK111" s="67"/>
      <c r="AL111" s="67"/>
      <c r="AM111" s="67"/>
      <c r="AN111" s="67"/>
      <c r="AP111" s="57">
        <f t="shared" si="86"/>
        <v>0.2226167249611499</v>
      </c>
      <c r="AQ111" s="57">
        <f t="shared" si="87"/>
        <v>0.5498897769504566</v>
      </c>
      <c r="AR111" s="57">
        <f t="shared" si="88"/>
        <v>1.5869523948812159</v>
      </c>
      <c r="AS111" s="57">
        <f t="shared" si="89"/>
        <v>3.5125347684596306</v>
      </c>
      <c r="AT111" s="55">
        <f t="shared" si="90"/>
        <v>5.7594994797125878</v>
      </c>
      <c r="AU111" s="55">
        <f t="shared" si="91"/>
        <v>7.4589402744114626</v>
      </c>
    </row>
    <row r="112" spans="1:47">
      <c r="B112" s="1"/>
      <c r="C112" s="61" t="s">
        <v>496</v>
      </c>
      <c r="D112" s="31" t="s">
        <v>495</v>
      </c>
      <c r="E112" s="57">
        <f t="shared" ref="E112:AG112" si="93">E111+E110+E109</f>
        <v>0.56215569744740235</v>
      </c>
      <c r="F112" s="57">
        <f t="shared" si="93"/>
        <v>0.20979900445205302</v>
      </c>
      <c r="G112" s="57">
        <f t="shared" si="93"/>
        <v>0.20750508680570875</v>
      </c>
      <c r="H112" s="57">
        <f t="shared" si="93"/>
        <v>0.20007585094240338</v>
      </c>
      <c r="I112" s="57">
        <f t="shared" si="93"/>
        <v>0.21073879549949531</v>
      </c>
      <c r="J112" s="57">
        <f t="shared" si="93"/>
        <v>0.22280166292614548</v>
      </c>
      <c r="K112" s="57">
        <f t="shared" si="93"/>
        <v>0.6786649555637666</v>
      </c>
      <c r="L112" s="57">
        <f t="shared" si="93"/>
        <v>0.67676352134749984</v>
      </c>
      <c r="M112" s="57">
        <f t="shared" si="93"/>
        <v>0.71187205396927311</v>
      </c>
      <c r="N112" s="57">
        <f t="shared" si="93"/>
        <v>0.73451542402096304</v>
      </c>
      <c r="O112" s="57">
        <f t="shared" si="93"/>
        <v>1.9116132849192125</v>
      </c>
      <c r="P112" s="57">
        <f t="shared" si="93"/>
        <v>1.9977096680849855</v>
      </c>
      <c r="Q112" s="57">
        <f t="shared" si="93"/>
        <v>2.0866561874211418</v>
      </c>
      <c r="R112" s="57">
        <f t="shared" si="93"/>
        <v>2.1322772646759711</v>
      </c>
      <c r="S112" s="57">
        <f t="shared" si="93"/>
        <v>2.1535363303865585</v>
      </c>
      <c r="T112" s="57">
        <f t="shared" si="93"/>
        <v>2.2151317345793751</v>
      </c>
      <c r="U112" s="57">
        <f t="shared" si="93"/>
        <v>4.7868776741580046</v>
      </c>
      <c r="V112" s="57">
        <f t="shared" si="93"/>
        <v>4.793051571318597</v>
      </c>
      <c r="W112" s="57">
        <f t="shared" si="93"/>
        <v>4.8084229653961108</v>
      </c>
      <c r="X112" s="57">
        <f t="shared" si="93"/>
        <v>7.9276330079349178</v>
      </c>
      <c r="Y112" s="57">
        <f t="shared" si="93"/>
        <v>8.4040405052361091</v>
      </c>
      <c r="Z112" s="57">
        <f t="shared" si="93"/>
        <v>8.5296837275695925</v>
      </c>
      <c r="AA112" s="57">
        <f t="shared" si="93"/>
        <v>10.805840344795389</v>
      </c>
      <c r="AB112" s="57">
        <f t="shared" si="93"/>
        <v>10.77829770945667</v>
      </c>
      <c r="AC112" s="57">
        <f t="shared" si="93"/>
        <v>11.012457004860574</v>
      </c>
      <c r="AD112" s="57">
        <f t="shared" si="93"/>
        <v>10.838100455985128</v>
      </c>
      <c r="AE112" s="57">
        <f t="shared" si="93"/>
        <v>10.957723904881561</v>
      </c>
      <c r="AF112" s="57">
        <f t="shared" si="93"/>
        <v>11.195781974319612</v>
      </c>
      <c r="AG112" s="57">
        <f t="shared" si="93"/>
        <v>11.084737104802588</v>
      </c>
      <c r="AH112" s="125"/>
      <c r="AI112" s="68"/>
      <c r="AJ112" s="67"/>
      <c r="AK112" s="67"/>
      <c r="AL112" s="67"/>
      <c r="AM112" s="67"/>
      <c r="AN112" s="67"/>
      <c r="AP112" s="57">
        <f t="shared" si="86"/>
        <v>0.26884601634553473</v>
      </c>
      <c r="AQ112" s="57">
        <f t="shared" si="87"/>
        <v>0.70045398872537556</v>
      </c>
      <c r="AR112" s="57">
        <f t="shared" si="88"/>
        <v>2.0828207450112073</v>
      </c>
      <c r="AS112" s="57">
        <f t="shared" si="89"/>
        <v>4.7961174036242378</v>
      </c>
      <c r="AT112" s="55">
        <f t="shared" si="90"/>
        <v>8.2871190802468728</v>
      </c>
      <c r="AU112" s="55">
        <f t="shared" si="91"/>
        <v>10.953276928443074</v>
      </c>
    </row>
    <row r="113" spans="1:47">
      <c r="B113" s="1"/>
      <c r="C113" s="61" t="s">
        <v>497</v>
      </c>
      <c r="D113" s="31" t="s">
        <v>495</v>
      </c>
      <c r="E113" s="57">
        <f>(SUM(E91:E102,E104:E106))/E$64*100</f>
        <v>99.452875425842961</v>
      </c>
      <c r="F113" s="57">
        <f t="shared" ref="F113:AG113" si="94">(SUM(F91:F102,F104:F106))/F$64*100</f>
        <v>99.808032261392142</v>
      </c>
      <c r="G113" s="57">
        <f t="shared" si="94"/>
        <v>99.810225935088582</v>
      </c>
      <c r="H113" s="57">
        <f t="shared" si="94"/>
        <v>99.806049491968224</v>
      </c>
      <c r="I113" s="57">
        <f t="shared" si="94"/>
        <v>99.795068439925288</v>
      </c>
      <c r="J113" s="57">
        <f t="shared" si="94"/>
        <v>99.783382986496179</v>
      </c>
      <c r="K113" s="57">
        <f t="shared" si="94"/>
        <v>99.339334062669607</v>
      </c>
      <c r="L113" s="57">
        <f t="shared" si="94"/>
        <v>99.341244067959579</v>
      </c>
      <c r="M113" s="57">
        <f t="shared" si="94"/>
        <v>99.307007724284929</v>
      </c>
      <c r="N113" s="57">
        <f t="shared" si="94"/>
        <v>99.284876935012207</v>
      </c>
      <c r="O113" s="57">
        <f t="shared" si="94"/>
        <v>98.133773541880316</v>
      </c>
      <c r="P113" s="57">
        <f t="shared" si="94"/>
        <v>98.049230469206634</v>
      </c>
      <c r="Q113" s="57">
        <f t="shared" si="94"/>
        <v>97.962513175638236</v>
      </c>
      <c r="R113" s="57">
        <f t="shared" si="94"/>
        <v>97.91801259440841</v>
      </c>
      <c r="S113" s="57">
        <f t="shared" si="94"/>
        <v>97.896184181984964</v>
      </c>
      <c r="T113" s="57">
        <f t="shared" si="94"/>
        <v>97.83597637298061</v>
      </c>
      <c r="U113" s="57">
        <f t="shared" si="94"/>
        <v>95.317271717655245</v>
      </c>
      <c r="V113" s="57">
        <f t="shared" si="94"/>
        <v>95.311172264228318</v>
      </c>
      <c r="W113" s="57">
        <f t="shared" si="94"/>
        <v>95.296371369739674</v>
      </c>
      <c r="X113" s="57">
        <f t="shared" si="94"/>
        <v>92.24008762029645</v>
      </c>
      <c r="Y113" s="57">
        <f t="shared" si="94"/>
        <v>91.775126613289984</v>
      </c>
      <c r="Z113" s="57">
        <f t="shared" si="94"/>
        <v>91.652317605990646</v>
      </c>
      <c r="AA113" s="57">
        <f t="shared" si="94"/>
        <v>89.422693068114185</v>
      </c>
      <c r="AB113" s="57">
        <f t="shared" si="94"/>
        <v>89.449968243124943</v>
      </c>
      <c r="AC113" s="57">
        <f t="shared" si="94"/>
        <v>89.220800348103822</v>
      </c>
      <c r="AD113" s="57">
        <f t="shared" si="94"/>
        <v>89.391874947118765</v>
      </c>
      <c r="AE113" s="57">
        <f t="shared" si="94"/>
        <v>89.274377697107269</v>
      </c>
      <c r="AF113" s="57">
        <f t="shared" si="94"/>
        <v>89.041234059205507</v>
      </c>
      <c r="AG113" s="57">
        <f t="shared" si="94"/>
        <v>89.150191599017276</v>
      </c>
      <c r="AH113" s="125"/>
      <c r="AI113" s="68"/>
      <c r="AJ113" s="67"/>
      <c r="AK113" s="67"/>
      <c r="AL113" s="67"/>
      <c r="AM113" s="67"/>
      <c r="AN113" s="67"/>
      <c r="AP113" s="57">
        <f t="shared" si="86"/>
        <v>99.742605756785565</v>
      </c>
      <c r="AQ113" s="57">
        <f t="shared" si="87"/>
        <v>99.318115697481588</v>
      </c>
      <c r="AR113" s="57">
        <f t="shared" si="88"/>
        <v>97.965948389349862</v>
      </c>
      <c r="AS113" s="57">
        <f t="shared" si="89"/>
        <v>95.308271783874417</v>
      </c>
      <c r="AT113" s="55">
        <f t="shared" si="90"/>
        <v>91.889177279859041</v>
      </c>
      <c r="AU113" s="55">
        <f t="shared" si="91"/>
        <v>89.278734280255975</v>
      </c>
    </row>
    <row r="114" spans="1:47" s="137" customFormat="1">
      <c r="A114" s="135"/>
      <c r="C114" s="135" t="s">
        <v>11</v>
      </c>
      <c r="D114" s="136" t="s">
        <v>495</v>
      </c>
      <c r="E114" s="138">
        <f>SUM(E112:E113)</f>
        <v>100.01503112329037</v>
      </c>
      <c r="F114" s="138">
        <f t="shared" ref="F114:T114" si="95">SUM(F112:F113)</f>
        <v>100.01783126584419</v>
      </c>
      <c r="G114" s="138">
        <f t="shared" si="95"/>
        <v>100.01773102189429</v>
      </c>
      <c r="H114" s="138">
        <f t="shared" si="95"/>
        <v>100.00612534291062</v>
      </c>
      <c r="I114" s="138">
        <f t="shared" si="95"/>
        <v>100.00580723542478</v>
      </c>
      <c r="J114" s="138">
        <f t="shared" si="95"/>
        <v>100.00618464942232</v>
      </c>
      <c r="K114" s="138">
        <f t="shared" si="95"/>
        <v>100.01799901823337</v>
      </c>
      <c r="L114" s="138">
        <f t="shared" si="95"/>
        <v>100.01800758930708</v>
      </c>
      <c r="M114" s="138">
        <f t="shared" si="95"/>
        <v>100.0188797782542</v>
      </c>
      <c r="N114" s="138">
        <f t="shared" si="95"/>
        <v>100.01939235903318</v>
      </c>
      <c r="O114" s="138">
        <f t="shared" si="95"/>
        <v>100.04538682679953</v>
      </c>
      <c r="P114" s="138">
        <f t="shared" si="95"/>
        <v>100.04694013729161</v>
      </c>
      <c r="Q114" s="138">
        <f t="shared" si="95"/>
        <v>100.04916936305938</v>
      </c>
      <c r="R114" s="138">
        <f t="shared" si="95"/>
        <v>100.05028985908439</v>
      </c>
      <c r="S114" s="138">
        <f t="shared" si="95"/>
        <v>100.04972051237152</v>
      </c>
      <c r="T114" s="138">
        <f t="shared" si="95"/>
        <v>100.05110810755998</v>
      </c>
      <c r="U114" s="138">
        <f t="shared" ref="U114:Z114" si="96">SUM(U112:U113)</f>
        <v>100.10414939181325</v>
      </c>
      <c r="V114" s="138">
        <f t="shared" si="96"/>
        <v>100.10422383554692</v>
      </c>
      <c r="W114" s="138">
        <f t="shared" si="96"/>
        <v>100.10479433513578</v>
      </c>
      <c r="X114" s="138">
        <f t="shared" si="96"/>
        <v>100.16772062823136</v>
      </c>
      <c r="Y114" s="138">
        <f t="shared" si="96"/>
        <v>100.1791671185261</v>
      </c>
      <c r="Z114" s="138">
        <f t="shared" si="96"/>
        <v>100.18200133356024</v>
      </c>
      <c r="AA114" s="138">
        <f t="shared" ref="AA114:AG114" si="97">SUM(AA112:AA113)</f>
        <v>100.22853341290957</v>
      </c>
      <c r="AB114" s="138">
        <f t="shared" si="97"/>
        <v>100.22826595258161</v>
      </c>
      <c r="AC114" s="138">
        <f t="shared" si="97"/>
        <v>100.2332573529644</v>
      </c>
      <c r="AD114" s="138">
        <f t="shared" si="97"/>
        <v>100.22997540310389</v>
      </c>
      <c r="AE114" s="138">
        <f t="shared" si="97"/>
        <v>100.23210160198883</v>
      </c>
      <c r="AF114" s="138">
        <f t="shared" si="97"/>
        <v>100.23701603352512</v>
      </c>
      <c r="AG114" s="138">
        <f t="shared" si="97"/>
        <v>100.23492870381986</v>
      </c>
      <c r="AJ114" s="136"/>
      <c r="AK114" s="136"/>
      <c r="AL114" s="136"/>
      <c r="AM114" s="136"/>
      <c r="AN114" s="136"/>
      <c r="AO114" s="136"/>
      <c r="AP114" s="136"/>
      <c r="AQ114" s="136"/>
      <c r="AR114" s="136"/>
      <c r="AS114" s="136"/>
    </row>
    <row r="115" spans="1:47" ht="15.75" customHeight="1">
      <c r="B115" s="1"/>
      <c r="C115" s="61" t="s">
        <v>498</v>
      </c>
      <c r="D115" s="31" t="s">
        <v>495</v>
      </c>
      <c r="E115" s="57">
        <f>SUM(E112:E113)-100</f>
        <v>1.5031123290370374E-2</v>
      </c>
      <c r="F115" s="57">
        <f t="shared" ref="F115:X115" si="98">SUM(F112:F113)-100</f>
        <v>1.7831265844193922E-2</v>
      </c>
      <c r="G115" s="57">
        <f t="shared" si="98"/>
        <v>1.7731021894292098E-2</v>
      </c>
      <c r="H115" s="57">
        <f t="shared" si="98"/>
        <v>6.1253429106216117E-3</v>
      </c>
      <c r="I115" s="57">
        <f t="shared" si="98"/>
        <v>5.8072354247826752E-3</v>
      </c>
      <c r="J115" s="57">
        <f t="shared" si="98"/>
        <v>6.1846494223232185E-3</v>
      </c>
      <c r="K115" s="57">
        <f t="shared" si="98"/>
        <v>1.7999018233368247E-2</v>
      </c>
      <c r="L115" s="57">
        <f t="shared" si="98"/>
        <v>1.8007589307075023E-2</v>
      </c>
      <c r="M115" s="57">
        <f t="shared" si="98"/>
        <v>1.8879778254202506E-2</v>
      </c>
      <c r="N115" s="57">
        <f t="shared" si="98"/>
        <v>1.9392359033176376E-2</v>
      </c>
      <c r="O115" s="57">
        <f t="shared" si="98"/>
        <v>4.538682679952899E-2</v>
      </c>
      <c r="P115" s="57">
        <f t="shared" si="98"/>
        <v>4.6940137291613837E-2</v>
      </c>
      <c r="Q115" s="57">
        <f t="shared" si="98"/>
        <v>4.9169363059377247E-2</v>
      </c>
      <c r="R115" s="57">
        <f t="shared" si="98"/>
        <v>5.028985908438699E-2</v>
      </c>
      <c r="S115" s="57">
        <f t="shared" si="98"/>
        <v>4.9720512371521863E-2</v>
      </c>
      <c r="T115" s="57">
        <f t="shared" si="98"/>
        <v>5.1108107559983296E-2</v>
      </c>
      <c r="U115" s="57">
        <f t="shared" si="98"/>
        <v>0.10414939181325167</v>
      </c>
      <c r="V115" s="57">
        <f t="shared" si="98"/>
        <v>0.10422383554691805</v>
      </c>
      <c r="W115" s="57">
        <f t="shared" si="98"/>
        <v>0.10479433513577874</v>
      </c>
      <c r="X115" s="57">
        <f t="shared" si="98"/>
        <v>0.1677206282313648</v>
      </c>
      <c r="Y115" s="57">
        <f>SUM(Y112:Y113)-100</f>
        <v>0.17916711852609524</v>
      </c>
      <c r="Z115" s="57">
        <f>SUM(Z112:Z113)-100</f>
        <v>0.18200133356023684</v>
      </c>
      <c r="AA115" s="57">
        <f t="shared" ref="AA115:AG115" si="99">SUM(AA112:AA113)-100</f>
        <v>0.22853341290957019</v>
      </c>
      <c r="AB115" s="57">
        <f t="shared" si="99"/>
        <v>0.22826595258160864</v>
      </c>
      <c r="AC115" s="57">
        <f t="shared" si="99"/>
        <v>0.23325735296440087</v>
      </c>
      <c r="AD115" s="57">
        <f t="shared" si="99"/>
        <v>0.22997540310389297</v>
      </c>
      <c r="AE115" s="57">
        <f t="shared" si="99"/>
        <v>0.23210160198883045</v>
      </c>
      <c r="AF115" s="57">
        <f t="shared" si="99"/>
        <v>0.23701603352512279</v>
      </c>
      <c r="AG115" s="57">
        <f t="shared" si="99"/>
        <v>0.23492870381986108</v>
      </c>
      <c r="AP115" s="57">
        <f t="shared" si="86"/>
        <v>1.1451773131097317E-2</v>
      </c>
      <c r="AQ115" s="57">
        <f t="shared" si="87"/>
        <v>1.8569686206955538E-2</v>
      </c>
      <c r="AR115" s="57">
        <f t="shared" si="88"/>
        <v>4.8769134361068701E-2</v>
      </c>
      <c r="AS115" s="57">
        <f t="shared" si="89"/>
        <v>0.10438918749864949</v>
      </c>
      <c r="AT115" s="55">
        <f t="shared" si="90"/>
        <v>0.17629636010589897</v>
      </c>
      <c r="AU115" s="55">
        <f t="shared" si="91"/>
        <v>0.23201120869904099</v>
      </c>
    </row>
    <row r="116" spans="1:47">
      <c r="C116" s="61" t="s">
        <v>499</v>
      </c>
      <c r="D116" s="31" t="s">
        <v>495</v>
      </c>
      <c r="E116" s="34">
        <f>100*((E64*$E$15/100)-E97)/(E64*$E$15/100)</f>
        <v>3.6857500102323799</v>
      </c>
      <c r="F116" s="34">
        <f t="shared" ref="F116:X116" si="100">100*((F64*$E$15/100)-F97)/(F64*$E$15/100)</f>
        <v>1.3984211303528096</v>
      </c>
      <c r="G116" s="34">
        <f t="shared" si="100"/>
        <v>1.3246301742249522</v>
      </c>
      <c r="H116" s="34">
        <f t="shared" si="100"/>
        <v>2.6996141276330063</v>
      </c>
      <c r="I116" s="34">
        <f t="shared" si="100"/>
        <v>2.7776314024503628</v>
      </c>
      <c r="J116" s="34">
        <f t="shared" si="100"/>
        <v>2.8561460143722197</v>
      </c>
      <c r="K116" s="34">
        <f t="shared" si="100"/>
        <v>6.8132934594638925</v>
      </c>
      <c r="L116" s="34">
        <f t="shared" si="100"/>
        <v>6.7930476336283343</v>
      </c>
      <c r="M116" s="34">
        <f t="shared" si="100"/>
        <v>6.879711616567266</v>
      </c>
      <c r="N116" s="34">
        <f t="shared" si="100"/>
        <v>6.8970335370060729</v>
      </c>
      <c r="O116" s="34">
        <f t="shared" si="100"/>
        <v>14.973259828912422</v>
      </c>
      <c r="P116" s="34">
        <f t="shared" si="100"/>
        <v>15.423611999818107</v>
      </c>
      <c r="Q116" s="34">
        <f t="shared" si="100"/>
        <v>15.681726044661776</v>
      </c>
      <c r="R116" s="34">
        <f t="shared" si="100"/>
        <v>15.490151348139159</v>
      </c>
      <c r="S116" s="34">
        <f t="shared" si="100"/>
        <v>15.372307939600317</v>
      </c>
      <c r="T116" s="34">
        <f t="shared" si="100"/>
        <v>15.476377597977301</v>
      </c>
      <c r="U116" s="34">
        <f t="shared" si="100"/>
        <v>31.417165522469354</v>
      </c>
      <c r="V116" s="34">
        <f t="shared" si="100"/>
        <v>31.019214348566752</v>
      </c>
      <c r="W116" s="34">
        <f t="shared" si="100"/>
        <v>30.694966667248462</v>
      </c>
      <c r="X116" s="34">
        <f t="shared" si="100"/>
        <v>47.437189222923912</v>
      </c>
      <c r="Y116" s="34">
        <f>100*((Y64*$E$15/100)-Y97)/(Y64*$E$15/100)</f>
        <v>52.213194454406072</v>
      </c>
      <c r="Z116" s="34">
        <f>100*((Z64*$E$15/100)-Z97)/(Z64*$E$15/100)</f>
        <v>52.519279254742692</v>
      </c>
      <c r="AA116" s="34">
        <f t="shared" ref="AA116:AG116" si="101">100*((AA64*$E$15/100)-AA97)/(AA64*$E$15/100)</f>
        <v>62.557079569608646</v>
      </c>
      <c r="AB116" s="34">
        <f t="shared" si="101"/>
        <v>62.135385250081534</v>
      </c>
      <c r="AC116" s="34">
        <f t="shared" si="101"/>
        <v>63.125039238841993</v>
      </c>
      <c r="AD116" s="34">
        <f t="shared" si="101"/>
        <v>61.569185382167277</v>
      </c>
      <c r="AE116" s="34">
        <f t="shared" si="101"/>
        <v>61.764046906338407</v>
      </c>
      <c r="AF116" s="34">
        <f t="shared" si="101"/>
        <v>62.747812240741133</v>
      </c>
      <c r="AG116" s="34">
        <f t="shared" si="101"/>
        <v>61.827048567339524</v>
      </c>
      <c r="AH116" s="68"/>
      <c r="AI116" s="68"/>
      <c r="AJ116" s="67"/>
      <c r="AK116" s="67"/>
      <c r="AL116" s="67"/>
      <c r="AM116" s="67"/>
      <c r="AN116" s="67"/>
      <c r="AP116" s="57">
        <f t="shared" si="86"/>
        <v>2.457032143210955</v>
      </c>
      <c r="AQ116" s="57">
        <f t="shared" si="87"/>
        <v>6.8457715616663917</v>
      </c>
      <c r="AR116" s="57">
        <f t="shared" si="88"/>
        <v>15.402905793184848</v>
      </c>
      <c r="AS116" s="57">
        <f t="shared" si="89"/>
        <v>31.043782179428192</v>
      </c>
      <c r="AT116" s="55">
        <f t="shared" si="90"/>
        <v>50.723220977357556</v>
      </c>
      <c r="AU116" s="55">
        <f t="shared" si="91"/>
        <v>62.246513879302654</v>
      </c>
    </row>
    <row r="117" spans="1:47">
      <c r="C117" s="61" t="s">
        <v>500</v>
      </c>
      <c r="D117" s="31" t="s">
        <v>495</v>
      </c>
      <c r="E117" s="34">
        <f>((E64*$E$19/100)-E101)/(E64*$E$19/100)*100</f>
        <v>12.693911255257046</v>
      </c>
      <c r="F117" s="34">
        <f t="shared" ref="F117:AG117" si="102">((F64*$E$19/100)-F101)/(F64*$E$19/100)*100</f>
        <v>15.010241155647156</v>
      </c>
      <c r="G117" s="34">
        <f t="shared" si="102"/>
        <v>14.629106687088155</v>
      </c>
      <c r="H117" s="34">
        <f t="shared" si="102"/>
        <v>10.819402138068583</v>
      </c>
      <c r="I117" s="34">
        <f t="shared" si="102"/>
        <v>10.416849656509408</v>
      </c>
      <c r="J117" s="34">
        <f t="shared" si="102"/>
        <v>10.723257980008171</v>
      </c>
      <c r="K117" s="34">
        <f t="shared" si="102"/>
        <v>22.768166493031401</v>
      </c>
      <c r="L117" s="34">
        <f t="shared" si="102"/>
        <v>22.781273983411637</v>
      </c>
      <c r="M117" s="34">
        <f t="shared" si="102"/>
        <v>22.978714507334683</v>
      </c>
      <c r="N117" s="34">
        <f t="shared" si="102"/>
        <v>22.942586109012407</v>
      </c>
      <c r="O117" s="34">
        <f t="shared" si="102"/>
        <v>42.84261391383437</v>
      </c>
      <c r="P117" s="34">
        <f t="shared" si="102"/>
        <v>43.283203215362697</v>
      </c>
      <c r="Q117" s="34">
        <f t="shared" si="102"/>
        <v>44.000590099094985</v>
      </c>
      <c r="R117" s="34">
        <f t="shared" si="102"/>
        <v>43.246491868090487</v>
      </c>
      <c r="S117" s="34">
        <f t="shared" si="102"/>
        <v>42.508446010314088</v>
      </c>
      <c r="T117" s="34">
        <f t="shared" si="102"/>
        <v>42.943718662152541</v>
      </c>
      <c r="U117" s="34">
        <f t="shared" si="102"/>
        <v>68.630990655419808</v>
      </c>
      <c r="V117" s="34">
        <f t="shared" si="102"/>
        <v>68.101418634505677</v>
      </c>
      <c r="W117" s="34">
        <f t="shared" si="102"/>
        <v>67.798379299066653</v>
      </c>
      <c r="X117" s="34">
        <f t="shared" si="102"/>
        <v>80.859151801962867</v>
      </c>
      <c r="Y117" s="34">
        <f t="shared" si="102"/>
        <v>87.134129433054753</v>
      </c>
      <c r="Z117" s="34">
        <f t="shared" si="102"/>
        <v>87.388861879240807</v>
      </c>
      <c r="AA117" s="34">
        <f t="shared" si="102"/>
        <v>93.18578755795312</v>
      </c>
      <c r="AB117" s="34">
        <f t="shared" si="102"/>
        <v>93.098561463780811</v>
      </c>
      <c r="AC117" s="34">
        <f t="shared" si="102"/>
        <v>93.566211280331785</v>
      </c>
      <c r="AD117" s="34">
        <f t="shared" si="102"/>
        <v>93.080697520709549</v>
      </c>
      <c r="AE117" s="34">
        <f t="shared" si="102"/>
        <v>93.211704245451415</v>
      </c>
      <c r="AF117" s="34">
        <f t="shared" si="102"/>
        <v>93.638802351042074</v>
      </c>
      <c r="AG117" s="34">
        <f t="shared" si="102"/>
        <v>93.345706085678856</v>
      </c>
      <c r="AH117" s="68"/>
      <c r="AI117" s="68"/>
      <c r="AJ117" s="67"/>
      <c r="AK117" s="67"/>
      <c r="AL117" s="67"/>
      <c r="AM117" s="67"/>
      <c r="AN117" s="67"/>
      <c r="AP117" s="57">
        <f t="shared" si="86"/>
        <v>12.382128145429752</v>
      </c>
      <c r="AQ117" s="57">
        <f t="shared" si="87"/>
        <v>22.867685273197534</v>
      </c>
      <c r="AR117" s="57">
        <f t="shared" si="88"/>
        <v>43.13751062814152</v>
      </c>
      <c r="AS117" s="57">
        <f t="shared" si="89"/>
        <v>68.176929529664051</v>
      </c>
      <c r="AT117" s="55">
        <f t="shared" si="90"/>
        <v>85.127381038086142</v>
      </c>
      <c r="AU117" s="55">
        <f t="shared" si="91"/>
        <v>93.303924357849652</v>
      </c>
    </row>
    <row r="118" spans="1:47">
      <c r="C118" s="61" t="s">
        <v>501</v>
      </c>
      <c r="D118" s="31" t="s">
        <v>495</v>
      </c>
      <c r="E118" s="34">
        <f>((E64*$E$20/100)-E102)/(E64*$E$20/100)*100</f>
        <v>44.149407325265592</v>
      </c>
      <c r="F118" s="34">
        <f t="shared" ref="F118:AG118" si="103">((F64*$E$20/100)-F102)/(F64*$E$20/100)*100</f>
        <v>51.56702393203846</v>
      </c>
      <c r="G118" s="34">
        <f t="shared" si="103"/>
        <v>51.062261614955808</v>
      </c>
      <c r="H118" s="34">
        <f t="shared" si="103"/>
        <v>25.546455178102878</v>
      </c>
      <c r="I118" s="34">
        <f t="shared" si="103"/>
        <v>23.842895574865747</v>
      </c>
      <c r="J118" s="34">
        <f t="shared" si="103"/>
        <v>24.394848968037731</v>
      </c>
      <c r="K118" s="34">
        <f t="shared" si="103"/>
        <v>47.379331186448418</v>
      </c>
      <c r="L118" s="34">
        <f t="shared" si="103"/>
        <v>47.353427067806116</v>
      </c>
      <c r="M118" s="34">
        <f t="shared" si="103"/>
        <v>47.396279098146628</v>
      </c>
      <c r="N118" s="34">
        <f t="shared" si="103"/>
        <v>47.416828570129844</v>
      </c>
      <c r="O118" s="34">
        <f t="shared" si="103"/>
        <v>73.595433971785184</v>
      </c>
      <c r="P118" s="34">
        <f t="shared" si="103"/>
        <v>74.346671507893987</v>
      </c>
      <c r="Q118" s="34">
        <f t="shared" si="103"/>
        <v>74.754140729757495</v>
      </c>
      <c r="R118" s="34">
        <f t="shared" si="103"/>
        <v>73.88981839537918</v>
      </c>
      <c r="S118" s="34">
        <f t="shared" si="103"/>
        <v>73.177393526974029</v>
      </c>
      <c r="T118" s="34">
        <f t="shared" si="103"/>
        <v>73.312328654711777</v>
      </c>
      <c r="U118" s="34">
        <f t="shared" si="103"/>
        <v>92.599178556255538</v>
      </c>
      <c r="V118" s="34">
        <f t="shared" si="103"/>
        <v>92.387911791507122</v>
      </c>
      <c r="W118" s="34">
        <f t="shared" si="103"/>
        <v>92.244092813546203</v>
      </c>
      <c r="X118" s="34">
        <f t="shared" si="103"/>
        <v>96.278560687893972</v>
      </c>
      <c r="Y118" s="34">
        <f t="shared" si="103"/>
        <v>98.793168025486992</v>
      </c>
      <c r="Z118" s="34">
        <f t="shared" si="103"/>
        <v>98.857163781304806</v>
      </c>
      <c r="AA118" s="34">
        <f t="shared" si="103"/>
        <v>99.70547548892317</v>
      </c>
      <c r="AB118" s="34">
        <f t="shared" si="103"/>
        <v>99.697365105299937</v>
      </c>
      <c r="AC118" s="34">
        <f t="shared" si="103"/>
        <v>99.738240739636765</v>
      </c>
      <c r="AD118" s="34">
        <f t="shared" si="103"/>
        <v>99.699049207172777</v>
      </c>
      <c r="AE118" s="34">
        <f t="shared" si="103"/>
        <v>99.711206745392317</v>
      </c>
      <c r="AF118" s="34">
        <f t="shared" si="103"/>
        <v>99.74259143572985</v>
      </c>
      <c r="AG118" s="34">
        <f t="shared" si="103"/>
        <v>99.724003682189021</v>
      </c>
      <c r="AH118" s="68"/>
      <c r="AI118" s="68"/>
      <c r="AJ118" s="67"/>
      <c r="AK118" s="67"/>
      <c r="AL118" s="67"/>
      <c r="AM118" s="67"/>
      <c r="AN118" s="67"/>
      <c r="AP118" s="57">
        <f t="shared" si="86"/>
        <v>36.760482098877702</v>
      </c>
      <c r="AQ118" s="57">
        <f t="shared" si="87"/>
        <v>47.386466480632748</v>
      </c>
      <c r="AR118" s="57">
        <f t="shared" si="88"/>
        <v>73.845964464416952</v>
      </c>
      <c r="AS118" s="57">
        <f t="shared" si="89"/>
        <v>92.410394387102954</v>
      </c>
      <c r="AT118" s="55">
        <f t="shared" si="90"/>
        <v>97.97629749822859</v>
      </c>
      <c r="AU118" s="55">
        <f t="shared" si="91"/>
        <v>99.716847486334828</v>
      </c>
    </row>
    <row r="119" spans="1:47">
      <c r="C119" s="61"/>
      <c r="AP119" s="57"/>
      <c r="AQ119" s="57"/>
      <c r="AR119" s="57"/>
      <c r="AS119" s="57"/>
      <c r="AT119" s="55"/>
      <c r="AU119" s="55"/>
    </row>
    <row r="120" spans="1:47">
      <c r="C120" s="61" t="s">
        <v>502</v>
      </c>
      <c r="D120" s="31" t="s">
        <v>314</v>
      </c>
      <c r="E120" s="34">
        <f>100*(E93)/((E$64*$E$15/100)-E97)</f>
        <v>1.0307763247552868</v>
      </c>
      <c r="F120" s="34">
        <f t="shared" ref="F120:AG120" si="104">100*(F93)/((F$64*$E$15/100)-F97)</f>
        <v>2.7668296294817099</v>
      </c>
      <c r="G120" s="34">
        <f t="shared" si="104"/>
        <v>2.8679477679139191</v>
      </c>
      <c r="H120" s="34">
        <f t="shared" si="104"/>
        <v>1.1823529213321111</v>
      </c>
      <c r="I120" s="34">
        <f t="shared" si="104"/>
        <v>1.1848978500948706</v>
      </c>
      <c r="J120" s="34">
        <f t="shared" si="104"/>
        <v>1.2262292466825839</v>
      </c>
      <c r="K120" s="34">
        <f t="shared" si="104"/>
        <v>1.5045417234840566</v>
      </c>
      <c r="L120" s="34">
        <f t="shared" si="104"/>
        <v>1.5251622452088442</v>
      </c>
      <c r="M120" s="34">
        <f t="shared" si="104"/>
        <v>1.5776440025824945</v>
      </c>
      <c r="N120" s="34">
        <f t="shared" si="104"/>
        <v>1.5942723480917294</v>
      </c>
      <c r="O120" s="34">
        <f t="shared" si="104"/>
        <v>2.0933943242087389</v>
      </c>
      <c r="P120" s="34">
        <f t="shared" si="104"/>
        <v>2.1375722835973914</v>
      </c>
      <c r="Q120" s="34">
        <f t="shared" si="104"/>
        <v>2.18778769289213</v>
      </c>
      <c r="R120" s="34">
        <f t="shared" si="104"/>
        <v>2.3313090899087898</v>
      </c>
      <c r="S120" s="34">
        <f t="shared" si="104"/>
        <v>2.227524630372971</v>
      </c>
      <c r="T120" s="34">
        <f t="shared" si="104"/>
        <v>2.2679594371036482</v>
      </c>
      <c r="U120" s="34">
        <f t="shared" si="104"/>
        <v>3.1902748800938858</v>
      </c>
      <c r="V120" s="34">
        <f t="shared" si="104"/>
        <v>3.17856379574074</v>
      </c>
      <c r="W120" s="34">
        <f t="shared" si="104"/>
        <v>3.2030243567139371</v>
      </c>
      <c r="X120" s="34">
        <f t="shared" si="104"/>
        <v>4.8175126351733546</v>
      </c>
      <c r="Y120" s="34">
        <f t="shared" si="104"/>
        <v>4.8940111211561312</v>
      </c>
      <c r="Z120" s="34">
        <f t="shared" si="104"/>
        <v>4.9459188389752882</v>
      </c>
      <c r="AA120" s="34">
        <f t="shared" si="104"/>
        <v>6.257933815631822</v>
      </c>
      <c r="AB120" s="34">
        <f t="shared" si="104"/>
        <v>6.2247889502308791</v>
      </c>
      <c r="AC120" s="34">
        <f t="shared" si="104"/>
        <v>6.3893926188042025</v>
      </c>
      <c r="AD120" s="34">
        <f t="shared" si="104"/>
        <v>6.1555614431461203</v>
      </c>
      <c r="AE120" s="34">
        <f t="shared" si="104"/>
        <v>6.1828095634235121</v>
      </c>
      <c r="AF120" s="34">
        <f t="shared" si="104"/>
        <v>6.3444876084409474</v>
      </c>
      <c r="AG120" s="34">
        <f t="shared" si="104"/>
        <v>6.2287710273356538</v>
      </c>
      <c r="AP120" s="57">
        <f t="shared" si="86"/>
        <v>1.7098389567100802</v>
      </c>
      <c r="AQ120" s="57">
        <f t="shared" si="87"/>
        <v>1.5504050798417812</v>
      </c>
      <c r="AR120" s="57">
        <f t="shared" si="88"/>
        <v>2.2075912430139448</v>
      </c>
      <c r="AS120" s="57">
        <f t="shared" si="89"/>
        <v>3.190621010849521</v>
      </c>
      <c r="AT120" s="55">
        <f t="shared" si="90"/>
        <v>4.8858141984349244</v>
      </c>
      <c r="AU120" s="55">
        <f t="shared" si="91"/>
        <v>6.2548207181447335</v>
      </c>
    </row>
    <row r="121" spans="1:47">
      <c r="C121" s="61" t="s">
        <v>503</v>
      </c>
      <c r="D121" s="31" t="s">
        <v>314</v>
      </c>
      <c r="E121" s="34">
        <f>100*(E94)/((E$64*$E$15/100)-E97)</f>
        <v>5.3894987787569653</v>
      </c>
      <c r="F121" s="34">
        <f t="shared" ref="F121:AG121" si="105">100*(F94)/((F$64*$E$15/100)-F97)</f>
        <v>15.413213942039368</v>
      </c>
      <c r="G121" s="34">
        <f t="shared" si="105"/>
        <v>16.012653202683126</v>
      </c>
      <c r="H121" s="34">
        <f t="shared" si="105"/>
        <v>6.3482070793024645</v>
      </c>
      <c r="I121" s="34">
        <f t="shared" si="105"/>
        <v>6.3199090625271506</v>
      </c>
      <c r="J121" s="34">
        <f t="shared" si="105"/>
        <v>6.4396439755561685</v>
      </c>
      <c r="K121" s="34">
        <f t="shared" si="105"/>
        <v>7.0883290577934197</v>
      </c>
      <c r="L121" s="34">
        <f t="shared" si="105"/>
        <v>7.083970125064937</v>
      </c>
      <c r="M121" s="34">
        <f t="shared" si="105"/>
        <v>7.2414111062454438</v>
      </c>
      <c r="N121" s="34">
        <f t="shared" si="105"/>
        <v>7.323310303808757</v>
      </c>
      <c r="O121" s="34">
        <f t="shared" si="105"/>
        <v>8.1004995595781626</v>
      </c>
      <c r="P121" s="34">
        <f t="shared" si="105"/>
        <v>8.233039534567153</v>
      </c>
      <c r="Q121" s="34">
        <f t="shared" si="105"/>
        <v>8.3463976036316438</v>
      </c>
      <c r="R121" s="34">
        <f t="shared" si="105"/>
        <v>8.3989210246959036</v>
      </c>
      <c r="S121" s="34">
        <f t="shared" si="105"/>
        <v>8.4144319450448268</v>
      </c>
      <c r="T121" s="34">
        <f t="shared" si="105"/>
        <v>8.4935405115407274</v>
      </c>
      <c r="U121" s="34">
        <f t="shared" si="105"/>
        <v>9.5211123476116004</v>
      </c>
      <c r="V121" s="34">
        <f t="shared" si="105"/>
        <v>9.5481187137679502</v>
      </c>
      <c r="W121" s="34">
        <f t="shared" si="105"/>
        <v>9.5947524719564363</v>
      </c>
      <c r="X121" s="34">
        <f t="shared" si="105"/>
        <v>10.497185401332361</v>
      </c>
      <c r="Y121" s="34">
        <f t="shared" si="105"/>
        <v>10.819049608248914</v>
      </c>
      <c r="Z121" s="34">
        <f t="shared" si="105"/>
        <v>10.87311714160268</v>
      </c>
      <c r="AA121" s="34">
        <f t="shared" si="105"/>
        <v>11.390883457291638</v>
      </c>
      <c r="AB121" s="34">
        <f t="shared" si="105"/>
        <v>11.413383425780491</v>
      </c>
      <c r="AC121" s="34">
        <f t="shared" si="105"/>
        <v>11.477518463727137</v>
      </c>
      <c r="AD121" s="34">
        <f t="shared" si="105"/>
        <v>11.444704393156938</v>
      </c>
      <c r="AE121" s="34">
        <f t="shared" si="105"/>
        <v>11.451871480575926</v>
      </c>
      <c r="AF121" s="34">
        <f t="shared" si="105"/>
        <v>11.496076806889807</v>
      </c>
      <c r="AG121" s="34">
        <f t="shared" si="105"/>
        <v>11.48053777968093</v>
      </c>
      <c r="AP121" s="57">
        <f t="shared" si="86"/>
        <v>9.320521006810873</v>
      </c>
      <c r="AQ121" s="57">
        <f t="shared" si="87"/>
        <v>7.1842551482281394</v>
      </c>
      <c r="AR121" s="57">
        <f t="shared" si="88"/>
        <v>8.331138363176402</v>
      </c>
      <c r="AS121" s="57">
        <f t="shared" si="89"/>
        <v>9.5546611777786623</v>
      </c>
      <c r="AT121" s="55">
        <f t="shared" si="90"/>
        <v>10.729784050394651</v>
      </c>
      <c r="AU121" s="55">
        <f t="shared" si="91"/>
        <v>11.450710829586125</v>
      </c>
    </row>
    <row r="122" spans="1:47">
      <c r="C122" s="66" t="s">
        <v>504</v>
      </c>
      <c r="D122" s="31" t="s">
        <v>314</v>
      </c>
      <c r="E122" s="34">
        <f>(E95)/((E$64*$E$15/100)-E97)*100</f>
        <v>46.553994633887761</v>
      </c>
      <c r="F122" s="34">
        <f t="shared" ref="F122:AG122" si="106">(F95)/((F$64*$E$15/100)-F97)*100</f>
        <v>143.87735776402616</v>
      </c>
      <c r="G122" s="34">
        <f t="shared" si="106"/>
        <v>148.59502381585784</v>
      </c>
      <c r="H122" s="34">
        <f t="shared" si="106"/>
        <v>60.983670747719287</v>
      </c>
      <c r="I122" s="34">
        <f t="shared" si="106"/>
        <v>58.548980969812014</v>
      </c>
      <c r="J122" s="34">
        <f t="shared" si="106"/>
        <v>58.768739290178964</v>
      </c>
      <c r="K122" s="34">
        <f t="shared" si="106"/>
        <v>56.984863004418074</v>
      </c>
      <c r="L122" s="34">
        <f t="shared" si="106"/>
        <v>56.996743059219611</v>
      </c>
      <c r="M122" s="34">
        <f t="shared" si="106"/>
        <v>56.913616020293048</v>
      </c>
      <c r="N122" s="34">
        <f t="shared" si="106"/>
        <v>56.954209535037158</v>
      </c>
      <c r="O122" s="34">
        <f t="shared" si="106"/>
        <v>55.392855068453763</v>
      </c>
      <c r="P122" s="34">
        <f t="shared" si="106"/>
        <v>55.118399170766864</v>
      </c>
      <c r="Q122" s="34">
        <f t="shared" si="106"/>
        <v>55.167761809163807</v>
      </c>
      <c r="R122" s="34">
        <f t="shared" si="106"/>
        <v>54.806329351956798</v>
      </c>
      <c r="S122" s="34">
        <f t="shared" si="106"/>
        <v>54.540546018242331</v>
      </c>
      <c r="T122" s="34">
        <f t="shared" si="106"/>
        <v>54.584027325053889</v>
      </c>
      <c r="U122" s="34">
        <f t="shared" si="106"/>
        <v>52.816252217570621</v>
      </c>
      <c r="V122" s="34">
        <f t="shared" si="106"/>
        <v>52.816719679114875</v>
      </c>
      <c r="W122" s="34">
        <f t="shared" si="106"/>
        <v>52.848884915645641</v>
      </c>
      <c r="X122" s="34">
        <f t="shared" si="106"/>
        <v>49.810618905998986</v>
      </c>
      <c r="Y122" s="34">
        <f t="shared" si="106"/>
        <v>50.659965006566409</v>
      </c>
      <c r="Z122" s="34">
        <f t="shared" si="106"/>
        <v>50.639136339530651</v>
      </c>
      <c r="AA122" s="34">
        <f t="shared" si="106"/>
        <v>49.243199557630696</v>
      </c>
      <c r="AB122" s="34">
        <f t="shared" si="106"/>
        <v>49.305870545662941</v>
      </c>
      <c r="AC122" s="34">
        <f t="shared" si="106"/>
        <v>49.135300382411927</v>
      </c>
      <c r="AD122" s="34">
        <f t="shared" si="106"/>
        <v>49.384912374026072</v>
      </c>
      <c r="AE122" s="34">
        <f t="shared" si="106"/>
        <v>49.283409485491326</v>
      </c>
      <c r="AF122" s="34">
        <f t="shared" si="106"/>
        <v>49.078280996275616</v>
      </c>
      <c r="AG122" s="34">
        <f t="shared" si="106"/>
        <v>49.203926162871497</v>
      </c>
      <c r="AP122" s="57">
        <f t="shared" si="86"/>
        <v>86.221294536913675</v>
      </c>
      <c r="AQ122" s="57">
        <f t="shared" si="87"/>
        <v>56.962357904741971</v>
      </c>
      <c r="AR122" s="57">
        <f t="shared" si="88"/>
        <v>54.934986457272913</v>
      </c>
      <c r="AS122" s="57">
        <f t="shared" si="89"/>
        <v>52.827285604110379</v>
      </c>
      <c r="AT122" s="55">
        <f t="shared" si="90"/>
        <v>50.369906750698682</v>
      </c>
      <c r="AU122" s="55">
        <f t="shared" si="91"/>
        <v>49.233557072052868</v>
      </c>
    </row>
    <row r="123" spans="1:47">
      <c r="C123" s="66" t="s">
        <v>505</v>
      </c>
      <c r="D123" s="31" t="s">
        <v>314</v>
      </c>
      <c r="E123" s="34">
        <f>100*(E96)/((E$64*$E$15/100)-E97)</f>
        <v>35.378487440510405</v>
      </c>
      <c r="F123" s="34">
        <f t="shared" ref="F123:AG123" si="107">100*(F96)/((F$64*$E$15/100)-F97)</f>
        <v>110.28930691399597</v>
      </c>
      <c r="G123" s="34">
        <f t="shared" si="107"/>
        <v>114.24373091471827</v>
      </c>
      <c r="H123" s="34">
        <f t="shared" si="107"/>
        <v>49.230854182016294</v>
      </c>
      <c r="I123" s="34">
        <f t="shared" si="107"/>
        <v>47.372713928914152</v>
      </c>
      <c r="J123" s="34">
        <f t="shared" si="107"/>
        <v>46.713879572115751</v>
      </c>
      <c r="K123" s="34">
        <f t="shared" si="107"/>
        <v>37.984244415307487</v>
      </c>
      <c r="L123" s="34">
        <f t="shared" si="107"/>
        <v>38.055918112093451</v>
      </c>
      <c r="M123" s="34">
        <f t="shared" si="107"/>
        <v>37.800520518225376</v>
      </c>
      <c r="N123" s="34">
        <f t="shared" si="107"/>
        <v>37.698272889451573</v>
      </c>
      <c r="O123" s="34">
        <f t="shared" si="107"/>
        <v>34.666468663655039</v>
      </c>
      <c r="P123" s="34">
        <f t="shared" si="107"/>
        <v>34.408969822047943</v>
      </c>
      <c r="Q123" s="34">
        <f t="shared" si="107"/>
        <v>34.445914175304267</v>
      </c>
      <c r="R123" s="34">
        <f t="shared" si="107"/>
        <v>34.181019484205336</v>
      </c>
      <c r="S123" s="34">
        <f t="shared" si="107"/>
        <v>33.896906010897162</v>
      </c>
      <c r="T123" s="34">
        <f t="shared" si="107"/>
        <v>33.847446121278978</v>
      </c>
      <c r="U123" s="34">
        <f t="shared" si="107"/>
        <v>33.037533958461083</v>
      </c>
      <c r="V123" s="34">
        <f t="shared" si="107"/>
        <v>32.997490049126448</v>
      </c>
      <c r="W123" s="34">
        <f t="shared" si="107"/>
        <v>32.986341126702307</v>
      </c>
      <c r="X123" s="34">
        <f t="shared" si="107"/>
        <v>31.654378741482216</v>
      </c>
      <c r="Y123" s="34">
        <f t="shared" si="107"/>
        <v>32.135319496896386</v>
      </c>
      <c r="Z123" s="34">
        <f t="shared" si="107"/>
        <v>32.113299934621978</v>
      </c>
      <c r="AA123" s="34">
        <f t="shared" si="107"/>
        <v>31.190707661043263</v>
      </c>
      <c r="AB123" s="34">
        <f t="shared" si="107"/>
        <v>31.218119122712004</v>
      </c>
      <c r="AC123" s="34">
        <f t="shared" si="107"/>
        <v>31.128744278896704</v>
      </c>
      <c r="AD123" s="34">
        <f t="shared" si="107"/>
        <v>31.23453899524706</v>
      </c>
      <c r="AE123" s="34">
        <f t="shared" si="107"/>
        <v>31.167077445858016</v>
      </c>
      <c r="AF123" s="34">
        <f t="shared" si="107"/>
        <v>31.071926238858254</v>
      </c>
      <c r="AG123" s="34">
        <f t="shared" si="107"/>
        <v>31.115453263038383</v>
      </c>
      <c r="AP123" s="57">
        <f t="shared" si="86"/>
        <v>67.20482882537847</v>
      </c>
      <c r="AQ123" s="57">
        <f t="shared" si="87"/>
        <v>37.884738983769473</v>
      </c>
      <c r="AR123" s="57">
        <f t="shared" si="88"/>
        <v>34.241120712898123</v>
      </c>
      <c r="AS123" s="57">
        <f t="shared" si="89"/>
        <v>33.007121711429953</v>
      </c>
      <c r="AT123" s="55">
        <f t="shared" si="90"/>
        <v>31.967666057666861</v>
      </c>
      <c r="AU123" s="55">
        <f t="shared" si="91"/>
        <v>31.160938143664815</v>
      </c>
    </row>
    <row r="124" spans="1:47" s="86" customFormat="1">
      <c r="A124" s="83"/>
      <c r="B124" s="84"/>
      <c r="C124" s="83" t="s">
        <v>506</v>
      </c>
      <c r="D124" s="84" t="s">
        <v>314</v>
      </c>
      <c r="E124" s="141">
        <f>SUM(E120:E123)</f>
        <v>88.352757177910419</v>
      </c>
      <c r="F124" s="141">
        <f t="shared" ref="F124:AG124" si="108">SUM(F120:F123)</f>
        <v>272.34670824954321</v>
      </c>
      <c r="G124" s="141">
        <f t="shared" si="108"/>
        <v>281.71935570117319</v>
      </c>
      <c r="H124" s="141">
        <f t="shared" si="108"/>
        <v>117.74508493037015</v>
      </c>
      <c r="I124" s="141">
        <f t="shared" si="108"/>
        <v>113.42650181134819</v>
      </c>
      <c r="J124" s="141">
        <f t="shared" si="108"/>
        <v>113.14849208453347</v>
      </c>
      <c r="K124" s="141">
        <f t="shared" si="108"/>
        <v>103.56197820100304</v>
      </c>
      <c r="L124" s="141">
        <f t="shared" si="108"/>
        <v>103.66179354158685</v>
      </c>
      <c r="M124" s="141">
        <f t="shared" si="108"/>
        <v>103.53319164734637</v>
      </c>
      <c r="N124" s="141">
        <f t="shared" si="108"/>
        <v>103.57006507638921</v>
      </c>
      <c r="O124" s="141">
        <f t="shared" si="108"/>
        <v>100.25321761589571</v>
      </c>
      <c r="P124" s="141">
        <f t="shared" si="108"/>
        <v>99.897980810979362</v>
      </c>
      <c r="Q124" s="141">
        <f t="shared" si="108"/>
        <v>100.14786128099185</v>
      </c>
      <c r="R124" s="141">
        <f t="shared" si="108"/>
        <v>99.717578950766836</v>
      </c>
      <c r="S124" s="141">
        <f t="shared" si="108"/>
        <v>99.079408604557301</v>
      </c>
      <c r="T124" s="141">
        <f t="shared" si="108"/>
        <v>99.192973394977244</v>
      </c>
      <c r="U124" s="141">
        <f t="shared" si="108"/>
        <v>98.565173403737191</v>
      </c>
      <c r="V124" s="141">
        <f t="shared" si="108"/>
        <v>98.540892237750001</v>
      </c>
      <c r="W124" s="141">
        <f t="shared" si="108"/>
        <v>98.633002871018334</v>
      </c>
      <c r="X124" s="141">
        <f t="shared" si="108"/>
        <v>96.779695683986915</v>
      </c>
      <c r="Y124" s="141">
        <f t="shared" si="108"/>
        <v>98.508345232867839</v>
      </c>
      <c r="Z124" s="141">
        <f t="shared" si="108"/>
        <v>98.571472254730594</v>
      </c>
      <c r="AA124" s="141">
        <f t="shared" si="108"/>
        <v>98.082724491597418</v>
      </c>
      <c r="AB124" s="141">
        <f t="shared" si="108"/>
        <v>98.162162044386321</v>
      </c>
      <c r="AC124" s="141">
        <f t="shared" si="108"/>
        <v>98.130955743839962</v>
      </c>
      <c r="AD124" s="141">
        <f t="shared" si="108"/>
        <v>98.219717205576202</v>
      </c>
      <c r="AE124" s="141">
        <f t="shared" si="108"/>
        <v>98.085167975348782</v>
      </c>
      <c r="AF124" s="141">
        <f t="shared" si="108"/>
        <v>97.990771650464623</v>
      </c>
      <c r="AG124" s="141">
        <f t="shared" si="108"/>
        <v>98.02868823292647</v>
      </c>
      <c r="AJ124" s="84"/>
      <c r="AK124" s="84"/>
      <c r="AL124" s="84"/>
      <c r="AM124" s="84"/>
      <c r="AN124" s="84"/>
      <c r="AO124" s="84"/>
      <c r="AP124" s="57">
        <f t="shared" si="86"/>
        <v>164.45648332581311</v>
      </c>
      <c r="AQ124" s="57">
        <f t="shared" si="87"/>
        <v>103.58175711658136</v>
      </c>
      <c r="AR124" s="57">
        <f t="shared" si="88"/>
        <v>99.714836776361381</v>
      </c>
      <c r="AS124" s="57">
        <f t="shared" si="89"/>
        <v>98.579689504168513</v>
      </c>
      <c r="AT124" s="55">
        <f t="shared" si="90"/>
        <v>97.953171057195121</v>
      </c>
      <c r="AU124" s="55">
        <f t="shared" si="91"/>
        <v>98.10002676344854</v>
      </c>
    </row>
    <row r="125" spans="1:47">
      <c r="L125" s="31"/>
      <c r="M125" s="31"/>
      <c r="N125" s="31"/>
      <c r="O125" s="31"/>
      <c r="P125" s="31"/>
      <c r="Q125" s="31"/>
      <c r="R125" s="31"/>
      <c r="S125" s="31"/>
      <c r="T125" s="31"/>
      <c r="U125" s="31"/>
      <c r="V125" s="31"/>
      <c r="W125" s="31"/>
      <c r="X125" s="31"/>
      <c r="Y125" s="31"/>
      <c r="Z125" s="31"/>
      <c r="AA125" s="31"/>
      <c r="AB125" s="31"/>
      <c r="AC125" s="31"/>
      <c r="AD125" s="31"/>
      <c r="AE125" s="31"/>
      <c r="AF125" s="31"/>
      <c r="AG125" s="31"/>
      <c r="AP125" s="57"/>
      <c r="AQ125" s="57"/>
      <c r="AR125" s="57"/>
      <c r="AS125" s="57"/>
      <c r="AT125" s="55"/>
      <c r="AU125" s="55"/>
    </row>
    <row r="126" spans="1:47">
      <c r="C126" s="66" t="s">
        <v>507</v>
      </c>
      <c r="D126" s="31" t="s">
        <v>314</v>
      </c>
      <c r="E126" s="34">
        <f>100*(E99)/((E$64*$E$19/100)-E101)</f>
        <v>40.866519293441868</v>
      </c>
      <c r="F126" s="34">
        <f t="shared" ref="F126:AG126" si="109">100*(F99)/((F$64*$E$19/100)-F101)</f>
        <v>33.810917120681928</v>
      </c>
      <c r="G126" s="34">
        <f t="shared" si="109"/>
        <v>34.097013675561378</v>
      </c>
      <c r="H126" s="34">
        <f t="shared" si="109"/>
        <v>40.858636718387629</v>
      </c>
      <c r="I126" s="34">
        <f t="shared" si="109"/>
        <v>41.681903230981362</v>
      </c>
      <c r="J126" s="34">
        <f t="shared" si="109"/>
        <v>41.308062789001646</v>
      </c>
      <c r="K126" s="34">
        <f t="shared" si="109"/>
        <v>37.9989439078552</v>
      </c>
      <c r="L126" s="34">
        <f t="shared" si="109"/>
        <v>37.912165354222232</v>
      </c>
      <c r="M126" s="34">
        <f t="shared" si="109"/>
        <v>37.50536169724927</v>
      </c>
      <c r="N126" s="34">
        <f t="shared" si="109"/>
        <v>37.411416187746447</v>
      </c>
      <c r="O126" s="34">
        <f t="shared" si="109"/>
        <v>32.2485362637441</v>
      </c>
      <c r="P126" s="34">
        <f t="shared" si="109"/>
        <v>32.022137234711522</v>
      </c>
      <c r="Q126" s="34">
        <f t="shared" si="109"/>
        <v>31.517952470120736</v>
      </c>
      <c r="R126" s="34">
        <f t="shared" si="109"/>
        <v>31.432334465274888</v>
      </c>
      <c r="S126" s="34">
        <f t="shared" si="109"/>
        <v>31.619254144459319</v>
      </c>
      <c r="T126" s="34">
        <f t="shared" si="109"/>
        <v>31.191863239214154</v>
      </c>
      <c r="U126" s="34">
        <f t="shared" si="109"/>
        <v>24.295000032965437</v>
      </c>
      <c r="V126" s="34">
        <f t="shared" si="109"/>
        <v>24.224136785987159</v>
      </c>
      <c r="W126" s="34">
        <f t="shared" si="109"/>
        <v>24.054722076228661</v>
      </c>
      <c r="X126" s="34">
        <f t="shared" si="109"/>
        <v>17.266468404729807</v>
      </c>
      <c r="Y126" s="34">
        <f t="shared" si="109"/>
        <v>15.196830375849263</v>
      </c>
      <c r="Z126" s="34">
        <f t="shared" si="109"/>
        <v>14.80495396024711</v>
      </c>
      <c r="AA126" s="34">
        <f t="shared" si="109"/>
        <v>9.632401868926852</v>
      </c>
      <c r="AB126" s="34">
        <f t="shared" si="109"/>
        <v>9.5718898470441722</v>
      </c>
      <c r="AC126" s="34">
        <f t="shared" si="109"/>
        <v>9.0199050841666431</v>
      </c>
      <c r="AD126" s="34">
        <f t="shared" si="109"/>
        <v>9.3107565599393638</v>
      </c>
      <c r="AE126" s="34">
        <f t="shared" si="109"/>
        <v>9.1541591320431461</v>
      </c>
      <c r="AF126" s="34">
        <f t="shared" si="109"/>
        <v>8.6747467340602693</v>
      </c>
      <c r="AG126" s="34">
        <f t="shared" si="109"/>
        <v>8.8414814311050272</v>
      </c>
      <c r="AP126" s="57">
        <f t="shared" si="86"/>
        <v>38.77050880467597</v>
      </c>
      <c r="AQ126" s="57">
        <f t="shared" si="87"/>
        <v>37.706971786768285</v>
      </c>
      <c r="AR126" s="57">
        <f t="shared" si="88"/>
        <v>31.672012969587453</v>
      </c>
      <c r="AS126" s="57">
        <f t="shared" si="89"/>
        <v>24.191286298393752</v>
      </c>
      <c r="AT126" s="55">
        <f t="shared" si="90"/>
        <v>15.756084246942059</v>
      </c>
      <c r="AU126" s="55">
        <f t="shared" si="91"/>
        <v>9.1721915224693529</v>
      </c>
    </row>
    <row r="127" spans="1:47">
      <c r="C127" s="66" t="s">
        <v>508</v>
      </c>
      <c r="D127" s="31" t="s">
        <v>314</v>
      </c>
      <c r="E127" s="34">
        <f>100*(E100)/((E$64*$E$19/100)-E101)</f>
        <v>34.537302358794818</v>
      </c>
      <c r="F127" s="34">
        <f t="shared" ref="F127:AG127" si="110">100*(F100)/((F$64*$E$19/100)-F101)</f>
        <v>29.608184679094911</v>
      </c>
      <c r="G127" s="34">
        <f t="shared" si="110"/>
        <v>29.641180356691081</v>
      </c>
      <c r="H127" s="34">
        <f t="shared" si="110"/>
        <v>35.256212288473144</v>
      </c>
      <c r="I127" s="34">
        <f t="shared" si="110"/>
        <v>35.575028855349075</v>
      </c>
      <c r="J127" s="34">
        <f t="shared" si="110"/>
        <v>35.381271658320223</v>
      </c>
      <c r="K127" s="34">
        <f t="shared" si="110"/>
        <v>35.419912438716828</v>
      </c>
      <c r="L127" s="34">
        <f t="shared" si="110"/>
        <v>35.261243635760941</v>
      </c>
      <c r="M127" s="34">
        <f t="shared" si="110"/>
        <v>34.86510151550371</v>
      </c>
      <c r="N127" s="34">
        <f t="shared" si="110"/>
        <v>34.717795775142903</v>
      </c>
      <c r="O127" s="34">
        <f t="shared" si="110"/>
        <v>32.759389746903992</v>
      </c>
      <c r="P127" s="34">
        <f t="shared" si="110"/>
        <v>32.645493836256009</v>
      </c>
      <c r="Q127" s="34">
        <f t="shared" si="110"/>
        <v>32.18977916239762</v>
      </c>
      <c r="R127" s="34">
        <f t="shared" si="110"/>
        <v>32.065273227424292</v>
      </c>
      <c r="S127" s="34">
        <f t="shared" si="110"/>
        <v>32.252513204771255</v>
      </c>
      <c r="T127" s="34">
        <f t="shared" si="110"/>
        <v>31.845099901523039</v>
      </c>
      <c r="U127" s="34">
        <f t="shared" si="110"/>
        <v>26.535259674629909</v>
      </c>
      <c r="V127" s="34">
        <f t="shared" si="110"/>
        <v>26.500307433646899</v>
      </c>
      <c r="W127" s="34">
        <f t="shared" si="110"/>
        <v>26.306500888361732</v>
      </c>
      <c r="X127" s="34">
        <f t="shared" si="110"/>
        <v>19.221631555107631</v>
      </c>
      <c r="Y127" s="34">
        <f t="shared" si="110"/>
        <v>17.027260171551127</v>
      </c>
      <c r="Z127" s="34">
        <f t="shared" si="110"/>
        <v>16.653937975277355</v>
      </c>
      <c r="AA127" s="34">
        <f t="shared" si="110"/>
        <v>10.802523436237106</v>
      </c>
      <c r="AB127" s="34">
        <f t="shared" si="110"/>
        <v>10.735930944472056</v>
      </c>
      <c r="AC127" s="34">
        <f t="shared" si="110"/>
        <v>10.115661698629903</v>
      </c>
      <c r="AD127" s="34">
        <f t="shared" si="110"/>
        <v>10.471711509823409</v>
      </c>
      <c r="AE127" s="34">
        <f t="shared" si="110"/>
        <v>10.280007246817471</v>
      </c>
      <c r="AF127" s="34">
        <f t="shared" si="110"/>
        <v>9.7205553740295549</v>
      </c>
      <c r="AG127" s="34">
        <f t="shared" si="110"/>
        <v>9.9603195974704715</v>
      </c>
      <c r="AP127" s="57">
        <f t="shared" si="86"/>
        <v>33.333196699453872</v>
      </c>
      <c r="AQ127" s="57">
        <f t="shared" si="87"/>
        <v>35.066013341281092</v>
      </c>
      <c r="AR127" s="57">
        <f t="shared" si="88"/>
        <v>32.292924846546036</v>
      </c>
      <c r="AS127" s="57">
        <f t="shared" si="89"/>
        <v>26.447355998879516</v>
      </c>
      <c r="AT127" s="55">
        <f t="shared" si="90"/>
        <v>17.634276567312039</v>
      </c>
      <c r="AU127" s="55">
        <f t="shared" si="91"/>
        <v>10.298101401068568</v>
      </c>
    </row>
    <row r="128" spans="1:47" s="86" customFormat="1">
      <c r="A128" s="83"/>
      <c r="B128" s="84"/>
      <c r="C128" s="83" t="s">
        <v>509</v>
      </c>
      <c r="D128" s="84" t="s">
        <v>314</v>
      </c>
      <c r="E128" s="141">
        <f>SUM(E126:E127)</f>
        <v>75.403821652236687</v>
      </c>
      <c r="F128" s="141">
        <f t="shared" ref="F128:AG128" si="111">SUM(F126:F127)</f>
        <v>63.41910179977684</v>
      </c>
      <c r="G128" s="141">
        <f t="shared" si="111"/>
        <v>63.738194032252458</v>
      </c>
      <c r="H128" s="141">
        <f t="shared" si="111"/>
        <v>76.114849006860766</v>
      </c>
      <c r="I128" s="141">
        <f t="shared" si="111"/>
        <v>77.256932086330437</v>
      </c>
      <c r="J128" s="141">
        <f t="shared" si="111"/>
        <v>76.689334447321869</v>
      </c>
      <c r="K128" s="141">
        <f t="shared" si="111"/>
        <v>73.418856346572028</v>
      </c>
      <c r="L128" s="141">
        <f t="shared" si="111"/>
        <v>73.173408989983173</v>
      </c>
      <c r="M128" s="141">
        <f t="shared" si="111"/>
        <v>72.370463212752981</v>
      </c>
      <c r="N128" s="141">
        <f t="shared" si="111"/>
        <v>72.129211962889343</v>
      </c>
      <c r="O128" s="141">
        <f t="shared" si="111"/>
        <v>65.007926010648092</v>
      </c>
      <c r="P128" s="141">
        <f t="shared" si="111"/>
        <v>64.667631070967531</v>
      </c>
      <c r="Q128" s="141">
        <f t="shared" si="111"/>
        <v>63.70773163251836</v>
      </c>
      <c r="R128" s="141">
        <f t="shared" si="111"/>
        <v>63.497607692699177</v>
      </c>
      <c r="S128" s="141">
        <f t="shared" si="111"/>
        <v>63.871767349230574</v>
      </c>
      <c r="T128" s="141">
        <f t="shared" si="111"/>
        <v>63.036963140737193</v>
      </c>
      <c r="U128" s="141">
        <f t="shared" si="111"/>
        <v>50.830259707595346</v>
      </c>
      <c r="V128" s="141">
        <f t="shared" si="111"/>
        <v>50.724444219634059</v>
      </c>
      <c r="W128" s="141">
        <f t="shared" si="111"/>
        <v>50.361222964590397</v>
      </c>
      <c r="X128" s="141">
        <f t="shared" si="111"/>
        <v>36.488099959837442</v>
      </c>
      <c r="Y128" s="141">
        <f t="shared" si="111"/>
        <v>32.224090547400394</v>
      </c>
      <c r="Z128" s="141">
        <f t="shared" si="111"/>
        <v>31.458891935524463</v>
      </c>
      <c r="AA128" s="141">
        <f t="shared" si="111"/>
        <v>20.434925305163958</v>
      </c>
      <c r="AB128" s="141">
        <f t="shared" si="111"/>
        <v>20.307820791516228</v>
      </c>
      <c r="AC128" s="141">
        <f t="shared" si="111"/>
        <v>19.135566782796545</v>
      </c>
      <c r="AD128" s="141">
        <f t="shared" si="111"/>
        <v>19.782468069762771</v>
      </c>
      <c r="AE128" s="141">
        <f t="shared" si="111"/>
        <v>19.434166378860617</v>
      </c>
      <c r="AF128" s="141">
        <f t="shared" si="111"/>
        <v>18.395302108089822</v>
      </c>
      <c r="AG128" s="141">
        <f t="shared" si="111"/>
        <v>18.801801028575497</v>
      </c>
      <c r="AJ128" s="84"/>
      <c r="AK128" s="84"/>
      <c r="AL128" s="84"/>
      <c r="AM128" s="84"/>
      <c r="AN128" s="84"/>
      <c r="AO128" s="84"/>
      <c r="AP128" s="57">
        <f t="shared" si="86"/>
        <v>72.103705504129849</v>
      </c>
      <c r="AQ128" s="57">
        <f t="shared" si="87"/>
        <v>72.772985128049385</v>
      </c>
      <c r="AR128" s="57">
        <f t="shared" si="88"/>
        <v>63.964937816133492</v>
      </c>
      <c r="AS128" s="57">
        <f t="shared" si="89"/>
        <v>50.638642297273272</v>
      </c>
      <c r="AT128" s="55">
        <f t="shared" si="90"/>
        <v>33.390360814254102</v>
      </c>
      <c r="AU128" s="55">
        <f t="shared" si="91"/>
        <v>19.470292923537922</v>
      </c>
    </row>
    <row r="129" spans="1:47">
      <c r="C129" s="61" t="s">
        <v>465</v>
      </c>
      <c r="D129" s="84" t="s">
        <v>314</v>
      </c>
      <c r="E129" s="34">
        <f>100*(E104)/((E$64*$E$15/100-E97))</f>
        <v>16.210893851350782</v>
      </c>
      <c r="F129" s="34">
        <f t="shared" ref="F129:AG129" si="112">100*(F104)/((F$64*$E$15/100-F97))</f>
        <v>42.67372005968874</v>
      </c>
      <c r="G129" s="34">
        <f t="shared" si="112"/>
        <v>44.903157064110594</v>
      </c>
      <c r="H129" s="34">
        <f t="shared" si="112"/>
        <v>19.225141042535299</v>
      </c>
      <c r="I129" s="34">
        <f t="shared" si="112"/>
        <v>18.660250861225549</v>
      </c>
      <c r="J129" s="34">
        <f t="shared" si="112"/>
        <v>18.819378746020345</v>
      </c>
      <c r="K129" s="34">
        <f t="shared" si="112"/>
        <v>15.134752720630264</v>
      </c>
      <c r="L129" s="34">
        <f t="shared" si="112"/>
        <v>15.170868178375597</v>
      </c>
      <c r="M129" s="34">
        <f t="shared" si="112"/>
        <v>15.343664863466953</v>
      </c>
      <c r="N129" s="34">
        <f t="shared" si="112"/>
        <v>15.227176673889089</v>
      </c>
      <c r="O129" s="34">
        <f t="shared" si="112"/>
        <v>11.940964671292454</v>
      </c>
      <c r="P129" s="34">
        <f t="shared" si="112"/>
        <v>12.02651774967409</v>
      </c>
      <c r="Q129" s="34">
        <f t="shared" si="112"/>
        <v>11.683700221443049</v>
      </c>
      <c r="R129" s="34">
        <f t="shared" si="112"/>
        <v>11.652295789302862</v>
      </c>
      <c r="S129" s="34">
        <f t="shared" si="112"/>
        <v>11.672469809845717</v>
      </c>
      <c r="T129" s="34">
        <f t="shared" si="112"/>
        <v>11.509827002748734</v>
      </c>
      <c r="U129" s="34">
        <f t="shared" si="112"/>
        <v>8.1182455417046171</v>
      </c>
      <c r="V129" s="34">
        <f t="shared" si="112"/>
        <v>8.1360661707085935</v>
      </c>
      <c r="W129" s="34">
        <f t="shared" si="112"/>
        <v>8.1271757291227793</v>
      </c>
      <c r="X129" s="34">
        <f t="shared" si="112"/>
        <v>5.1875488764669448</v>
      </c>
      <c r="Y129" s="34">
        <f t="shared" si="112"/>
        <v>4.8222710715893662</v>
      </c>
      <c r="Z129" s="34">
        <f t="shared" si="112"/>
        <v>4.6915975891302866</v>
      </c>
      <c r="AA129" s="34">
        <f t="shared" si="112"/>
        <v>3.1701434499510381</v>
      </c>
      <c r="AB129" s="34">
        <f t="shared" si="112"/>
        <v>3.1585446331433626</v>
      </c>
      <c r="AC129" s="34">
        <f t="shared" si="112"/>
        <v>2.9843535361133875</v>
      </c>
      <c r="AD129" s="34">
        <f t="shared" si="112"/>
        <v>3.0753982735992449</v>
      </c>
      <c r="AE129" s="34">
        <f t="shared" si="112"/>
        <v>3.0328015544297049</v>
      </c>
      <c r="AF129" s="34">
        <f t="shared" si="112"/>
        <v>2.8794699965341901</v>
      </c>
      <c r="AG129" s="34">
        <f t="shared" si="112"/>
        <v>2.9384027664659347</v>
      </c>
      <c r="AP129" s="57">
        <f t="shared" si="86"/>
        <v>26.748756937488551</v>
      </c>
      <c r="AQ129" s="57">
        <f t="shared" si="87"/>
        <v>15.219115609090476</v>
      </c>
      <c r="AR129" s="57">
        <f t="shared" si="88"/>
        <v>11.747629207384485</v>
      </c>
      <c r="AS129" s="57">
        <f t="shared" si="89"/>
        <v>8.1271624805119966</v>
      </c>
      <c r="AT129" s="55">
        <f t="shared" si="90"/>
        <v>4.9004725123955319</v>
      </c>
      <c r="AU129" s="55">
        <f t="shared" si="91"/>
        <v>3.03415917289098</v>
      </c>
    </row>
    <row r="130" spans="1:47">
      <c r="L130" s="31"/>
      <c r="M130" s="31"/>
      <c r="N130" s="31"/>
      <c r="O130" s="31"/>
      <c r="P130" s="31"/>
      <c r="Q130" s="31"/>
      <c r="R130" s="31"/>
      <c r="S130" s="31"/>
      <c r="T130" s="31"/>
      <c r="U130" s="31"/>
      <c r="V130" s="31"/>
      <c r="W130" s="31"/>
      <c r="X130" s="31"/>
      <c r="Y130" s="31"/>
      <c r="Z130" s="31"/>
      <c r="AA130" s="31"/>
      <c r="AB130" s="31"/>
      <c r="AC130" s="31"/>
      <c r="AD130" s="31"/>
      <c r="AE130" s="31"/>
      <c r="AF130" s="31"/>
      <c r="AG130" s="31"/>
      <c r="AP130" s="57"/>
      <c r="AQ130" s="57"/>
      <c r="AR130" s="57"/>
      <c r="AS130" s="57"/>
      <c r="AT130" s="55"/>
      <c r="AU130" s="55"/>
    </row>
    <row r="131" spans="1:47" s="86" customFormat="1">
      <c r="A131" s="83"/>
      <c r="B131" s="84"/>
      <c r="C131" s="83" t="s">
        <v>466</v>
      </c>
      <c r="D131" s="84" t="s">
        <v>314</v>
      </c>
      <c r="E131" s="141">
        <f>100*(E105)/((E$64*$E$20/100)-E102)</f>
        <v>52.085187564054166</v>
      </c>
      <c r="F131" s="141">
        <f t="shared" ref="F131:AG131" si="113">100*(F105)/((F$64*$E$20/100)-F102)</f>
        <v>35.795894021210124</v>
      </c>
      <c r="G131" s="141">
        <f t="shared" si="113"/>
        <v>35.373100894180155</v>
      </c>
      <c r="H131" s="141">
        <f t="shared" si="113"/>
        <v>91.209053543849308</v>
      </c>
      <c r="I131" s="141">
        <f t="shared" si="113"/>
        <v>96.524600578381737</v>
      </c>
      <c r="J131" s="141">
        <f t="shared" si="113"/>
        <v>95.293126106039495</v>
      </c>
      <c r="K131" s="141">
        <f t="shared" si="113"/>
        <v>78.802803405048365</v>
      </c>
      <c r="L131" s="141">
        <f t="shared" si="113"/>
        <v>78.96636101004087</v>
      </c>
      <c r="M131" s="141">
        <f t="shared" si="113"/>
        <v>78.004152044629876</v>
      </c>
      <c r="N131" s="141">
        <f t="shared" si="113"/>
        <v>77.239756009319976</v>
      </c>
      <c r="O131" s="141">
        <f t="shared" si="113"/>
        <v>58.525604867836023</v>
      </c>
      <c r="P131" s="141">
        <f t="shared" si="113"/>
        <v>56.645795691017206</v>
      </c>
      <c r="Q131" s="141">
        <f t="shared" si="113"/>
        <v>55.767681705037248</v>
      </c>
      <c r="R131" s="141">
        <f t="shared" si="113"/>
        <v>55.78812313285497</v>
      </c>
      <c r="S131" s="141">
        <f t="shared" si="113"/>
        <v>56.110230288888033</v>
      </c>
      <c r="T131" s="141">
        <f t="shared" si="113"/>
        <v>55.582385525066499</v>
      </c>
      <c r="U131" s="141">
        <f t="shared" si="113"/>
        <v>29.673962093599748</v>
      </c>
      <c r="V131" s="141">
        <f t="shared" si="113"/>
        <v>29.587169195480005</v>
      </c>
      <c r="W131" s="141">
        <f t="shared" si="113"/>
        <v>29.287215782409351</v>
      </c>
      <c r="X131" s="141">
        <f t="shared" si="113"/>
        <v>16.891170906984541</v>
      </c>
      <c r="Y131" s="141">
        <f t="shared" si="113"/>
        <v>9.5378084849488083</v>
      </c>
      <c r="Z131" s="141">
        <f t="shared" si="113"/>
        <v>9.0980982689993155</v>
      </c>
      <c r="AA131" s="141">
        <f t="shared" si="113"/>
        <v>4.5985341246144635</v>
      </c>
      <c r="AB131" s="141">
        <f t="shared" si="113"/>
        <v>4.6838555481976982</v>
      </c>
      <c r="AC131" s="141">
        <f t="shared" si="113"/>
        <v>4.4612500670804716</v>
      </c>
      <c r="AD131" s="141">
        <f t="shared" si="113"/>
        <v>4.674322623806364</v>
      </c>
      <c r="AE131" s="141">
        <f t="shared" si="113"/>
        <v>4.632046675010133</v>
      </c>
      <c r="AF131" s="141">
        <f t="shared" si="113"/>
        <v>4.404146167450155</v>
      </c>
      <c r="AG131" s="141">
        <f t="shared" si="113"/>
        <v>4.5168553360032035</v>
      </c>
      <c r="AJ131" s="84"/>
      <c r="AK131" s="84"/>
      <c r="AL131" s="84"/>
      <c r="AM131" s="84"/>
      <c r="AN131" s="84"/>
      <c r="AO131" s="84"/>
      <c r="AP131" s="57">
        <f t="shared" si="86"/>
        <v>67.71349378461916</v>
      </c>
      <c r="AQ131" s="57">
        <f t="shared" si="87"/>
        <v>78.253268117259765</v>
      </c>
      <c r="AR131" s="57">
        <f t="shared" si="88"/>
        <v>56.40330353511667</v>
      </c>
      <c r="AS131" s="57">
        <f t="shared" si="89"/>
        <v>29.516115690496367</v>
      </c>
      <c r="AT131" s="55">
        <f t="shared" si="90"/>
        <v>11.842359220310888</v>
      </c>
      <c r="AU131" s="55">
        <f t="shared" si="91"/>
        <v>4.567287220308927</v>
      </c>
    </row>
    <row r="132" spans="1:47">
      <c r="C132" s="61" t="str">
        <f>A98</f>
        <v>Methylcyclopentane</v>
      </c>
      <c r="D132" s="31" t="s">
        <v>495</v>
      </c>
      <c r="E132" s="34">
        <f>100*(E98)/((E64*$E$16/100))</f>
        <v>81.660342847373229</v>
      </c>
      <c r="F132" s="34">
        <f t="shared" ref="F132:AG132" si="114">100*(F98)/((F64*$E$16/100))</f>
        <v>82.297093997674807</v>
      </c>
      <c r="G132" s="34">
        <f t="shared" si="114"/>
        <v>81.632927056553029</v>
      </c>
      <c r="H132" s="34">
        <f t="shared" si="114"/>
        <v>82.619918192518369</v>
      </c>
      <c r="I132" s="34">
        <f t="shared" si="114"/>
        <v>81.357725714775583</v>
      </c>
      <c r="J132" s="34">
        <f t="shared" si="114"/>
        <v>80.623336446648651</v>
      </c>
      <c r="K132" s="34">
        <f t="shared" si="114"/>
        <v>69.277967490512665</v>
      </c>
      <c r="L132" s="34">
        <f t="shared" si="114"/>
        <v>69.104746816596901</v>
      </c>
      <c r="M132" s="34">
        <f t="shared" si="114"/>
        <v>67.22122317806425</v>
      </c>
      <c r="N132" s="34">
        <f t="shared" si="114"/>
        <v>66.889442255369318</v>
      </c>
      <c r="O132" s="34">
        <f t="shared" si="114"/>
        <v>59.792225204110586</v>
      </c>
      <c r="P132" s="34">
        <f t="shared" si="114"/>
        <v>60.067654065013279</v>
      </c>
      <c r="Q132" s="34">
        <f t="shared" si="114"/>
        <v>58.203503979184092</v>
      </c>
      <c r="R132" s="34">
        <f t="shared" si="114"/>
        <v>57.369170928468364</v>
      </c>
      <c r="S132" s="34">
        <f t="shared" si="114"/>
        <v>56.90320767998054</v>
      </c>
      <c r="T132" s="34">
        <f t="shared" si="114"/>
        <v>56.4725620297882</v>
      </c>
      <c r="U132" s="34">
        <f t="shared" si="114"/>
        <v>58.095614028169578</v>
      </c>
      <c r="V132" s="34">
        <f t="shared" si="114"/>
        <v>58.018473010163355</v>
      </c>
      <c r="W132" s="34">
        <f t="shared" si="114"/>
        <v>57.324500075794077</v>
      </c>
      <c r="X132" s="34">
        <f t="shared" si="114"/>
        <v>56.240990612926979</v>
      </c>
      <c r="Y132" s="34">
        <f t="shared" si="114"/>
        <v>55.973367452152644</v>
      </c>
      <c r="Z132" s="34">
        <f t="shared" si="114"/>
        <v>55.571912771718068</v>
      </c>
      <c r="AA132" s="34">
        <f t="shared" si="114"/>
        <v>49.428480867806634</v>
      </c>
      <c r="AB132" s="34">
        <f t="shared" si="114"/>
        <v>49.116702848566412</v>
      </c>
      <c r="AC132" s="34">
        <f t="shared" si="114"/>
        <v>48.031636803339168</v>
      </c>
      <c r="AD132" s="34">
        <f t="shared" si="114"/>
        <v>48.198183859808211</v>
      </c>
      <c r="AE132" s="34">
        <f t="shared" si="114"/>
        <v>47.905965147670138</v>
      </c>
      <c r="AF132" s="34">
        <f t="shared" si="114"/>
        <v>46.823451780643502</v>
      </c>
      <c r="AG132" s="34">
        <f t="shared" si="114"/>
        <v>46.689872399340281</v>
      </c>
      <c r="AP132" s="57">
        <f t="shared" si="86"/>
        <v>81.698557375923954</v>
      </c>
      <c r="AQ132" s="57">
        <f t="shared" si="87"/>
        <v>68.123344935135776</v>
      </c>
      <c r="AR132" s="57">
        <f t="shared" si="88"/>
        <v>58.134720647757511</v>
      </c>
      <c r="AS132" s="57">
        <f t="shared" si="89"/>
        <v>57.812862371375672</v>
      </c>
      <c r="AT132" s="55">
        <f t="shared" si="90"/>
        <v>55.928756945599226</v>
      </c>
      <c r="AU132" s="55">
        <f t="shared" si="91"/>
        <v>48.027756243882052</v>
      </c>
    </row>
    <row r="134" spans="1:47">
      <c r="Z134" s="134"/>
    </row>
    <row r="135" spans="1:47">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row>
    <row r="141" spans="1:47">
      <c r="C141" s="61"/>
    </row>
    <row r="142" spans="1:47">
      <c r="C142" s="66"/>
    </row>
    <row r="143" spans="1:47">
      <c r="C143" s="66"/>
    </row>
    <row r="144" spans="1:47">
      <c r="C144" s="66"/>
    </row>
    <row r="145" spans="3:3">
      <c r="C145" s="66"/>
    </row>
    <row r="146" spans="3:3">
      <c r="C146" s="66"/>
    </row>
    <row r="147" spans="3:3">
      <c r="C147" s="66"/>
    </row>
    <row r="148" spans="3:3">
      <c r="C148" s="66"/>
    </row>
    <row r="149" spans="3:3">
      <c r="C149" s="66"/>
    </row>
    <row r="150" spans="3:3">
      <c r="C150" s="66"/>
    </row>
    <row r="151" spans="3:3">
      <c r="C151" s="66"/>
    </row>
    <row r="152" spans="3:3">
      <c r="C152" s="66"/>
    </row>
    <row r="153" spans="3:3">
      <c r="C153" s="66"/>
    </row>
    <row r="154" spans="3:3">
      <c r="C154" s="66"/>
    </row>
    <row r="155" spans="3:3">
      <c r="C155" s="66"/>
    </row>
    <row r="156" spans="3:3">
      <c r="C156" s="61"/>
    </row>
    <row r="157" spans="3:3">
      <c r="C157" s="61"/>
    </row>
    <row r="158" spans="3:3">
      <c r="C158" s="61"/>
    </row>
    <row r="159" spans="3:3">
      <c r="C159" s="61"/>
    </row>
  </sheetData>
  <mergeCells count="17">
    <mergeCell ref="A61:C61"/>
    <mergeCell ref="A62:C62"/>
    <mergeCell ref="A63:C63"/>
    <mergeCell ref="A64:C64"/>
    <mergeCell ref="A55:C55"/>
    <mergeCell ref="A56:C56"/>
    <mergeCell ref="A57:C57"/>
    <mergeCell ref="A58:C58"/>
    <mergeCell ref="A59:C59"/>
    <mergeCell ref="A60:C60"/>
    <mergeCell ref="A54:C54"/>
    <mergeCell ref="A1:E1"/>
    <mergeCell ref="A2:C2"/>
    <mergeCell ref="A3:C3"/>
    <mergeCell ref="A4:C4"/>
    <mergeCell ref="A53:C53"/>
    <mergeCell ref="E21:E24"/>
  </mergeCells>
  <phoneticPr fontId="5"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A9C83-B642-4F84-B5D7-35EA427861E5}">
  <dimension ref="L17:L18"/>
  <sheetViews>
    <sheetView workbookViewId="0">
      <selection activeCell="L17" sqref="L17"/>
    </sheetView>
  </sheetViews>
  <sheetFormatPr defaultRowHeight="15"/>
  <sheetData>
    <row r="17" spans="12:12">
      <c r="L17">
        <f>2.8*24</f>
        <v>67.199999999999989</v>
      </c>
    </row>
    <row r="18" spans="12:12">
      <c r="L18">
        <f>L17/1000</f>
        <v>6.7199999999999982E-2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A1C08-9D59-4173-A6FD-54B53D1D8502}">
  <sheetPr codeName="Sheet12"/>
  <dimension ref="A1:BG142"/>
  <sheetViews>
    <sheetView zoomScale="80" zoomScaleNormal="80" workbookViewId="0">
      <pane xSplit="4" ySplit="1" topLeftCell="E17" activePane="bottomRight" state="frozen"/>
      <selection pane="topRight" activeCell="E1" sqref="E1"/>
      <selection pane="bottomLeft" activeCell="A2" sqref="A2"/>
      <selection pane="bottomRight" activeCell="E69" sqref="E69"/>
    </sheetView>
  </sheetViews>
  <sheetFormatPr defaultColWidth="9.140625" defaultRowHeight="15"/>
  <cols>
    <col min="1" max="1" width="19.7109375" style="61" bestFit="1" customWidth="1"/>
    <col min="2" max="2" width="14.85546875" style="31" bestFit="1" customWidth="1"/>
    <col min="3" max="3" width="29.7109375" style="31" bestFit="1" customWidth="1"/>
    <col min="4" max="4" width="13.140625" style="31" customWidth="1"/>
    <col min="5" max="5" width="15.85546875" style="31" customWidth="1"/>
    <col min="6" max="9" width="13.140625" style="31" bestFit="1" customWidth="1"/>
    <col min="10" max="10" width="18.85546875" style="31" bestFit="1" customWidth="1"/>
    <col min="11" max="11" width="13.140625" style="31" bestFit="1" customWidth="1"/>
    <col min="12" max="27" width="13.28515625" style="1" bestFit="1" customWidth="1"/>
    <col min="28" max="28" width="19" style="1" bestFit="1" customWidth="1"/>
    <col min="29" max="35" width="13.28515625" style="1" bestFit="1" customWidth="1"/>
    <col min="36" max="41" width="13.28515625" style="31" bestFit="1" customWidth="1"/>
    <col min="42" max="45" width="7.28515625" style="31" bestFit="1" customWidth="1"/>
    <col min="46" max="46" width="7.28515625" style="283" bestFit="1" customWidth="1"/>
    <col min="47" max="47" width="7.28515625" style="1" bestFit="1" customWidth="1"/>
    <col min="48" max="48" width="9.140625" style="1"/>
    <col min="49" max="49" width="24.7109375" style="1" bestFit="1" customWidth="1"/>
    <col min="50" max="56" width="9.140625" style="1"/>
    <col min="57" max="57" width="20.28515625" style="61" bestFit="1" customWidth="1"/>
    <col min="58" max="16384" width="9.140625" style="1"/>
  </cols>
  <sheetData>
    <row r="1" spans="1:9">
      <c r="A1" s="341" t="s">
        <v>456</v>
      </c>
      <c r="B1" s="341"/>
      <c r="C1" s="341"/>
      <c r="D1" s="341"/>
      <c r="E1" s="341"/>
    </row>
    <row r="2" spans="1:9">
      <c r="A2" s="342" t="s">
        <v>457</v>
      </c>
      <c r="B2" s="342"/>
      <c r="C2" s="342"/>
      <c r="D2" s="62" t="s">
        <v>314</v>
      </c>
      <c r="E2" s="156">
        <v>83.67495952464084</v>
      </c>
      <c r="H2" s="1"/>
    </row>
    <row r="3" spans="1:9">
      <c r="A3" s="342" t="s">
        <v>458</v>
      </c>
      <c r="B3" s="342"/>
      <c r="C3" s="342"/>
      <c r="D3" s="62" t="s">
        <v>314</v>
      </c>
      <c r="E3" s="156">
        <v>16.32504047535916</v>
      </c>
    </row>
    <row r="4" spans="1:9">
      <c r="A4" s="342" t="s">
        <v>459</v>
      </c>
      <c r="B4" s="342"/>
      <c r="C4" s="342"/>
      <c r="D4" s="62" t="s">
        <v>314</v>
      </c>
      <c r="E4" s="62">
        <v>88.5</v>
      </c>
    </row>
    <row r="5" spans="1:9">
      <c r="A5" s="64"/>
      <c r="B5" s="64"/>
      <c r="C5" s="64" t="s">
        <v>256</v>
      </c>
      <c r="D5" s="62" t="s">
        <v>460</v>
      </c>
      <c r="E5" s="62"/>
      <c r="H5" s="31" t="s">
        <v>457</v>
      </c>
      <c r="I5" s="31" t="s">
        <v>458</v>
      </c>
    </row>
    <row r="6" spans="1:9">
      <c r="A6" s="63" t="s">
        <v>264</v>
      </c>
      <c r="B6" s="65">
        <v>3</v>
      </c>
      <c r="C6" s="63" t="s">
        <v>461</v>
      </c>
      <c r="D6" s="65" t="s">
        <v>314</v>
      </c>
      <c r="E6" s="65"/>
      <c r="H6" s="122">
        <v>0.81699999999999995</v>
      </c>
      <c r="I6" s="122">
        <f>1-H6</f>
        <v>0.18300000000000005</v>
      </c>
    </row>
    <row r="7" spans="1:9">
      <c r="A7" s="63" t="s">
        <v>265</v>
      </c>
      <c r="B7" s="65">
        <v>4</v>
      </c>
      <c r="C7" s="63" t="s">
        <v>462</v>
      </c>
      <c r="D7" s="65" t="s">
        <v>314</v>
      </c>
      <c r="E7" s="65"/>
      <c r="H7" s="122">
        <v>0.8276</v>
      </c>
      <c r="I7" s="122">
        <f t="shared" ref="I7:I24" si="0">1-H7</f>
        <v>0.1724</v>
      </c>
    </row>
    <row r="8" spans="1:9">
      <c r="A8" s="63" t="s">
        <v>266</v>
      </c>
      <c r="B8" s="65">
        <v>4</v>
      </c>
      <c r="C8" s="63" t="s">
        <v>461</v>
      </c>
      <c r="D8" s="65" t="s">
        <v>314</v>
      </c>
      <c r="E8" s="65"/>
      <c r="H8" s="122">
        <v>0.8276</v>
      </c>
      <c r="I8" s="122">
        <f t="shared" si="0"/>
        <v>0.1724</v>
      </c>
    </row>
    <row r="9" spans="1:9">
      <c r="A9" s="63" t="s">
        <v>267</v>
      </c>
      <c r="B9" s="65">
        <v>5</v>
      </c>
      <c r="C9" s="63" t="s">
        <v>462</v>
      </c>
      <c r="D9" s="65" t="s">
        <v>314</v>
      </c>
      <c r="E9" s="65"/>
      <c r="H9" s="122">
        <v>0.83160000000000001</v>
      </c>
      <c r="I9" s="122">
        <f t="shared" si="0"/>
        <v>0.16839999999999999</v>
      </c>
    </row>
    <row r="10" spans="1:9">
      <c r="A10" s="63" t="s">
        <v>268</v>
      </c>
      <c r="B10" s="65">
        <v>5</v>
      </c>
      <c r="C10" s="63" t="s">
        <v>461</v>
      </c>
      <c r="D10" s="65" t="s">
        <v>314</v>
      </c>
      <c r="E10" s="65"/>
      <c r="H10" s="122">
        <v>0.83160000000000001</v>
      </c>
      <c r="I10" s="122">
        <f t="shared" si="0"/>
        <v>0.16839999999999999</v>
      </c>
    </row>
    <row r="11" spans="1:9">
      <c r="A11" s="63" t="s">
        <v>269</v>
      </c>
      <c r="B11" s="65">
        <v>6</v>
      </c>
      <c r="C11" s="63" t="s">
        <v>462</v>
      </c>
      <c r="D11" s="65" t="s">
        <v>314</v>
      </c>
      <c r="E11" s="65"/>
      <c r="H11" s="122">
        <v>0.83589999999999998</v>
      </c>
      <c r="I11" s="122">
        <f t="shared" si="0"/>
        <v>0.16410000000000002</v>
      </c>
    </row>
    <row r="12" spans="1:9">
      <c r="A12" s="63" t="s">
        <v>270</v>
      </c>
      <c r="B12" s="65">
        <v>6</v>
      </c>
      <c r="C12" s="63" t="s">
        <v>462</v>
      </c>
      <c r="D12" s="65" t="s">
        <v>314</v>
      </c>
      <c r="E12" s="65"/>
      <c r="H12" s="122">
        <v>0.83589999999999998</v>
      </c>
      <c r="I12" s="122">
        <f t="shared" si="0"/>
        <v>0.16410000000000002</v>
      </c>
    </row>
    <row r="13" spans="1:9">
      <c r="A13" s="63" t="s">
        <v>169</v>
      </c>
      <c r="B13" s="65">
        <v>6</v>
      </c>
      <c r="C13" s="63" t="s">
        <v>462</v>
      </c>
      <c r="D13" s="65" t="s">
        <v>314</v>
      </c>
      <c r="E13" s="132">
        <f>AVERAGEIF('Raw Data'!C:C,5,'Raw Data'!BJ:BJ)</f>
        <v>0.42656852055833344</v>
      </c>
      <c r="H13" s="122">
        <v>0.83589999999999998</v>
      </c>
      <c r="I13" s="122">
        <f t="shared" si="0"/>
        <v>0.16410000000000002</v>
      </c>
    </row>
    <row r="14" spans="1:9">
      <c r="A14" s="63" t="s">
        <v>171</v>
      </c>
      <c r="B14" s="65">
        <v>6</v>
      </c>
      <c r="C14" s="63" t="s">
        <v>462</v>
      </c>
      <c r="D14" s="65" t="s">
        <v>314</v>
      </c>
      <c r="E14" s="65"/>
      <c r="H14" s="122">
        <v>0.83589999999999998</v>
      </c>
      <c r="I14" s="122">
        <f t="shared" si="0"/>
        <v>0.16410000000000002</v>
      </c>
    </row>
    <row r="15" spans="1:9">
      <c r="A15" s="63" t="s">
        <v>174</v>
      </c>
      <c r="B15" s="65">
        <v>6</v>
      </c>
      <c r="C15" s="63" t="s">
        <v>461</v>
      </c>
      <c r="D15" s="65" t="s">
        <v>314</v>
      </c>
      <c r="E15" s="132">
        <f>AVERAGEIF('Raw Data'!C:C,5,'Raw Data'!AU:AU)</f>
        <v>84.322809007444448</v>
      </c>
      <c r="H15" s="122">
        <v>0.83589999999999998</v>
      </c>
      <c r="I15" s="122">
        <f t="shared" si="0"/>
        <v>0.16410000000000002</v>
      </c>
    </row>
    <row r="16" spans="1:9">
      <c r="A16" s="63" t="s">
        <v>272</v>
      </c>
      <c r="B16" s="65">
        <v>6</v>
      </c>
      <c r="C16" s="63" t="s">
        <v>463</v>
      </c>
      <c r="D16" s="65" t="s">
        <v>314</v>
      </c>
      <c r="E16" s="132">
        <f>AVERAGEIF('Raw Data'!C:C,5,'Raw Data'!CN:CN)</f>
        <v>0.56272851096111109</v>
      </c>
      <c r="H16" s="122">
        <v>0.85629999999999995</v>
      </c>
      <c r="I16" s="122">
        <f t="shared" si="0"/>
        <v>0.14370000000000005</v>
      </c>
    </row>
    <row r="17" spans="1:10">
      <c r="A17" s="63" t="s">
        <v>273</v>
      </c>
      <c r="B17" s="65">
        <v>7</v>
      </c>
      <c r="C17" s="63" t="s">
        <v>462</v>
      </c>
      <c r="D17" s="65" t="s">
        <v>314</v>
      </c>
      <c r="H17" s="122">
        <v>0.84050000000000002</v>
      </c>
      <c r="I17" s="122">
        <f t="shared" si="0"/>
        <v>0.15949999999999998</v>
      </c>
    </row>
    <row r="18" spans="1:10">
      <c r="A18" s="63" t="s">
        <v>274</v>
      </c>
      <c r="B18" s="65">
        <v>7</v>
      </c>
      <c r="C18" s="63" t="s">
        <v>462</v>
      </c>
      <c r="D18" s="65" t="s">
        <v>314</v>
      </c>
      <c r="E18" s="65"/>
      <c r="H18" s="122">
        <v>0.84050000000000002</v>
      </c>
      <c r="I18" s="122">
        <f t="shared" si="0"/>
        <v>0.15949999999999998</v>
      </c>
    </row>
    <row r="19" spans="1:10">
      <c r="A19" s="63" t="s">
        <v>177</v>
      </c>
      <c r="B19" s="65">
        <v>7</v>
      </c>
      <c r="C19" s="63" t="s">
        <v>462</v>
      </c>
      <c r="D19" s="65" t="s">
        <v>314</v>
      </c>
      <c r="E19" s="132">
        <f>AVERAGEIF('Raw Data'!C:C,5,'Raw Data'!AV:AV)</f>
        <v>9.7863740921027755</v>
      </c>
      <c r="H19" s="122">
        <v>0.84050000000000002</v>
      </c>
      <c r="I19" s="122">
        <f t="shared" si="0"/>
        <v>0.15949999999999998</v>
      </c>
    </row>
    <row r="20" spans="1:10">
      <c r="A20" s="63" t="s">
        <v>175</v>
      </c>
      <c r="B20" s="65">
        <v>8</v>
      </c>
      <c r="C20" s="63" t="s">
        <v>461</v>
      </c>
      <c r="D20" s="65" t="s">
        <v>314</v>
      </c>
      <c r="E20" s="132">
        <f>AVERAGEIF('Raw Data'!C:C,5,'Raw Data'!AW:AW)</f>
        <v>4.700572364858334</v>
      </c>
      <c r="H20" s="122">
        <v>0.84209999999999996</v>
      </c>
      <c r="I20" s="122">
        <f t="shared" si="0"/>
        <v>0.15790000000000004</v>
      </c>
    </row>
    <row r="21" spans="1:10">
      <c r="A21" s="63" t="s">
        <v>464</v>
      </c>
      <c r="B21" s="65"/>
      <c r="C21" s="63"/>
      <c r="D21" s="65" t="s">
        <v>314</v>
      </c>
      <c r="E21" s="345">
        <v>0.2</v>
      </c>
      <c r="H21" s="31">
        <v>0.79879999999999995</v>
      </c>
      <c r="I21" s="122">
        <f t="shared" si="0"/>
        <v>0.20120000000000005</v>
      </c>
      <c r="J21" s="31" t="s">
        <v>513</v>
      </c>
    </row>
    <row r="22" spans="1:10">
      <c r="A22" s="63" t="s">
        <v>465</v>
      </c>
      <c r="B22" s="65"/>
      <c r="C22" s="63"/>
      <c r="D22" s="65" t="s">
        <v>314</v>
      </c>
      <c r="E22" s="324"/>
      <c r="H22" s="122">
        <v>0.84050000000000002</v>
      </c>
      <c r="I22" s="122">
        <f t="shared" si="0"/>
        <v>0.15949999999999998</v>
      </c>
      <c r="J22" s="31" t="s">
        <v>513</v>
      </c>
    </row>
    <row r="23" spans="1:10">
      <c r="A23" s="63" t="s">
        <v>466</v>
      </c>
      <c r="B23" s="65"/>
      <c r="C23" s="63"/>
      <c r="D23" s="65" t="s">
        <v>314</v>
      </c>
      <c r="E23" s="324"/>
      <c r="H23" s="122">
        <v>0.84209999999999996</v>
      </c>
      <c r="I23" s="122">
        <f t="shared" si="0"/>
        <v>0.15790000000000004</v>
      </c>
      <c r="J23" s="31" t="s">
        <v>513</v>
      </c>
    </row>
    <row r="24" spans="1:10">
      <c r="A24" s="63" t="s">
        <v>467</v>
      </c>
      <c r="B24" s="65"/>
      <c r="C24" s="63"/>
      <c r="D24" s="65" t="s">
        <v>314</v>
      </c>
      <c r="E24" s="346"/>
      <c r="H24" s="31">
        <v>0.84260000000000002</v>
      </c>
      <c r="I24" s="122">
        <f t="shared" si="0"/>
        <v>0.15739999999999998</v>
      </c>
      <c r="J24" s="31" t="s">
        <v>513</v>
      </c>
    </row>
    <row r="25" spans="1:10">
      <c r="A25" s="63" t="s">
        <v>468</v>
      </c>
      <c r="B25" s="65"/>
      <c r="C25" s="63"/>
      <c r="D25" s="65" t="s">
        <v>314</v>
      </c>
      <c r="E25" s="72">
        <f>SUM(E6:E24)</f>
        <v>99.999052495925</v>
      </c>
    </row>
    <row r="26" spans="1:10">
      <c r="A26" s="63"/>
      <c r="B26" s="65"/>
      <c r="C26" s="63"/>
      <c r="D26" s="65"/>
      <c r="E26" s="65"/>
    </row>
    <row r="27" spans="1:10">
      <c r="A27" s="63"/>
      <c r="B27" s="65"/>
      <c r="C27" s="63"/>
      <c r="D27" s="65"/>
      <c r="E27" s="65"/>
    </row>
    <row r="28" spans="1:10">
      <c r="A28" s="63"/>
      <c r="B28" s="69"/>
      <c r="C28" s="63" t="s">
        <v>120</v>
      </c>
      <c r="D28" s="65" t="s">
        <v>121</v>
      </c>
      <c r="E28" s="70">
        <f>1.2426*0.965</f>
        <v>1.199109</v>
      </c>
      <c r="F28" s="71"/>
      <c r="G28" s="1"/>
      <c r="H28" s="1"/>
    </row>
    <row r="29" spans="1:10">
      <c r="A29" s="63"/>
      <c r="B29" s="69"/>
      <c r="C29" s="63" t="s">
        <v>120</v>
      </c>
      <c r="D29" s="65" t="s">
        <v>99</v>
      </c>
      <c r="E29" s="132">
        <f>E28/0.654</f>
        <v>1.8334999999999999</v>
      </c>
      <c r="F29" s="71" t="s">
        <v>469</v>
      </c>
      <c r="G29" s="1"/>
      <c r="H29" s="1"/>
    </row>
    <row r="30" spans="1:10">
      <c r="A30" s="63"/>
      <c r="B30" s="69"/>
      <c r="C30" s="63" t="s">
        <v>220</v>
      </c>
      <c r="D30" s="65" t="s">
        <v>137</v>
      </c>
      <c r="E30" s="72">
        <f>E53</f>
        <v>2.605</v>
      </c>
      <c r="F30" s="71"/>
      <c r="G30" s="1"/>
      <c r="H30" s="1"/>
    </row>
    <row r="31" spans="1:10">
      <c r="A31" s="63"/>
      <c r="B31" s="69"/>
      <c r="C31" s="63" t="s">
        <v>470</v>
      </c>
      <c r="D31" s="65" t="s">
        <v>471</v>
      </c>
      <c r="E31" s="72">
        <f>AVERAGE(AJ54:AN54)</f>
        <v>21.7132152</v>
      </c>
      <c r="F31" s="71" t="s">
        <v>472</v>
      </c>
      <c r="G31" s="1"/>
      <c r="H31" s="1"/>
    </row>
    <row r="32" spans="1:10">
      <c r="A32" s="63"/>
      <c r="B32" s="69"/>
      <c r="C32" s="63" t="s">
        <v>473</v>
      </c>
      <c r="D32" s="65" t="s">
        <v>471</v>
      </c>
      <c r="E32" s="72">
        <f>AVERAGE(AJ55:AN55)</f>
        <v>59.498503800000002</v>
      </c>
      <c r="F32" s="71" t="s">
        <v>472</v>
      </c>
      <c r="G32" s="1"/>
      <c r="H32" s="1"/>
    </row>
    <row r="33" spans="1:57">
      <c r="A33" s="63"/>
      <c r="B33" s="69"/>
      <c r="C33" s="63" t="s">
        <v>474</v>
      </c>
      <c r="D33" s="65" t="s">
        <v>471</v>
      </c>
      <c r="E33" s="72">
        <f>AVERAGE(AJ56:AN56)</f>
        <v>18.788281000000001</v>
      </c>
      <c r="F33" s="71" t="s">
        <v>472</v>
      </c>
      <c r="G33" s="1"/>
      <c r="H33" s="1"/>
    </row>
    <row r="34" spans="1:57">
      <c r="A34" s="63"/>
      <c r="B34" s="69"/>
      <c r="C34" s="63" t="s">
        <v>475</v>
      </c>
      <c r="D34" s="65" t="s">
        <v>471</v>
      </c>
      <c r="E34" s="72">
        <f>SUM(E31:E33)</f>
        <v>100</v>
      </c>
      <c r="F34" s="71" t="s">
        <v>472</v>
      </c>
      <c r="G34" s="1"/>
      <c r="H34" s="1"/>
    </row>
    <row r="35" spans="1:57">
      <c r="A35" s="63"/>
      <c r="B35" s="69"/>
      <c r="C35" s="63" t="s">
        <v>476</v>
      </c>
      <c r="D35" s="133" t="s">
        <v>112</v>
      </c>
      <c r="E35" s="131">
        <f>AVERAGE(AJ58:AN58)</f>
        <v>88.557960510200004</v>
      </c>
      <c r="F35" s="71" t="s">
        <v>472</v>
      </c>
      <c r="G35" s="1"/>
      <c r="H35" s="1"/>
    </row>
    <row r="36" spans="1:57">
      <c r="A36" s="63"/>
      <c r="B36" s="69"/>
      <c r="C36" s="63" t="s">
        <v>477</v>
      </c>
      <c r="D36" s="65" t="s">
        <v>314</v>
      </c>
      <c r="E36" s="132">
        <f t="shared" ref="E36:E39" si="1">AVERAGE(AJ59:AN59)</f>
        <v>83.675479301084806</v>
      </c>
      <c r="F36" s="71" t="s">
        <v>472</v>
      </c>
      <c r="G36" s="1"/>
      <c r="H36" s="1"/>
    </row>
    <row r="37" spans="1:57">
      <c r="A37" s="63"/>
      <c r="B37" s="69"/>
      <c r="C37" s="63" t="s">
        <v>478</v>
      </c>
      <c r="D37" s="65" t="s">
        <v>314</v>
      </c>
      <c r="E37" s="132">
        <f t="shared" si="1"/>
        <v>16.324520698915194</v>
      </c>
      <c r="F37" s="71" t="s">
        <v>472</v>
      </c>
      <c r="G37" s="1"/>
      <c r="H37" s="1"/>
    </row>
    <row r="38" spans="1:57">
      <c r="A38" s="63"/>
      <c r="B38" s="69"/>
      <c r="C38" s="63" t="s">
        <v>479</v>
      </c>
      <c r="D38" s="65" t="s">
        <v>12</v>
      </c>
      <c r="E38" s="132">
        <f t="shared" si="1"/>
        <v>7.9097364770021605E-2</v>
      </c>
      <c r="F38" s="71" t="s">
        <v>472</v>
      </c>
      <c r="G38" s="1"/>
      <c r="H38" s="1"/>
    </row>
    <row r="39" spans="1:57">
      <c r="A39" s="63"/>
      <c r="B39" s="69"/>
      <c r="C39" s="63" t="s">
        <v>480</v>
      </c>
      <c r="D39" s="65" t="s">
        <v>12</v>
      </c>
      <c r="E39" s="132">
        <f t="shared" si="1"/>
        <v>3.0305490230448302</v>
      </c>
      <c r="F39" s="71" t="s">
        <v>472</v>
      </c>
      <c r="G39" s="1"/>
      <c r="H39" s="1"/>
    </row>
    <row r="40" spans="1:57">
      <c r="A40" s="63"/>
      <c r="B40" s="69"/>
      <c r="C40" s="63" t="s">
        <v>481</v>
      </c>
      <c r="D40" s="65" t="s">
        <v>482</v>
      </c>
      <c r="E40" s="131">
        <f>E39/E38</f>
        <v>38.314159161386208</v>
      </c>
      <c r="F40" s="71" t="s">
        <v>472</v>
      </c>
      <c r="G40" s="1"/>
      <c r="H40" s="1"/>
    </row>
    <row r="41" spans="1:57">
      <c r="A41" s="63"/>
      <c r="B41" s="69"/>
      <c r="C41" s="63" t="s">
        <v>481</v>
      </c>
      <c r="D41" s="65" t="s">
        <v>483</v>
      </c>
      <c r="E41" s="132">
        <f>_xlfn.STDEV.S(AJ65:AN65)</f>
        <v>0.84914050793142981</v>
      </c>
      <c r="F41" s="69" t="s">
        <v>472</v>
      </c>
      <c r="G41" s="1"/>
      <c r="H41" s="1"/>
    </row>
    <row r="42" spans="1:57">
      <c r="B42" s="1"/>
      <c r="C42" s="61"/>
      <c r="E42" s="58"/>
      <c r="F42" s="1"/>
      <c r="G42" s="1"/>
      <c r="H42" s="1"/>
    </row>
    <row r="43" spans="1:57">
      <c r="B43" s="1"/>
      <c r="C43" s="61"/>
      <c r="E43" s="58"/>
      <c r="F43" s="1"/>
      <c r="G43" s="1"/>
      <c r="H43" s="1"/>
    </row>
    <row r="44" spans="1:57">
      <c r="B44" s="1"/>
      <c r="C44" s="61"/>
      <c r="E44" s="58"/>
      <c r="F44" s="1"/>
      <c r="G44" s="1"/>
      <c r="H44" s="1"/>
      <c r="AJ44" s="67"/>
      <c r="AK44" s="67" t="s">
        <v>472</v>
      </c>
      <c r="AL44" s="67"/>
      <c r="AM44" s="67"/>
      <c r="AN44" s="67"/>
    </row>
    <row r="45" spans="1:57" s="78" customFormat="1">
      <c r="A45" s="80"/>
      <c r="B45" s="79"/>
      <c r="C45" s="80" t="s">
        <v>240</v>
      </c>
      <c r="D45" s="82" t="s">
        <v>112</v>
      </c>
      <c r="E45" s="79" cm="1">
        <f t="array" ref="E45:AN45">TRANSPOSE(_xlfn._xlws.FILTER('Raw Data'!A3:A300,('Raw Data'!C3:C300=2)*('Raw Data'!A3:A300&lt;&gt;"")))</f>
        <v>46120</v>
      </c>
      <c r="F45" s="79">
        <v>46120</v>
      </c>
      <c r="G45" s="79">
        <v>46121</v>
      </c>
      <c r="H45" s="79">
        <v>46122</v>
      </c>
      <c r="I45" s="79">
        <v>46123</v>
      </c>
      <c r="J45" s="79">
        <v>46123</v>
      </c>
      <c r="K45" s="79">
        <v>46123</v>
      </c>
      <c r="L45" s="78">
        <v>46124</v>
      </c>
      <c r="M45" s="78">
        <v>46124</v>
      </c>
      <c r="N45" s="78">
        <v>46125</v>
      </c>
      <c r="O45" s="78">
        <v>46125</v>
      </c>
      <c r="P45" s="78">
        <v>46125</v>
      </c>
      <c r="Q45" s="78">
        <v>46126</v>
      </c>
      <c r="R45" s="78">
        <v>46126</v>
      </c>
      <c r="S45" s="78">
        <v>46126</v>
      </c>
      <c r="T45" s="78">
        <v>46127</v>
      </c>
      <c r="U45" s="78">
        <v>46127</v>
      </c>
      <c r="V45" s="78">
        <v>46127</v>
      </c>
      <c r="W45" s="78">
        <v>46128</v>
      </c>
      <c r="X45" s="78">
        <v>46128</v>
      </c>
      <c r="Y45" s="78">
        <v>46128</v>
      </c>
      <c r="Z45" s="78">
        <v>46129</v>
      </c>
      <c r="AA45" s="78">
        <v>46129</v>
      </c>
      <c r="AB45" s="78">
        <v>46129</v>
      </c>
      <c r="AC45" s="78">
        <v>46130</v>
      </c>
      <c r="AD45" s="78">
        <v>46130</v>
      </c>
      <c r="AE45" s="78">
        <v>46130</v>
      </c>
      <c r="AF45" s="78">
        <v>46131</v>
      </c>
      <c r="AG45" s="78">
        <v>46131</v>
      </c>
      <c r="AH45" s="78">
        <v>46132</v>
      </c>
      <c r="AI45" s="78">
        <v>46132</v>
      </c>
      <c r="AJ45" s="124">
        <v>46133</v>
      </c>
      <c r="AK45" s="124">
        <v>46133</v>
      </c>
      <c r="AL45" s="124">
        <v>46133</v>
      </c>
      <c r="AM45" s="124">
        <v>46134</v>
      </c>
      <c r="AN45" s="124">
        <v>46134</v>
      </c>
      <c r="AO45" s="79"/>
      <c r="AP45" s="77">
        <v>1</v>
      </c>
      <c r="AQ45" s="77">
        <v>2</v>
      </c>
      <c r="AR45" s="77">
        <v>3</v>
      </c>
      <c r="AS45" s="77">
        <v>4</v>
      </c>
      <c r="AT45" s="298">
        <v>5</v>
      </c>
      <c r="AU45" s="77">
        <v>6</v>
      </c>
      <c r="BE45" s="80"/>
    </row>
    <row r="46" spans="1:57" s="78" customFormat="1">
      <c r="A46" s="80"/>
      <c r="B46" s="79"/>
      <c r="C46" s="80" t="s">
        <v>484</v>
      </c>
      <c r="D46" s="82" t="s">
        <v>112</v>
      </c>
      <c r="E46" s="79" t="str" cm="1">
        <f t="array" ref="E46:AN46">TRANSPOSE(_xlfn._xlws.FILTER('Raw Data'!D3:D301,('Raw Data'!C3:C301=2)*('Raw Data'!D3:D301&lt;&gt;"")))</f>
        <v>15:19:22</v>
      </c>
      <c r="F46" s="79" t="str">
        <v>23:36:02</v>
      </c>
      <c r="G46" s="79" t="str">
        <v>07:52:45</v>
      </c>
      <c r="H46" s="79" t="str">
        <v>16:59:39</v>
      </c>
      <c r="I46" s="79" t="str">
        <v>01:16:23</v>
      </c>
      <c r="J46" s="79" t="str">
        <v>09:33:04</v>
      </c>
      <c r="K46" s="79" t="str">
        <v>17:49:50</v>
      </c>
      <c r="L46" s="78" t="str">
        <v>10:23:15</v>
      </c>
      <c r="M46" s="78" t="str">
        <v>18:39:58</v>
      </c>
      <c r="N46" s="78" t="str">
        <v>02:56:40</v>
      </c>
      <c r="O46" s="78" t="str">
        <v>11:13:22</v>
      </c>
      <c r="P46" s="78" t="str">
        <v>19:30:05</v>
      </c>
      <c r="Q46" s="78" t="str">
        <v>03:46:48</v>
      </c>
      <c r="R46" s="78" t="str">
        <v>12:03:30</v>
      </c>
      <c r="S46" s="78" t="str">
        <v>20:20:13</v>
      </c>
      <c r="T46" s="78" t="str">
        <v>04:36:57</v>
      </c>
      <c r="U46" s="78" t="str">
        <v>12:53:41</v>
      </c>
      <c r="V46" s="78" t="str">
        <v>21:10:24</v>
      </c>
      <c r="W46" s="78" t="str">
        <v>05:27:07</v>
      </c>
      <c r="X46" s="78" t="str">
        <v>13:43:52</v>
      </c>
      <c r="Y46" s="78" t="str">
        <v>22:00:36</v>
      </c>
      <c r="Z46" s="78" t="str">
        <v>06:17:19</v>
      </c>
      <c r="AA46" s="78" t="str">
        <v>14:34:03</v>
      </c>
      <c r="AB46" s="78" t="str">
        <v>22:50:45</v>
      </c>
      <c r="AC46" s="78" t="str">
        <v>07:07:28</v>
      </c>
      <c r="AD46" s="78" t="str">
        <v>15:24:13</v>
      </c>
      <c r="AE46" s="78" t="str">
        <v>23:40:56</v>
      </c>
      <c r="AF46" s="78" t="str">
        <v>07:57:38</v>
      </c>
      <c r="AG46" s="78" t="str">
        <v>16:14:22</v>
      </c>
      <c r="AH46" s="78" t="str">
        <v>00:31:04</v>
      </c>
      <c r="AI46" s="78" t="str">
        <v>08:47:47</v>
      </c>
      <c r="AJ46" s="124" t="str">
        <v>01:21:10</v>
      </c>
      <c r="AK46" s="124" t="str">
        <v>09:37:54</v>
      </c>
      <c r="AL46" s="124" t="str">
        <v>17:54:36</v>
      </c>
      <c r="AM46" s="124" t="str">
        <v>02:11:18</v>
      </c>
      <c r="AN46" s="124" t="str">
        <v>10:28:02</v>
      </c>
      <c r="AO46" s="79"/>
      <c r="AP46" s="79"/>
      <c r="AQ46" s="79"/>
      <c r="AR46" s="79"/>
      <c r="AS46" s="79"/>
      <c r="AT46" s="299"/>
      <c r="BE46" s="80"/>
    </row>
    <row r="47" spans="1:57" s="78" customFormat="1">
      <c r="A47" s="80"/>
      <c r="B47" s="79"/>
      <c r="C47" s="80" t="s">
        <v>128</v>
      </c>
      <c r="D47" s="79" t="s">
        <v>129</v>
      </c>
      <c r="E47" s="79"/>
      <c r="F47" s="57">
        <f>((F45+F46)-(E45+E46))*24</f>
        <v>8.2777777778101154</v>
      </c>
      <c r="G47" s="57">
        <f t="shared" ref="G47:AN47" si="2">((G45+G46)-(F45+F46))*24</f>
        <v>8.2786111109890044</v>
      </c>
      <c r="H47" s="57">
        <f t="shared" si="2"/>
        <v>33.114999999990687</v>
      </c>
      <c r="I47" s="57">
        <f t="shared" si="2"/>
        <v>8.278888889006339</v>
      </c>
      <c r="J47" s="57">
        <f t="shared" si="2"/>
        <v>8.278055555478204</v>
      </c>
      <c r="K47" s="57">
        <f t="shared" si="2"/>
        <v>8.2794444445171393</v>
      </c>
      <c r="L47" s="57">
        <f t="shared" si="2"/>
        <v>16.556944444484543</v>
      </c>
      <c r="M47" s="57">
        <f t="shared" si="2"/>
        <v>8.2786111109890044</v>
      </c>
      <c r="N47" s="57">
        <f t="shared" si="2"/>
        <v>8.2783333333209157</v>
      </c>
      <c r="O47" s="57">
        <f t="shared" si="2"/>
        <v>8.2783333333209157</v>
      </c>
      <c r="P47" s="57">
        <f t="shared" si="2"/>
        <v>8.2786111111636274</v>
      </c>
      <c r="Q47" s="57">
        <f t="shared" si="2"/>
        <v>8.2786111111636274</v>
      </c>
      <c r="R47" s="57">
        <f t="shared" si="2"/>
        <v>8.2783333333209157</v>
      </c>
      <c r="S47" s="57">
        <f t="shared" si="2"/>
        <v>8.2786111111636274</v>
      </c>
      <c r="T47" s="57">
        <f t="shared" si="2"/>
        <v>8.278888888831716</v>
      </c>
      <c r="U47" s="57">
        <f t="shared" si="2"/>
        <v>8.278888888831716</v>
      </c>
      <c r="V47" s="57">
        <f t="shared" si="2"/>
        <v>8.2786111111636274</v>
      </c>
      <c r="W47" s="57">
        <f t="shared" si="2"/>
        <v>8.2786111111636274</v>
      </c>
      <c r="X47" s="57">
        <f t="shared" si="2"/>
        <v>8.2791666666744277</v>
      </c>
      <c r="Y47" s="57">
        <f t="shared" si="2"/>
        <v>8.278888888831716</v>
      </c>
      <c r="Z47" s="57">
        <f t="shared" si="2"/>
        <v>8.2786111111636274</v>
      </c>
      <c r="AA47" s="57">
        <f t="shared" si="2"/>
        <v>8.278888888831716</v>
      </c>
      <c r="AB47" s="57">
        <f t="shared" si="2"/>
        <v>8.2783333333209157</v>
      </c>
      <c r="AC47" s="57">
        <f t="shared" si="2"/>
        <v>8.2786111111636274</v>
      </c>
      <c r="AD47" s="57">
        <f t="shared" si="2"/>
        <v>8.2791666666744277</v>
      </c>
      <c r="AE47" s="57">
        <f t="shared" si="2"/>
        <v>8.2786111109890044</v>
      </c>
      <c r="AF47" s="57">
        <f t="shared" si="2"/>
        <v>8.2783333333209157</v>
      </c>
      <c r="AG47" s="57">
        <f t="shared" si="2"/>
        <v>8.278888889006339</v>
      </c>
      <c r="AH47" s="57">
        <f t="shared" si="2"/>
        <v>8.2783333333209157</v>
      </c>
      <c r="AI47" s="57">
        <f t="shared" si="2"/>
        <v>8.2786111111636274</v>
      </c>
      <c r="AJ47" s="125">
        <f t="shared" si="2"/>
        <v>16.55638888879912</v>
      </c>
      <c r="AK47" s="125">
        <f t="shared" si="2"/>
        <v>8.278888888831716</v>
      </c>
      <c r="AL47" s="125">
        <f t="shared" si="2"/>
        <v>8.2783333333209157</v>
      </c>
      <c r="AM47" s="125">
        <f t="shared" si="2"/>
        <v>8.2783333334955387</v>
      </c>
      <c r="AN47" s="125">
        <f t="shared" si="2"/>
        <v>8.278888888831716</v>
      </c>
      <c r="AO47" s="57"/>
      <c r="AP47" s="57"/>
      <c r="AQ47" s="57"/>
      <c r="AR47" s="57"/>
      <c r="AS47" s="57"/>
      <c r="AT47" s="299"/>
      <c r="BE47" s="80"/>
    </row>
    <row r="48" spans="1:57" s="73" customFormat="1">
      <c r="C48" s="76" t="s">
        <v>485</v>
      </c>
      <c r="D48" s="73" t="s">
        <v>486</v>
      </c>
      <c r="E48" s="73">
        <v>2</v>
      </c>
      <c r="F48" s="77">
        <f>F47+E48</f>
        <v>10.277777777810115</v>
      </c>
      <c r="G48" s="77">
        <f t="shared" ref="G48:AN48" si="3">G47+F48</f>
        <v>18.55638888879912</v>
      </c>
      <c r="H48" s="77">
        <f t="shared" si="3"/>
        <v>51.671388888789807</v>
      </c>
      <c r="I48" s="77">
        <f t="shared" si="3"/>
        <v>59.950277777796146</v>
      </c>
      <c r="J48" s="77">
        <f t="shared" si="3"/>
        <v>68.22833333327435</v>
      </c>
      <c r="K48" s="77">
        <f t="shared" si="3"/>
        <v>76.507777777791489</v>
      </c>
      <c r="L48" s="77">
        <f t="shared" si="3"/>
        <v>93.064722222276032</v>
      </c>
      <c r="M48" s="77">
        <f t="shared" si="3"/>
        <v>101.34333333326504</v>
      </c>
      <c r="N48" s="77">
        <f t="shared" si="3"/>
        <v>109.62166666658595</v>
      </c>
      <c r="O48" s="77">
        <f t="shared" si="3"/>
        <v>117.89999999990687</v>
      </c>
      <c r="P48" s="77">
        <f t="shared" si="3"/>
        <v>126.1786111110705</v>
      </c>
      <c r="Q48" s="77">
        <f t="shared" si="3"/>
        <v>134.45722222223412</v>
      </c>
      <c r="R48" s="77">
        <f t="shared" si="3"/>
        <v>142.73555555555504</v>
      </c>
      <c r="S48" s="77">
        <f t="shared" si="3"/>
        <v>151.01416666671867</v>
      </c>
      <c r="T48" s="77">
        <f t="shared" si="3"/>
        <v>159.29305555555038</v>
      </c>
      <c r="U48" s="77">
        <f t="shared" si="3"/>
        <v>167.5719444443821</v>
      </c>
      <c r="V48" s="77">
        <f t="shared" si="3"/>
        <v>175.85055555554572</v>
      </c>
      <c r="W48" s="77">
        <f t="shared" si="3"/>
        <v>184.12916666670935</v>
      </c>
      <c r="X48" s="77">
        <f t="shared" si="3"/>
        <v>192.40833333338378</v>
      </c>
      <c r="Y48" s="77">
        <f t="shared" si="3"/>
        <v>200.6872222222155</v>
      </c>
      <c r="Z48" s="77">
        <f t="shared" si="3"/>
        <v>208.96583333337912</v>
      </c>
      <c r="AA48" s="77">
        <f t="shared" si="3"/>
        <v>217.24472222221084</v>
      </c>
      <c r="AB48" s="77">
        <f t="shared" si="3"/>
        <v>225.52305555553176</v>
      </c>
      <c r="AC48" s="77">
        <f t="shared" si="3"/>
        <v>233.80166666669538</v>
      </c>
      <c r="AD48" s="77">
        <f t="shared" si="3"/>
        <v>242.08083333336981</v>
      </c>
      <c r="AE48" s="77">
        <f t="shared" si="3"/>
        <v>250.35944444435881</v>
      </c>
      <c r="AF48" s="77">
        <f t="shared" si="3"/>
        <v>258.63777777767973</v>
      </c>
      <c r="AG48" s="77">
        <f t="shared" si="3"/>
        <v>266.91666666668607</v>
      </c>
      <c r="AH48" s="77">
        <f t="shared" si="3"/>
        <v>275.19500000000698</v>
      </c>
      <c r="AI48" s="77">
        <f t="shared" si="3"/>
        <v>283.47361111117061</v>
      </c>
      <c r="AJ48" s="126">
        <f t="shared" si="3"/>
        <v>300.02999999996973</v>
      </c>
      <c r="AK48" s="126">
        <f t="shared" si="3"/>
        <v>308.30888888880145</v>
      </c>
      <c r="AL48" s="126">
        <f t="shared" si="3"/>
        <v>316.58722222212236</v>
      </c>
      <c r="AM48" s="126">
        <f t="shared" si="3"/>
        <v>324.8655555556179</v>
      </c>
      <c r="AN48" s="126">
        <f t="shared" si="3"/>
        <v>333.14444444444962</v>
      </c>
      <c r="AO48" s="77"/>
      <c r="AP48" s="77"/>
      <c r="AQ48" s="77"/>
      <c r="AR48" s="77"/>
      <c r="AS48" s="77"/>
      <c r="AT48" s="274"/>
      <c r="BE48" s="76"/>
    </row>
    <row r="49" spans="1:59" s="86" customFormat="1">
      <c r="A49" s="83"/>
      <c r="B49" s="84"/>
      <c r="C49" s="83" t="s">
        <v>27</v>
      </c>
      <c r="D49" s="84" t="s">
        <v>123</v>
      </c>
      <c r="E49" s="85" cm="1">
        <f t="array" ref="E49:AN49">TRANSPOSE(_xlfn._xlws.FILTER('Raw Data'!G3:G304,('Raw Data'!C3:C304=2)*('Raw Data'!G3:G304&lt;&gt;"")))</f>
        <v>24.014800000000001</v>
      </c>
      <c r="F49" s="85">
        <v>23.995999999999999</v>
      </c>
      <c r="G49" s="85">
        <v>24.010400000000001</v>
      </c>
      <c r="H49" s="85">
        <v>23.9742</v>
      </c>
      <c r="I49" s="85">
        <v>24.0046</v>
      </c>
      <c r="J49" s="85">
        <v>23.9771</v>
      </c>
      <c r="K49" s="85">
        <v>24.013300000000001</v>
      </c>
      <c r="L49" s="85">
        <v>23.995999999999999</v>
      </c>
      <c r="M49" s="85">
        <v>24.026299999999999</v>
      </c>
      <c r="N49" s="85">
        <v>24.0046</v>
      </c>
      <c r="O49" s="85">
        <v>24.016200000000001</v>
      </c>
      <c r="P49" s="85">
        <v>24.014800000000001</v>
      </c>
      <c r="Q49" s="85">
        <v>24.0017</v>
      </c>
      <c r="R49" s="85">
        <v>23.968499999999999</v>
      </c>
      <c r="S49" s="85">
        <v>24.000299999999999</v>
      </c>
      <c r="T49" s="85">
        <v>23.98</v>
      </c>
      <c r="U49" s="85">
        <v>23.990200000000002</v>
      </c>
      <c r="V49" s="85">
        <v>23.990200000000002</v>
      </c>
      <c r="W49" s="85">
        <v>24.020499999999998</v>
      </c>
      <c r="X49" s="85">
        <v>23.994499999999999</v>
      </c>
      <c r="Y49" s="85">
        <v>24.019100000000002</v>
      </c>
      <c r="Z49" s="85">
        <v>24.009</v>
      </c>
      <c r="AA49" s="85">
        <v>23.968499999999999</v>
      </c>
      <c r="AB49" s="85">
        <v>15.007199999999999</v>
      </c>
      <c r="AC49" s="85">
        <v>14.992800000000001</v>
      </c>
      <c r="AD49" s="85">
        <v>15.004300000000001</v>
      </c>
      <c r="AE49" s="85">
        <v>15.005800000000001</v>
      </c>
      <c r="AF49" s="85">
        <v>15.0101</v>
      </c>
      <c r="AG49" s="85">
        <v>15.013</v>
      </c>
      <c r="AH49" s="85">
        <v>15.018800000000001</v>
      </c>
      <c r="AI49" s="85">
        <v>15.013</v>
      </c>
      <c r="AJ49" s="127">
        <v>24.0017</v>
      </c>
      <c r="AK49" s="127">
        <v>23.984400000000001</v>
      </c>
      <c r="AL49" s="127">
        <v>24.0046</v>
      </c>
      <c r="AM49" s="127">
        <v>15.007199999999999</v>
      </c>
      <c r="AN49" s="127">
        <v>14.9986</v>
      </c>
      <c r="AO49" s="85"/>
      <c r="AP49" s="57">
        <f t="shared" ref="AP49" si="4">AVERAGE(E49:I49)</f>
        <v>24</v>
      </c>
      <c r="AQ49" s="57">
        <f>AVERAGE(J49:O49)</f>
        <v>24.005583333333334</v>
      </c>
      <c r="AR49" s="57">
        <f>AVERAGE(P49:T49)</f>
        <v>23.99306</v>
      </c>
      <c r="AS49" s="57">
        <f>AVERAGE(U49:X49)</f>
        <v>23.998850000000001</v>
      </c>
      <c r="AT49" s="297">
        <f>AVERAGE(Y49:AA49)</f>
        <v>23.998866666666668</v>
      </c>
      <c r="AU49" s="55">
        <f>AVERAGE(AB49:AI49)</f>
        <v>15.008125000000001</v>
      </c>
      <c r="BE49" s="83"/>
    </row>
    <row r="50" spans="1:59" s="86" customFormat="1">
      <c r="A50" s="83"/>
      <c r="B50" s="84"/>
      <c r="C50" s="83" t="s">
        <v>61</v>
      </c>
      <c r="D50" s="84" t="s">
        <v>487</v>
      </c>
      <c r="E50" s="85" cm="1">
        <f t="array" ref="E50:AN50">TRANSPOSE(_xlfn._xlws.FILTER('Raw Data'!E3:E305,('Raw Data'!C3:C305=2)*('Raw Data'!E3:E305&lt;&gt;"")))</f>
        <v>189.7</v>
      </c>
      <c r="F50" s="85">
        <v>190</v>
      </c>
      <c r="G50" s="85">
        <v>190</v>
      </c>
      <c r="H50" s="85">
        <v>190</v>
      </c>
      <c r="I50" s="85">
        <v>190</v>
      </c>
      <c r="J50" s="85">
        <v>200</v>
      </c>
      <c r="K50" s="85">
        <v>200</v>
      </c>
      <c r="L50" s="85">
        <v>200</v>
      </c>
      <c r="M50" s="85">
        <v>200</v>
      </c>
      <c r="N50" s="85">
        <v>200</v>
      </c>
      <c r="O50" s="85">
        <v>200</v>
      </c>
      <c r="P50" s="85">
        <v>210</v>
      </c>
      <c r="Q50" s="85">
        <v>210</v>
      </c>
      <c r="R50" s="85">
        <v>210.1</v>
      </c>
      <c r="S50" s="85">
        <v>210</v>
      </c>
      <c r="T50" s="85">
        <v>210</v>
      </c>
      <c r="U50" s="85">
        <v>221.5</v>
      </c>
      <c r="V50" s="85">
        <v>220</v>
      </c>
      <c r="W50" s="85">
        <v>220</v>
      </c>
      <c r="X50" s="85">
        <v>220</v>
      </c>
      <c r="Y50" s="85">
        <v>230</v>
      </c>
      <c r="Z50" s="85">
        <v>230</v>
      </c>
      <c r="AA50" s="85">
        <v>230</v>
      </c>
      <c r="AB50" s="85">
        <v>230</v>
      </c>
      <c r="AC50" s="85">
        <v>230</v>
      </c>
      <c r="AD50" s="85">
        <v>230.1</v>
      </c>
      <c r="AE50" s="85">
        <v>230.1</v>
      </c>
      <c r="AF50" s="85">
        <v>230</v>
      </c>
      <c r="AG50" s="85">
        <v>229.9</v>
      </c>
      <c r="AH50" s="85">
        <v>230</v>
      </c>
      <c r="AI50" s="85">
        <v>229.9</v>
      </c>
      <c r="AJ50" s="89">
        <v>157.1</v>
      </c>
      <c r="AK50" s="127">
        <v>161.30000000000001</v>
      </c>
      <c r="AL50" s="127">
        <v>161.5</v>
      </c>
      <c r="AM50" s="127">
        <v>162.1</v>
      </c>
      <c r="AN50" s="127">
        <v>161.80000000000001</v>
      </c>
      <c r="AO50" s="85"/>
      <c r="AP50" s="57">
        <f t="shared" ref="AP50:AP65" si="5">AVERAGE(E50:I50)</f>
        <v>189.94</v>
      </c>
      <c r="AQ50" s="57">
        <f t="shared" ref="AQ50:AQ65" si="6">AVERAGE(J50:O50)</f>
        <v>200</v>
      </c>
      <c r="AR50" s="57">
        <f t="shared" ref="AR50:AR65" si="7">AVERAGE(P50:T50)</f>
        <v>210.01999999999998</v>
      </c>
      <c r="AS50" s="57">
        <f t="shared" ref="AS50:AS65" si="8">AVERAGE(U50:X50)</f>
        <v>220.375</v>
      </c>
      <c r="AT50" s="297">
        <f t="shared" ref="AT50:AT65" si="9">AVERAGE(Y50:AA50)</f>
        <v>230</v>
      </c>
      <c r="AU50" s="55">
        <f t="shared" ref="AU50:AU65" si="10">AVERAGE(AB50:AI50)</f>
        <v>230.00000000000003</v>
      </c>
      <c r="BE50" s="83"/>
    </row>
    <row r="51" spans="1:59">
      <c r="C51" s="61" t="s">
        <v>31</v>
      </c>
      <c r="D51" s="31" t="s">
        <v>125</v>
      </c>
      <c r="E51" s="57">
        <f>(E64/$E$28)</f>
        <v>2.4950491822586183</v>
      </c>
      <c r="F51" s="57">
        <f t="shared" ref="F51:AN51" si="11">(F64/$E$28)</f>
        <v>2.4141850060036676</v>
      </c>
      <c r="G51" s="57">
        <f t="shared" si="11"/>
        <v>2.3453323325693458</v>
      </c>
      <c r="H51" s="57">
        <f t="shared" si="11"/>
        <v>2.4455654568970715</v>
      </c>
      <c r="I51" s="57">
        <f t="shared" si="11"/>
        <v>2.3771171918480425</v>
      </c>
      <c r="J51" s="57">
        <f t="shared" si="11"/>
        <v>2.3882242750512059</v>
      </c>
      <c r="K51" s="57">
        <f t="shared" si="11"/>
        <v>2.4558055320307037</v>
      </c>
      <c r="L51" s="57">
        <f t="shared" si="11"/>
        <v>2.4061318077367315</v>
      </c>
      <c r="M51" s="57">
        <f t="shared" si="11"/>
        <v>2.4516876900573696</v>
      </c>
      <c r="N51" s="57">
        <f t="shared" si="11"/>
        <v>2.441508427220572</v>
      </c>
      <c r="O51" s="57">
        <f t="shared" si="11"/>
        <v>2.4135691574272582</v>
      </c>
      <c r="P51" s="57">
        <f t="shared" si="11"/>
        <v>2.4479127793314794</v>
      </c>
      <c r="Q51" s="57">
        <f t="shared" si="11"/>
        <v>2.4656576914369808</v>
      </c>
      <c r="R51" s="57">
        <f t="shared" si="11"/>
        <v>2.4303531535932605</v>
      </c>
      <c r="S51" s="57">
        <f t="shared" si="11"/>
        <v>2.4603407685622098</v>
      </c>
      <c r="T51" s="57">
        <f t="shared" si="11"/>
        <v>2.4828206015822345</v>
      </c>
      <c r="U51" s="57">
        <f t="shared" si="11"/>
        <v>2.4722956686991564</v>
      </c>
      <c r="V51" s="57">
        <f t="shared" si="11"/>
        <v>2.4571186636255482</v>
      </c>
      <c r="W51" s="57">
        <f t="shared" si="11"/>
        <v>2.4655221877972764</v>
      </c>
      <c r="X51" s="57">
        <f t="shared" si="11"/>
        <v>2.4681979830654868</v>
      </c>
      <c r="Y51" s="57">
        <f t="shared" si="11"/>
        <v>2.424973596717801</v>
      </c>
      <c r="Z51" s="57">
        <f t="shared" si="11"/>
        <v>2.4339240104454407</v>
      </c>
      <c r="AA51" s="57">
        <f t="shared" si="11"/>
        <v>2.4606546899372757</v>
      </c>
      <c r="AB51" s="57">
        <f t="shared" si="11"/>
        <v>2.4446881837767895</v>
      </c>
      <c r="AC51" s="57">
        <f t="shared" si="11"/>
        <v>2.4509903208749475</v>
      </c>
      <c r="AD51" s="57">
        <f t="shared" si="11"/>
        <v>2.4923569271471977</v>
      </c>
      <c r="AE51" s="57">
        <f t="shared" si="11"/>
        <v>2.4531227348619344</v>
      </c>
      <c r="AF51" s="57">
        <f t="shared" si="11"/>
        <v>2.4481269565805741</v>
      </c>
      <c r="AG51" s="57">
        <f t="shared" si="11"/>
        <v>2.4867421556163807</v>
      </c>
      <c r="AH51" s="57">
        <f t="shared" si="11"/>
        <v>2.4727940351551441</v>
      </c>
      <c r="AI51" s="57">
        <f t="shared" si="11"/>
        <v>2.4353834279975577</v>
      </c>
      <c r="AJ51" s="125">
        <f t="shared" si="11"/>
        <v>2.5647438388139414</v>
      </c>
      <c r="AK51" s="125">
        <f t="shared" si="11"/>
        <v>2.4841702303728321</v>
      </c>
      <c r="AL51" s="125">
        <f t="shared" si="11"/>
        <v>2.5687143848936311</v>
      </c>
      <c r="AM51" s="125">
        <f t="shared" si="11"/>
        <v>2.5130165554377575</v>
      </c>
      <c r="AN51" s="125">
        <f t="shared" si="11"/>
        <v>2.5060996289458277</v>
      </c>
      <c r="AP51" s="57">
        <f t="shared" si="5"/>
        <v>2.415449833915349</v>
      </c>
      <c r="AQ51" s="57">
        <f t="shared" si="6"/>
        <v>2.4261544815873068</v>
      </c>
      <c r="AR51" s="57">
        <f t="shared" si="7"/>
        <v>2.4574169989012331</v>
      </c>
      <c r="AS51" s="57">
        <f t="shared" si="8"/>
        <v>2.4657836257968668</v>
      </c>
      <c r="AT51" s="297">
        <f t="shared" si="9"/>
        <v>2.439850765700172</v>
      </c>
      <c r="AU51" s="55">
        <f t="shared" si="10"/>
        <v>2.4605255927513152</v>
      </c>
      <c r="AY51" s="1" t="s">
        <v>549</v>
      </c>
    </row>
    <row r="52" spans="1:59">
      <c r="C52" s="61" t="s">
        <v>126</v>
      </c>
      <c r="D52" s="31" t="s">
        <v>488</v>
      </c>
      <c r="E52" s="57">
        <f t="shared" ref="E52:AN52" si="12">($E$38/2)/(E64/$E$4)</f>
        <v>1.1698697632805588</v>
      </c>
      <c r="F52" s="57">
        <f t="shared" si="12"/>
        <v>1.2090550595598419</v>
      </c>
      <c r="G52" s="57">
        <f t="shared" si="12"/>
        <v>1.2445496766867845</v>
      </c>
      <c r="H52" s="57">
        <f t="shared" si="12"/>
        <v>1.1935409816941533</v>
      </c>
      <c r="I52" s="57">
        <f t="shared" si="12"/>
        <v>1.2279085802888057</v>
      </c>
      <c r="J52" s="57">
        <f t="shared" si="12"/>
        <v>1.2221978591854226</v>
      </c>
      <c r="K52" s="57">
        <f t="shared" si="12"/>
        <v>1.1885642238978995</v>
      </c>
      <c r="L52" s="57">
        <f t="shared" si="12"/>
        <v>1.2131017040865342</v>
      </c>
      <c r="M52" s="57">
        <f t="shared" si="12"/>
        <v>1.1905605302255853</v>
      </c>
      <c r="N52" s="57">
        <f t="shared" si="12"/>
        <v>1.1955242765822092</v>
      </c>
      <c r="O52" s="57">
        <f t="shared" si="12"/>
        <v>1.2093635631860749</v>
      </c>
      <c r="P52" s="57">
        <f t="shared" si="12"/>
        <v>1.1923964860461178</v>
      </c>
      <c r="Q52" s="57">
        <f t="shared" si="12"/>
        <v>1.1838150146953783</v>
      </c>
      <c r="R52" s="57">
        <f t="shared" si="12"/>
        <v>1.2010117097207431</v>
      </c>
      <c r="S52" s="57">
        <f t="shared" si="12"/>
        <v>1.1863732997961896</v>
      </c>
      <c r="T52" s="57">
        <f t="shared" si="12"/>
        <v>1.1756316966123597</v>
      </c>
      <c r="U52" s="57">
        <f t="shared" si="12"/>
        <v>1.1806365367933784</v>
      </c>
      <c r="V52" s="57">
        <f t="shared" si="12"/>
        <v>1.1879290322573792</v>
      </c>
      <c r="W52" s="57">
        <f t="shared" si="12"/>
        <v>1.1838800764676962</v>
      </c>
      <c r="X52" s="57">
        <f t="shared" si="12"/>
        <v>1.1825966216036721</v>
      </c>
      <c r="Y52" s="57">
        <f t="shared" si="12"/>
        <v>1.2036760318433759</v>
      </c>
      <c r="Z52" s="57">
        <f t="shared" si="12"/>
        <v>1.1992496822807737</v>
      </c>
      <c r="AA52" s="57">
        <f t="shared" si="12"/>
        <v>1.1862219466058632</v>
      </c>
      <c r="AB52" s="57">
        <f t="shared" si="12"/>
        <v>1.1939692822963095</v>
      </c>
      <c r="AC52" s="57">
        <f t="shared" si="12"/>
        <v>1.1908992750245817</v>
      </c>
      <c r="AD52" s="57">
        <f t="shared" si="12"/>
        <v>1.1711334618365654</v>
      </c>
      <c r="AE52" s="57">
        <f t="shared" si="12"/>
        <v>1.1898640678435197</v>
      </c>
      <c r="AF52" s="57">
        <f t="shared" si="12"/>
        <v>1.1922921678454113</v>
      </c>
      <c r="AG52" s="57">
        <f t="shared" si="12"/>
        <v>1.1737777435548995</v>
      </c>
      <c r="AH52" s="57">
        <f t="shared" si="12"/>
        <v>1.1803985915224475</v>
      </c>
      <c r="AI52" s="57">
        <f t="shared" si="12"/>
        <v>1.1985310249984871</v>
      </c>
      <c r="AJ52" s="125">
        <f t="shared" si="12"/>
        <v>1.1380795820810201</v>
      </c>
      <c r="AK52" s="125">
        <f t="shared" si="12"/>
        <v>1.1749929858004</v>
      </c>
      <c r="AL52" s="125">
        <f t="shared" si="12"/>
        <v>1.1363204151414876</v>
      </c>
      <c r="AM52" s="125">
        <f t="shared" si="12"/>
        <v>1.161505518101843</v>
      </c>
      <c r="AN52" s="125">
        <f t="shared" si="12"/>
        <v>1.1647113157468716</v>
      </c>
      <c r="AP52" s="57">
        <f t="shared" si="5"/>
        <v>1.2089848123020288</v>
      </c>
      <c r="AQ52" s="57">
        <f t="shared" si="6"/>
        <v>1.203218692860621</v>
      </c>
      <c r="AR52" s="57">
        <f t="shared" si="7"/>
        <v>1.1878456413741576</v>
      </c>
      <c r="AS52" s="57">
        <f t="shared" si="8"/>
        <v>1.1837605667805315</v>
      </c>
      <c r="AT52" s="297">
        <f t="shared" si="9"/>
        <v>1.196382553576671</v>
      </c>
      <c r="AU52" s="55">
        <f t="shared" si="10"/>
        <v>1.1863582018652779</v>
      </c>
    </row>
    <row r="53" spans="1:59">
      <c r="A53" s="343" t="s">
        <v>220</v>
      </c>
      <c r="B53" s="343"/>
      <c r="C53" s="343"/>
      <c r="D53" s="31" t="s">
        <v>137</v>
      </c>
      <c r="E53" s="31">
        <v>2.605</v>
      </c>
      <c r="F53" s="31">
        <v>2.605</v>
      </c>
      <c r="G53" s="31">
        <v>2.605</v>
      </c>
      <c r="H53" s="31">
        <v>2.605</v>
      </c>
      <c r="I53" s="31">
        <v>2.605</v>
      </c>
      <c r="J53" s="31">
        <v>2.605</v>
      </c>
      <c r="K53" s="31">
        <v>2.605</v>
      </c>
      <c r="L53" s="31">
        <v>2.605</v>
      </c>
      <c r="M53" s="31">
        <v>2.605</v>
      </c>
      <c r="N53" s="31">
        <v>2.605</v>
      </c>
      <c r="O53" s="31">
        <v>2.605</v>
      </c>
      <c r="P53" s="31">
        <v>2.605</v>
      </c>
      <c r="Q53" s="31">
        <v>2.605</v>
      </c>
      <c r="R53" s="31">
        <v>2.605</v>
      </c>
      <c r="S53" s="31">
        <v>2.605</v>
      </c>
      <c r="T53" s="31">
        <v>2.605</v>
      </c>
      <c r="U53" s="31">
        <v>2.605</v>
      </c>
      <c r="V53" s="31">
        <v>2.605</v>
      </c>
      <c r="W53" s="31">
        <v>2.605</v>
      </c>
      <c r="X53" s="31">
        <v>2.605</v>
      </c>
      <c r="Y53" s="31">
        <v>2.605</v>
      </c>
      <c r="Z53" s="31">
        <v>2.605</v>
      </c>
      <c r="AA53" s="31">
        <v>2.605</v>
      </c>
      <c r="AB53" s="31">
        <v>2.605</v>
      </c>
      <c r="AC53" s="31">
        <v>2.605</v>
      </c>
      <c r="AD53" s="31">
        <v>2.605</v>
      </c>
      <c r="AE53" s="31">
        <v>2.605</v>
      </c>
      <c r="AF53" s="31">
        <v>2.605</v>
      </c>
      <c r="AG53" s="31">
        <v>2.605</v>
      </c>
      <c r="AH53" s="31">
        <v>2.605</v>
      </c>
      <c r="AI53" s="31">
        <v>2.605</v>
      </c>
      <c r="AJ53" s="67">
        <v>2.605</v>
      </c>
      <c r="AK53" s="67">
        <v>2.605</v>
      </c>
      <c r="AL53" s="67">
        <v>2.605</v>
      </c>
      <c r="AM53" s="67">
        <v>2.605</v>
      </c>
      <c r="AN53" s="67">
        <v>2.605</v>
      </c>
      <c r="AP53" s="57">
        <f t="shared" si="5"/>
        <v>2.605</v>
      </c>
      <c r="AQ53" s="57">
        <f t="shared" si="6"/>
        <v>2.605</v>
      </c>
      <c r="AR53" s="57">
        <f t="shared" si="7"/>
        <v>2.605</v>
      </c>
      <c r="AS53" s="57">
        <f t="shared" si="8"/>
        <v>2.605</v>
      </c>
      <c r="AT53" s="297">
        <f t="shared" si="9"/>
        <v>2.605</v>
      </c>
      <c r="AU53" s="55">
        <f t="shared" si="10"/>
        <v>2.605</v>
      </c>
    </row>
    <row r="54" spans="1:59" s="55" customFormat="1">
      <c r="A54" s="340" t="s">
        <v>470</v>
      </c>
      <c r="B54" s="340"/>
      <c r="C54" s="340"/>
      <c r="D54" s="57" t="s">
        <v>471</v>
      </c>
      <c r="E54" s="57" cm="1">
        <f t="array" ref="E54:AN54">TRANSPOSE(_xlfn._xlws.FILTER('Raw Data'!AI3:AI309,('Raw Data'!C3:C309=2)*('Raw Data'!AI3:AI309&lt;&gt;"")))</f>
        <v>22.166466</v>
      </c>
      <c r="F54" s="57">
        <v>21.805333999999998</v>
      </c>
      <c r="G54" s="57">
        <v>21.840240999999999</v>
      </c>
      <c r="H54" s="57">
        <v>22.496628999999999</v>
      </c>
      <c r="I54" s="57">
        <v>22.032132000000001</v>
      </c>
      <c r="J54" s="57">
        <v>21.875492999999999</v>
      </c>
      <c r="K54" s="57">
        <v>22.286372</v>
      </c>
      <c r="L54" s="57">
        <v>22.019020999999999</v>
      </c>
      <c r="M54" s="57">
        <v>22.361650000000001</v>
      </c>
      <c r="N54" s="57">
        <v>21.765612000000001</v>
      </c>
      <c r="O54" s="57">
        <v>22.251411000000001</v>
      </c>
      <c r="P54" s="57">
        <v>21.441959000000001</v>
      </c>
      <c r="Q54" s="57">
        <v>21.603677000000001</v>
      </c>
      <c r="R54" s="57">
        <v>21.891292</v>
      </c>
      <c r="S54" s="57">
        <v>21.064315000000001</v>
      </c>
      <c r="T54" s="57">
        <v>22.010753000000001</v>
      </c>
      <c r="U54" s="57">
        <v>21.083998999999999</v>
      </c>
      <c r="V54" s="57">
        <v>21.411273000000001</v>
      </c>
      <c r="W54" s="57">
        <v>21.453102000000001</v>
      </c>
      <c r="X54" s="57">
        <v>21.305530999999998</v>
      </c>
      <c r="Y54" s="57">
        <v>20.944462999999999</v>
      </c>
      <c r="Z54" s="57">
        <v>20.920845</v>
      </c>
      <c r="AA54" s="57">
        <v>20.741423999999999</v>
      </c>
      <c r="AB54" s="57">
        <v>19.966411000000001</v>
      </c>
      <c r="AC54" s="57">
        <v>20.375419000000001</v>
      </c>
      <c r="AD54" s="57">
        <v>20.600121999999999</v>
      </c>
      <c r="AE54" s="57">
        <v>19.966421</v>
      </c>
      <c r="AF54" s="57">
        <v>20.509694</v>
      </c>
      <c r="AG54" s="57">
        <v>20.391487000000001</v>
      </c>
      <c r="AH54" s="57">
        <v>20.409821000000001</v>
      </c>
      <c r="AI54" s="57">
        <v>20.100019</v>
      </c>
      <c r="AJ54" s="125">
        <v>21.762654999999999</v>
      </c>
      <c r="AK54" s="125">
        <v>21.979536</v>
      </c>
      <c r="AL54" s="125">
        <v>21.555313999999999</v>
      </c>
      <c r="AM54" s="125">
        <v>21.354733</v>
      </c>
      <c r="AN54" s="125">
        <v>21.913837999999998</v>
      </c>
      <c r="AO54" s="57"/>
      <c r="AP54" s="57">
        <f t="shared" si="5"/>
        <v>22.0681604</v>
      </c>
      <c r="AQ54" s="57">
        <f t="shared" si="6"/>
        <v>22.093259833333335</v>
      </c>
      <c r="AR54" s="57">
        <f t="shared" si="7"/>
        <v>21.602399199999997</v>
      </c>
      <c r="AS54" s="57">
        <f t="shared" si="8"/>
        <v>21.313476250000001</v>
      </c>
      <c r="AT54" s="297">
        <f t="shared" si="9"/>
        <v>20.868910666666665</v>
      </c>
      <c r="AU54" s="55">
        <f t="shared" si="10"/>
        <v>20.289924249999999</v>
      </c>
      <c r="BE54" s="296"/>
    </row>
    <row r="55" spans="1:59" s="9" customFormat="1">
      <c r="A55" s="344" t="s">
        <v>473</v>
      </c>
      <c r="B55" s="344"/>
      <c r="C55" s="344"/>
      <c r="D55" s="34" t="s">
        <v>471</v>
      </c>
      <c r="E55" s="57" cm="1">
        <f t="array" ref="E55:AN55">TRANSPOSE(_xlfn._xlws.FILTER('Raw Data'!AJ3:AJ310,('Raw Data'!C3:C310=2)*('Raw Data'!AJ3:AJ310&lt;&gt;"")))</f>
        <v>59.290762999999998</v>
      </c>
      <c r="F55" s="34">
        <v>60.018318000000001</v>
      </c>
      <c r="G55" s="34">
        <v>60.390619999999998</v>
      </c>
      <c r="H55" s="34">
        <v>59.366861999999998</v>
      </c>
      <c r="I55" s="34">
        <v>60.115765000000003</v>
      </c>
      <c r="J55" s="34">
        <v>60.152656</v>
      </c>
      <c r="K55" s="34">
        <v>59.445220999999997</v>
      </c>
      <c r="L55" s="34">
        <v>59.945253000000001</v>
      </c>
      <c r="M55" s="34">
        <v>59.407919</v>
      </c>
      <c r="N55" s="34">
        <v>59.919983000000002</v>
      </c>
      <c r="O55" s="34">
        <v>59.702945</v>
      </c>
      <c r="P55" s="34">
        <v>59.999609</v>
      </c>
      <c r="Q55" s="34">
        <v>59.763730000000002</v>
      </c>
      <c r="R55" s="34">
        <v>59.736103999999997</v>
      </c>
      <c r="S55" s="34">
        <v>60.184032999999999</v>
      </c>
      <c r="T55" s="34">
        <v>59.325757000000003</v>
      </c>
      <c r="U55" s="34">
        <v>59.723866000000001</v>
      </c>
      <c r="V55" s="34">
        <v>59.597681000000001</v>
      </c>
      <c r="W55" s="34">
        <v>59.506287</v>
      </c>
      <c r="X55" s="34">
        <v>59.590228000000003</v>
      </c>
      <c r="Y55" s="34">
        <v>59.676966</v>
      </c>
      <c r="Z55" s="34">
        <v>59.632831000000003</v>
      </c>
      <c r="AA55" s="34">
        <v>59.588054999999997</v>
      </c>
      <c r="AB55" s="34">
        <v>59.995984</v>
      </c>
      <c r="AC55" s="34">
        <v>59.638567000000002</v>
      </c>
      <c r="AD55" s="34">
        <v>59.219346000000002</v>
      </c>
      <c r="AE55" s="34">
        <v>59.904916</v>
      </c>
      <c r="AF55" s="34">
        <v>59.532220000000002</v>
      </c>
      <c r="AG55" s="34">
        <v>59.368715999999999</v>
      </c>
      <c r="AH55" s="34">
        <v>59.428688999999999</v>
      </c>
      <c r="AI55" s="34">
        <v>59.878447000000001</v>
      </c>
      <c r="AJ55" s="128">
        <v>59.250779000000001</v>
      </c>
      <c r="AK55" s="128">
        <v>59.537624999999998</v>
      </c>
      <c r="AL55" s="128">
        <v>59.380752999999999</v>
      </c>
      <c r="AM55" s="128">
        <v>59.855612999999998</v>
      </c>
      <c r="AN55" s="128">
        <v>59.467748999999998</v>
      </c>
      <c r="AO55" s="34"/>
      <c r="AP55" s="57">
        <f t="shared" si="5"/>
        <v>59.836465599999997</v>
      </c>
      <c r="AQ55" s="57">
        <f t="shared" si="6"/>
        <v>59.7623295</v>
      </c>
      <c r="AR55" s="57">
        <f t="shared" si="7"/>
        <v>59.801846599999998</v>
      </c>
      <c r="AS55" s="57">
        <f t="shared" si="8"/>
        <v>59.604515499999998</v>
      </c>
      <c r="AT55" s="297">
        <f t="shared" si="9"/>
        <v>59.632617333333336</v>
      </c>
      <c r="AU55" s="55">
        <f t="shared" si="10"/>
        <v>59.620860625000006</v>
      </c>
      <c r="BE55" s="295"/>
    </row>
    <row r="56" spans="1:59">
      <c r="A56" s="343" t="s">
        <v>474</v>
      </c>
      <c r="B56" s="343"/>
      <c r="C56" s="343"/>
      <c r="D56" s="31" t="s">
        <v>471</v>
      </c>
      <c r="E56" s="34">
        <f>100-E55-E54</f>
        <v>18.542771000000002</v>
      </c>
      <c r="F56" s="34">
        <f t="shared" ref="F56:AI56" si="13">100-F55-F54</f>
        <v>18.176348000000001</v>
      </c>
      <c r="G56" s="34">
        <f t="shared" si="13"/>
        <v>17.769139000000003</v>
      </c>
      <c r="H56" s="34">
        <f t="shared" si="13"/>
        <v>18.136509000000004</v>
      </c>
      <c r="I56" s="34">
        <f t="shared" si="13"/>
        <v>17.852102999999996</v>
      </c>
      <c r="J56" s="34">
        <f t="shared" si="13"/>
        <v>17.971851000000001</v>
      </c>
      <c r="K56" s="34">
        <f t="shared" si="13"/>
        <v>18.268407000000003</v>
      </c>
      <c r="L56" s="34">
        <f t="shared" si="13"/>
        <v>18.035726</v>
      </c>
      <c r="M56" s="34">
        <f t="shared" si="13"/>
        <v>18.230430999999999</v>
      </c>
      <c r="N56" s="34">
        <f t="shared" si="13"/>
        <v>18.314404999999997</v>
      </c>
      <c r="O56" s="34">
        <f t="shared" si="13"/>
        <v>18.045643999999999</v>
      </c>
      <c r="P56" s="34">
        <f t="shared" si="13"/>
        <v>18.558432</v>
      </c>
      <c r="Q56" s="34">
        <f t="shared" si="13"/>
        <v>18.632592999999996</v>
      </c>
      <c r="R56" s="34">
        <f t="shared" si="13"/>
        <v>18.372604000000003</v>
      </c>
      <c r="S56" s="34">
        <f t="shared" si="13"/>
        <v>18.751652</v>
      </c>
      <c r="T56" s="34">
        <f t="shared" si="13"/>
        <v>18.663489999999996</v>
      </c>
      <c r="U56" s="34">
        <f t="shared" si="13"/>
        <v>19.192135</v>
      </c>
      <c r="V56" s="34">
        <f t="shared" si="13"/>
        <v>18.991045999999997</v>
      </c>
      <c r="W56" s="34">
        <f t="shared" si="13"/>
        <v>19.040610999999998</v>
      </c>
      <c r="X56" s="34">
        <f t="shared" si="13"/>
        <v>19.104240999999998</v>
      </c>
      <c r="Y56" s="34">
        <f t="shared" si="13"/>
        <v>19.378571000000001</v>
      </c>
      <c r="Z56" s="34">
        <f t="shared" si="13"/>
        <v>19.446323999999997</v>
      </c>
      <c r="AA56" s="34">
        <f t="shared" si="13"/>
        <v>19.670521000000004</v>
      </c>
      <c r="AB56" s="34">
        <f t="shared" si="13"/>
        <v>20.037604999999999</v>
      </c>
      <c r="AC56" s="34">
        <f t="shared" si="13"/>
        <v>19.986013999999997</v>
      </c>
      <c r="AD56" s="34">
        <f t="shared" si="13"/>
        <v>20.180531999999999</v>
      </c>
      <c r="AE56" s="34">
        <f t="shared" si="13"/>
        <v>20.128663</v>
      </c>
      <c r="AF56" s="34">
        <f t="shared" si="13"/>
        <v>19.958085999999998</v>
      </c>
      <c r="AG56" s="34">
        <f t="shared" si="13"/>
        <v>20.239796999999999</v>
      </c>
      <c r="AH56" s="34">
        <f t="shared" si="13"/>
        <v>20.161490000000001</v>
      </c>
      <c r="AI56" s="34">
        <f t="shared" si="13"/>
        <v>20.021533999999999</v>
      </c>
      <c r="AJ56" s="128">
        <f t="shared" ref="AJ56:AN56" si="14">100-AJ55-AJ54</f>
        <v>18.986566</v>
      </c>
      <c r="AK56" s="128">
        <f t="shared" si="14"/>
        <v>18.482839000000002</v>
      </c>
      <c r="AL56" s="128">
        <f t="shared" si="14"/>
        <v>19.063933000000002</v>
      </c>
      <c r="AM56" s="128">
        <f t="shared" si="14"/>
        <v>18.789654000000002</v>
      </c>
      <c r="AN56" s="128">
        <f t="shared" si="14"/>
        <v>18.618413000000004</v>
      </c>
      <c r="AP56" s="57">
        <f t="shared" si="5"/>
        <v>18.095374000000003</v>
      </c>
      <c r="AQ56" s="57">
        <f t="shared" si="6"/>
        <v>18.144410666666666</v>
      </c>
      <c r="AR56" s="57">
        <f t="shared" si="7"/>
        <v>18.595754199999998</v>
      </c>
      <c r="AS56" s="57">
        <f t="shared" si="8"/>
        <v>19.082008249999998</v>
      </c>
      <c r="AT56" s="297">
        <f t="shared" si="9"/>
        <v>19.498472000000003</v>
      </c>
      <c r="AU56" s="55">
        <f t="shared" si="10"/>
        <v>20.089215124999999</v>
      </c>
    </row>
    <row r="57" spans="1:59">
      <c r="A57" s="343" t="s">
        <v>475</v>
      </c>
      <c r="B57" s="343"/>
      <c r="C57" s="343"/>
      <c r="D57" s="31" t="s">
        <v>471</v>
      </c>
      <c r="E57" s="31">
        <f>SUM(E54:E56)</f>
        <v>100</v>
      </c>
      <c r="F57" s="31">
        <f t="shared" ref="F57:AI57" si="15">SUM(F54:F56)</f>
        <v>100</v>
      </c>
      <c r="G57" s="31">
        <f t="shared" si="15"/>
        <v>100</v>
      </c>
      <c r="H57" s="31">
        <f t="shared" si="15"/>
        <v>100</v>
      </c>
      <c r="I57" s="31">
        <f t="shared" si="15"/>
        <v>100</v>
      </c>
      <c r="J57" s="31">
        <f t="shared" si="15"/>
        <v>100</v>
      </c>
      <c r="K57" s="31">
        <f t="shared" si="15"/>
        <v>100</v>
      </c>
      <c r="L57" s="31">
        <f t="shared" si="15"/>
        <v>100</v>
      </c>
      <c r="M57" s="31">
        <f t="shared" si="15"/>
        <v>100</v>
      </c>
      <c r="N57" s="31">
        <f t="shared" si="15"/>
        <v>100</v>
      </c>
      <c r="O57" s="31">
        <f t="shared" si="15"/>
        <v>100</v>
      </c>
      <c r="P57" s="31">
        <f t="shared" si="15"/>
        <v>100</v>
      </c>
      <c r="Q57" s="31">
        <f t="shared" si="15"/>
        <v>100</v>
      </c>
      <c r="R57" s="31">
        <f t="shared" si="15"/>
        <v>100</v>
      </c>
      <c r="S57" s="31">
        <f t="shared" si="15"/>
        <v>100</v>
      </c>
      <c r="T57" s="31">
        <f t="shared" si="15"/>
        <v>100</v>
      </c>
      <c r="U57" s="31">
        <f t="shared" si="15"/>
        <v>100</v>
      </c>
      <c r="V57" s="31">
        <f t="shared" si="15"/>
        <v>100</v>
      </c>
      <c r="W57" s="31">
        <f t="shared" si="15"/>
        <v>100</v>
      </c>
      <c r="X57" s="31">
        <f t="shared" si="15"/>
        <v>100</v>
      </c>
      <c r="Y57" s="31">
        <f t="shared" si="15"/>
        <v>100</v>
      </c>
      <c r="Z57" s="31">
        <f t="shared" si="15"/>
        <v>100</v>
      </c>
      <c r="AA57" s="31">
        <f t="shared" si="15"/>
        <v>100</v>
      </c>
      <c r="AB57" s="31">
        <f t="shared" si="15"/>
        <v>100</v>
      </c>
      <c r="AC57" s="31">
        <f t="shared" si="15"/>
        <v>100</v>
      </c>
      <c r="AD57" s="31">
        <f t="shared" si="15"/>
        <v>100</v>
      </c>
      <c r="AE57" s="31">
        <f t="shared" si="15"/>
        <v>100</v>
      </c>
      <c r="AF57" s="31">
        <f t="shared" si="15"/>
        <v>100</v>
      </c>
      <c r="AG57" s="31">
        <f t="shared" si="15"/>
        <v>100</v>
      </c>
      <c r="AH57" s="31">
        <f t="shared" si="15"/>
        <v>100</v>
      </c>
      <c r="AI57" s="31">
        <f t="shared" si="15"/>
        <v>100</v>
      </c>
      <c r="AJ57" s="67">
        <f t="shared" ref="AJ57:AN57" si="16">SUM(AJ54:AJ56)</f>
        <v>100</v>
      </c>
      <c r="AK57" s="67">
        <f t="shared" si="16"/>
        <v>100</v>
      </c>
      <c r="AL57" s="67">
        <f t="shared" si="16"/>
        <v>100</v>
      </c>
      <c r="AM57" s="67">
        <f t="shared" si="16"/>
        <v>100</v>
      </c>
      <c r="AN57" s="67">
        <f t="shared" si="16"/>
        <v>100</v>
      </c>
      <c r="AP57" s="57">
        <f t="shared" si="5"/>
        <v>100</v>
      </c>
      <c r="AQ57" s="57">
        <f t="shared" si="6"/>
        <v>100</v>
      </c>
      <c r="AR57" s="57">
        <f t="shared" si="7"/>
        <v>100</v>
      </c>
      <c r="AS57" s="57">
        <f t="shared" si="8"/>
        <v>100</v>
      </c>
      <c r="AT57" s="297">
        <f t="shared" si="9"/>
        <v>100</v>
      </c>
      <c r="AU57" s="55">
        <f t="shared" si="10"/>
        <v>100</v>
      </c>
    </row>
    <row r="58" spans="1:59" s="34" customFormat="1">
      <c r="A58" s="344" t="s">
        <v>476</v>
      </c>
      <c r="B58" s="344"/>
      <c r="C58" s="344"/>
      <c r="D58" s="75" t="s">
        <v>112</v>
      </c>
      <c r="E58" s="57" cm="1">
        <f t="array" ref="E58:AN58">TRANSPOSE(_xlfn._xlws.FILTER('Raw Data'!AL3:AL313,('Raw Data'!C3:C313=2)*('Raw Data'!AL3:AL313&lt;&gt;"")))</f>
        <v>88.289794921999999</v>
      </c>
      <c r="F58" s="34">
        <v>88.220924377000003</v>
      </c>
      <c r="G58" s="34">
        <v>88.213226317999997</v>
      </c>
      <c r="H58" s="34">
        <v>88.581260681000003</v>
      </c>
      <c r="I58" s="34">
        <v>88.577690124</v>
      </c>
      <c r="J58" s="34">
        <v>88.461723328000005</v>
      </c>
      <c r="K58" s="34">
        <v>88.437095642000003</v>
      </c>
      <c r="L58" s="34">
        <v>88.501976013000004</v>
      </c>
      <c r="M58" s="34">
        <v>88.417755127000007</v>
      </c>
      <c r="N58" s="34">
        <v>88.402763367000006</v>
      </c>
      <c r="O58" s="34">
        <v>88.371704101999995</v>
      </c>
      <c r="P58" s="34">
        <v>87.609687804999993</v>
      </c>
      <c r="Q58" s="34">
        <v>87.549545288000004</v>
      </c>
      <c r="R58" s="34">
        <v>87.478096007999994</v>
      </c>
      <c r="S58" s="34">
        <v>87.419380188000005</v>
      </c>
      <c r="T58" s="34">
        <v>87.369110106999997</v>
      </c>
      <c r="U58" s="34">
        <v>85.224861145000006</v>
      </c>
      <c r="V58" s="34">
        <v>85.412666321000003</v>
      </c>
      <c r="W58" s="34">
        <v>85.351753235000004</v>
      </c>
      <c r="X58" s="34">
        <v>85.278045653999996</v>
      </c>
      <c r="Y58" s="34">
        <v>82.782264709000003</v>
      </c>
      <c r="Z58" s="34">
        <v>82.738235474000007</v>
      </c>
      <c r="AA58" s="34">
        <v>82.634017943999993</v>
      </c>
      <c r="AB58" s="34">
        <v>81.182006835999999</v>
      </c>
      <c r="AC58" s="34">
        <v>81.116889954000001</v>
      </c>
      <c r="AD58" s="34">
        <v>81.116493224999999</v>
      </c>
      <c r="AE58" s="34">
        <v>80.975509643999999</v>
      </c>
      <c r="AF58" s="34">
        <v>80.993789672999995</v>
      </c>
      <c r="AG58" s="34">
        <v>80.905784607000001</v>
      </c>
      <c r="AH58" s="34">
        <v>80.847373962000006</v>
      </c>
      <c r="AI58" s="34">
        <v>80.794723511000001</v>
      </c>
      <c r="AJ58" s="128">
        <v>88.568969726999995</v>
      </c>
      <c r="AK58" s="128">
        <v>88.542358398000005</v>
      </c>
      <c r="AL58" s="128">
        <v>88.531616210999999</v>
      </c>
      <c r="AM58" s="128">
        <v>88.577857971</v>
      </c>
      <c r="AN58" s="128">
        <v>88.569000243999994</v>
      </c>
      <c r="AP58" s="57">
        <f t="shared" si="5"/>
        <v>88.376579284400009</v>
      </c>
      <c r="AQ58" s="57">
        <f t="shared" si="6"/>
        <v>88.432169596500003</v>
      </c>
      <c r="AR58" s="57">
        <f t="shared" si="7"/>
        <v>87.485163879199987</v>
      </c>
      <c r="AS58" s="57">
        <f t="shared" si="8"/>
        <v>85.316831588749992</v>
      </c>
      <c r="AT58" s="297">
        <f t="shared" si="9"/>
        <v>82.718172709000001</v>
      </c>
      <c r="AU58" s="55">
        <f t="shared" si="10"/>
        <v>80.991571426500002</v>
      </c>
      <c r="BE58" s="295"/>
    </row>
    <row r="59" spans="1:59" s="57" customFormat="1">
      <c r="A59" s="340" t="s">
        <v>477</v>
      </c>
      <c r="B59" s="340"/>
      <c r="C59" s="340"/>
      <c r="D59" s="57" t="s">
        <v>314</v>
      </c>
      <c r="E59" s="57">
        <f>E68*$H$6+E69*$H$7+E70*$H$8+E71*$H$9+E72*$H$10+E73*$H$11+E74*$H$12+E75*$H$13+E76*$H$14+E77*$H$15+E78*$H$16+E79*$H$17+E80*$H$18+E81*$H$19+E82*$H$20+E83*$H$21+E84*$H$22+E85*$H$23+E86*$H$24</f>
        <v>83.663132713227228</v>
      </c>
      <c r="F59" s="57">
        <f t="shared" ref="F59:Y59" si="17">F68*$H$6+F69*$H$7+F70*$H$8+F71*$H$9+F72*$H$10+F73*$H$11+F74*$H$12+F75*$H$13+F76*$H$14+F77*$H$15+F78*$H$16+F79*$H$17+F80*$H$18+F81*$H$19+F82*$H$20+F83*$H$21+F84*$H$22+F85*$H$23+F86*$H$24</f>
        <v>83.662194248588946</v>
      </c>
      <c r="G59" s="57">
        <f t="shared" si="17"/>
        <v>83.661742043335309</v>
      </c>
      <c r="H59" s="57">
        <f t="shared" si="17"/>
        <v>83.672153722370865</v>
      </c>
      <c r="I59" s="57">
        <f t="shared" si="17"/>
        <v>83.671653525737341</v>
      </c>
      <c r="J59" s="57">
        <f t="shared" si="17"/>
        <v>83.66326841377807</v>
      </c>
      <c r="K59" s="57">
        <f t="shared" si="17"/>
        <v>83.662123671735671</v>
      </c>
      <c r="L59" s="57">
        <f t="shared" si="17"/>
        <v>83.66440576430972</v>
      </c>
      <c r="M59" s="57">
        <f t="shared" si="17"/>
        <v>83.661602879066024</v>
      </c>
      <c r="N59" s="57">
        <f t="shared" si="17"/>
        <v>83.661253981667542</v>
      </c>
      <c r="O59" s="57">
        <f t="shared" si="17"/>
        <v>83.660990463980568</v>
      </c>
      <c r="P59" s="57">
        <f t="shared" si="17"/>
        <v>83.6380815112487</v>
      </c>
      <c r="Q59" s="57">
        <f t="shared" si="17"/>
        <v>83.636606072204927</v>
      </c>
      <c r="R59" s="57">
        <f t="shared" si="17"/>
        <v>83.635249869490877</v>
      </c>
      <c r="S59" s="57">
        <f t="shared" si="17"/>
        <v>83.63391127132887</v>
      </c>
      <c r="T59" s="57">
        <f t="shared" si="17"/>
        <v>83.635560849520118</v>
      </c>
      <c r="U59" s="57">
        <f t="shared" si="17"/>
        <v>83.581823815683862</v>
      </c>
      <c r="V59" s="57">
        <f t="shared" si="17"/>
        <v>83.586750528014093</v>
      </c>
      <c r="W59" s="57">
        <f t="shared" si="17"/>
        <v>83.585617661747634</v>
      </c>
      <c r="X59" s="57">
        <f t="shared" si="17"/>
        <v>83.587460015581712</v>
      </c>
      <c r="Y59" s="57">
        <f t="shared" si="17"/>
        <v>83.523332338222033</v>
      </c>
      <c r="Z59" s="57">
        <f>Z68*$H$6+Z69*$H$7+Z70*$H$8+Z71*$H$9+Z72*$H$10+Z73*$H$11+Z74*$H$12+Z75*$H$13+Z76*$H$14+Z77*$H$15+Z78*$H$16+Z79*$H$17+Z80*$H$18+Z81*$H$19+Z82*$H$20+Z83*$H$21+Z84*$H$22+Z85*$H$23+Z86*$H$24</f>
        <v>83.522173176018683</v>
      </c>
      <c r="AA59" s="57">
        <f t="shared" ref="AA59:AE59" si="18">AA68*$H$6+AA69*$H$7+AA70*$H$8+AA71*$H$9+AA72*$H$10+AA73*$H$11+AA74*$H$12+AA75*$H$13+AA76*$H$14+AA77*$H$15+AA78*$H$16+AA79*$H$17+AA80*$H$18+AA81*$H$19+AA82*$H$20+AA83*$H$21+AA84*$H$22+AA85*$H$23+AA86*$H$24</f>
        <v>83.519572845461141</v>
      </c>
      <c r="AB59" s="57">
        <f t="shared" si="18"/>
        <v>83.482063476318586</v>
      </c>
      <c r="AC59" s="57">
        <f t="shared" si="18"/>
        <v>83.480382929578425</v>
      </c>
      <c r="AD59" s="57">
        <f t="shared" si="18"/>
        <v>83.480526830705941</v>
      </c>
      <c r="AE59" s="57">
        <f t="shared" si="18"/>
        <v>83.47688551325912</v>
      </c>
      <c r="AF59" s="57">
        <f t="shared" ref="AF59:AI59" si="19">AF68*$H$6+AF69*$H$7+AF70*$H$8+AF71*$H$9+AF72*$H$10+AF73*$H$11+AF74*$H$12+AF75*$H$13+AF76*$H$14+AF77*$H$15+AF78*$H$16+AF79*$H$17+AF80*$H$18+AF81*$H$19+AF82*$H$20+AF83*$H$21+AF84*$H$22+AF85*$H$23+AF86*$H$24</f>
        <v>83.477324207945273</v>
      </c>
      <c r="AG59" s="57">
        <f t="shared" si="19"/>
        <v>83.474879728330819</v>
      </c>
      <c r="AH59" s="57">
        <f t="shared" si="19"/>
        <v>83.473508311186308</v>
      </c>
      <c r="AI59" s="57">
        <f t="shared" si="19"/>
        <v>83.466200017295506</v>
      </c>
      <c r="AJ59" s="125">
        <f t="shared" ref="AJ59:AN59" si="20">AJ68*$H$6+AJ69*$H$7+AJ70*$H$8+AJ71*$H$9+AJ72*$H$10+AJ73*$H$11+AJ74*$H$12+AJ75*$H$13+AJ76*$H$14+AJ77*$H$15+AJ78*$H$16+AJ79*$H$17+AJ80*$H$18+AJ81*$H$19+AJ82*$H$20+AJ83*$H$21+AJ84*$H$22+AJ85*$H$23+AJ86*$H$24</f>
        <v>83.668726553176526</v>
      </c>
      <c r="AK59" s="125">
        <f t="shared" si="20"/>
        <v>83.677020647879516</v>
      </c>
      <c r="AL59" s="125">
        <f t="shared" si="20"/>
        <v>83.676544624490504</v>
      </c>
      <c r="AM59" s="125">
        <f t="shared" si="20"/>
        <v>83.677633859997329</v>
      </c>
      <c r="AN59" s="125">
        <f t="shared" si="20"/>
        <v>83.677470819880156</v>
      </c>
      <c r="AP59" s="57">
        <f t="shared" si="5"/>
        <v>83.666175250651946</v>
      </c>
      <c r="AQ59" s="57">
        <f t="shared" si="6"/>
        <v>83.662274195756268</v>
      </c>
      <c r="AR59" s="57">
        <f t="shared" si="7"/>
        <v>83.635881914758698</v>
      </c>
      <c r="AS59" s="57">
        <f t="shared" si="8"/>
        <v>83.585413005256825</v>
      </c>
      <c r="AT59" s="297">
        <f t="shared" si="9"/>
        <v>83.521692786567286</v>
      </c>
      <c r="AU59" s="55">
        <f t="shared" si="10"/>
        <v>83.47647137682749</v>
      </c>
      <c r="BE59" s="296"/>
    </row>
    <row r="60" spans="1:59" s="57" customFormat="1">
      <c r="A60" s="340" t="s">
        <v>478</v>
      </c>
      <c r="B60" s="340"/>
      <c r="C60" s="340"/>
      <c r="D60" s="57" t="s">
        <v>314</v>
      </c>
      <c r="E60" s="57">
        <f>100-E59</f>
        <v>16.336867286772772</v>
      </c>
      <c r="F60" s="57">
        <f t="shared" ref="F60:Y60" si="21">100-F59</f>
        <v>16.337805751411054</v>
      </c>
      <c r="G60" s="57">
        <f t="shared" si="21"/>
        <v>16.338257956664691</v>
      </c>
      <c r="H60" s="57">
        <f t="shared" si="21"/>
        <v>16.327846277629135</v>
      </c>
      <c r="I60" s="57">
        <f t="shared" si="21"/>
        <v>16.328346474262659</v>
      </c>
      <c r="J60" s="57">
        <f t="shared" si="21"/>
        <v>16.33673158622193</v>
      </c>
      <c r="K60" s="57">
        <f t="shared" si="21"/>
        <v>16.337876328264329</v>
      </c>
      <c r="L60" s="57">
        <f t="shared" si="21"/>
        <v>16.33559423569028</v>
      </c>
      <c r="M60" s="57">
        <f t="shared" si="21"/>
        <v>16.338397120933976</v>
      </c>
      <c r="N60" s="57">
        <f t="shared" si="21"/>
        <v>16.338746018332458</v>
      </c>
      <c r="O60" s="57">
        <f t="shared" si="21"/>
        <v>16.339009536019432</v>
      </c>
      <c r="P60" s="57">
        <f t="shared" si="21"/>
        <v>16.3619184887513</v>
      </c>
      <c r="Q60" s="57">
        <f t="shared" si="21"/>
        <v>16.363393927795073</v>
      </c>
      <c r="R60" s="57">
        <f t="shared" si="21"/>
        <v>16.364750130509123</v>
      </c>
      <c r="S60" s="57">
        <f t="shared" si="21"/>
        <v>16.36608872867113</v>
      </c>
      <c r="T60" s="57">
        <f t="shared" si="21"/>
        <v>16.364439150479882</v>
      </c>
      <c r="U60" s="57">
        <f t="shared" si="21"/>
        <v>16.418176184316138</v>
      </c>
      <c r="V60" s="57">
        <f t="shared" si="21"/>
        <v>16.413249471985907</v>
      </c>
      <c r="W60" s="57">
        <f t="shared" si="21"/>
        <v>16.414382338252366</v>
      </c>
      <c r="X60" s="57">
        <f t="shared" si="21"/>
        <v>16.412539984418288</v>
      </c>
      <c r="Y60" s="57">
        <f t="shared" si="21"/>
        <v>16.476667661777967</v>
      </c>
      <c r="Z60" s="57">
        <f>100-Z59</f>
        <v>16.477826823981317</v>
      </c>
      <c r="AA60" s="57">
        <f t="shared" ref="AA60:AE60" si="22">100-AA59</f>
        <v>16.480427154538859</v>
      </c>
      <c r="AB60" s="57">
        <f t="shared" si="22"/>
        <v>16.517936523681414</v>
      </c>
      <c r="AC60" s="57">
        <f t="shared" si="22"/>
        <v>16.519617070421575</v>
      </c>
      <c r="AD60" s="57">
        <f t="shared" si="22"/>
        <v>16.519473169294059</v>
      </c>
      <c r="AE60" s="57">
        <f t="shared" si="22"/>
        <v>16.52311448674088</v>
      </c>
      <c r="AF60" s="57">
        <f t="shared" ref="AF60" si="23">100-AF59</f>
        <v>16.522675792054727</v>
      </c>
      <c r="AG60" s="57">
        <f t="shared" ref="AG60" si="24">100-AG59</f>
        <v>16.525120271669181</v>
      </c>
      <c r="AH60" s="57">
        <f t="shared" ref="AH60" si="25">100-AH59</f>
        <v>16.526491688813692</v>
      </c>
      <c r="AI60" s="57">
        <f t="shared" ref="AI60:AN60" si="26">100-AI59</f>
        <v>16.533799982704494</v>
      </c>
      <c r="AJ60" s="125">
        <f t="shared" si="26"/>
        <v>16.331273446823474</v>
      </c>
      <c r="AK60" s="125">
        <f t="shared" si="26"/>
        <v>16.322979352120484</v>
      </c>
      <c r="AL60" s="125">
        <f t="shared" si="26"/>
        <v>16.323455375509496</v>
      </c>
      <c r="AM60" s="125">
        <f t="shared" si="26"/>
        <v>16.322366140002671</v>
      </c>
      <c r="AN60" s="125">
        <f t="shared" si="26"/>
        <v>16.322529180119844</v>
      </c>
      <c r="AP60" s="57">
        <f t="shared" si="5"/>
        <v>16.333824749348061</v>
      </c>
      <c r="AQ60" s="57">
        <f t="shared" si="6"/>
        <v>16.337725804243735</v>
      </c>
      <c r="AR60" s="57">
        <f t="shared" si="7"/>
        <v>16.364118085241302</v>
      </c>
      <c r="AS60" s="57">
        <f t="shared" si="8"/>
        <v>16.414586994743175</v>
      </c>
      <c r="AT60" s="297">
        <f t="shared" si="9"/>
        <v>16.478307213432714</v>
      </c>
      <c r="AU60" s="55">
        <f t="shared" si="10"/>
        <v>16.523528623172503</v>
      </c>
      <c r="BE60" s="296"/>
    </row>
    <row r="61" spans="1:59">
      <c r="A61" s="343" t="s">
        <v>479</v>
      </c>
      <c r="B61" s="343"/>
      <c r="C61" s="343"/>
      <c r="D61" s="31" t="s">
        <v>12</v>
      </c>
      <c r="E61" s="58">
        <f>(E53/(E55/100))*(E54/100)*(0.0416)*2</f>
        <v>8.1028998985491207E-2</v>
      </c>
      <c r="F61" s="58">
        <f t="shared" ref="F61:AN61" si="27">(F53/(F55/100))*(F54/100)*(0.0416)*2</f>
        <v>7.8742641035425207E-2</v>
      </c>
      <c r="G61" s="58">
        <f t="shared" si="27"/>
        <v>7.8382478493779328E-2</v>
      </c>
      <c r="H61" s="58">
        <f t="shared" si="27"/>
        <v>8.2130488603962257E-2</v>
      </c>
      <c r="I61" s="58">
        <f t="shared" si="27"/>
        <v>7.9432677287763043E-2</v>
      </c>
      <c r="J61" s="58">
        <f t="shared" si="27"/>
        <v>7.8819576160494037E-2</v>
      </c>
      <c r="K61" s="58">
        <f t="shared" si="27"/>
        <v>8.1255634019629597E-2</v>
      </c>
      <c r="L61" s="58">
        <f t="shared" si="27"/>
        <v>7.9611216845744223E-2</v>
      </c>
      <c r="M61" s="58">
        <f t="shared" si="27"/>
        <v>8.1581288420488174E-2</v>
      </c>
      <c r="N61" s="58">
        <f t="shared" si="27"/>
        <v>7.8728187930760918E-2</v>
      </c>
      <c r="O61" s="58">
        <f t="shared" si="27"/>
        <v>8.0777955166131246E-2</v>
      </c>
      <c r="P61" s="58">
        <f t="shared" si="27"/>
        <v>7.745457850940328E-2</v>
      </c>
      <c r="Q61" s="58">
        <f t="shared" si="27"/>
        <v>7.8346758782826972E-2</v>
      </c>
      <c r="R61" s="58">
        <f t="shared" si="27"/>
        <v>7.9426523412239936E-2</v>
      </c>
      <c r="S61" s="58">
        <f t="shared" si="27"/>
        <v>7.5857252302118053E-2</v>
      </c>
      <c r="T61" s="58">
        <f t="shared" si="27"/>
        <v>8.0412333587382631E-2</v>
      </c>
      <c r="U61" s="58">
        <f t="shared" si="27"/>
        <v>7.6513158194816105E-2</v>
      </c>
      <c r="V61" s="58">
        <f t="shared" si="27"/>
        <v>7.786533950755567E-2</v>
      </c>
      <c r="W61" s="58">
        <f t="shared" si="27"/>
        <v>7.8137281781200704E-2</v>
      </c>
      <c r="X61" s="58">
        <f t="shared" si="27"/>
        <v>7.7490483285548084E-2</v>
      </c>
      <c r="Y61" s="58">
        <f t="shared" si="27"/>
        <v>7.6066520083611491E-2</v>
      </c>
      <c r="Z61" s="58">
        <f t="shared" si="27"/>
        <v>7.6036978051905665E-2</v>
      </c>
      <c r="AA61" s="58">
        <f t="shared" si="27"/>
        <v>7.5441517130639679E-2</v>
      </c>
      <c r="AB61" s="58">
        <f t="shared" si="27"/>
        <v>7.2128828731203062E-2</v>
      </c>
      <c r="AC61" s="58">
        <f t="shared" si="27"/>
        <v>7.4047500376459421E-2</v>
      </c>
      <c r="AD61" s="58">
        <f t="shared" si="27"/>
        <v>7.5394078850381074E-2</v>
      </c>
      <c r="AE61" s="58">
        <f t="shared" si="27"/>
        <v>7.2238515814895737E-2</v>
      </c>
      <c r="AF61" s="58">
        <f t="shared" si="27"/>
        <v>7.4668625473466296E-2</v>
      </c>
      <c r="AG61" s="58">
        <f t="shared" si="27"/>
        <v>7.4442730518746614E-2</v>
      </c>
      <c r="AH61" s="58">
        <f t="shared" si="27"/>
        <v>7.4434469928421274E-2</v>
      </c>
      <c r="AI61" s="58">
        <f t="shared" si="27"/>
        <v>7.2754019789190591E-2</v>
      </c>
      <c r="AJ61" s="129">
        <f t="shared" si="27"/>
        <v>7.9606561697357595E-2</v>
      </c>
      <c r="AK61" s="129">
        <f t="shared" si="27"/>
        <v>8.0012541892559533E-2</v>
      </c>
      <c r="AL61" s="129">
        <f t="shared" si="27"/>
        <v>7.867553540629571E-2</v>
      </c>
      <c r="AM61" s="129">
        <f t="shared" si="27"/>
        <v>7.7325069104012017E-2</v>
      </c>
      <c r="AN61" s="129">
        <f t="shared" si="27"/>
        <v>7.9867115749883172E-2</v>
      </c>
      <c r="AP61" s="57">
        <f t="shared" si="5"/>
        <v>7.9943456881284208E-2</v>
      </c>
      <c r="AQ61" s="57">
        <f t="shared" si="6"/>
        <v>8.012897642387469E-2</v>
      </c>
      <c r="AR61" s="57">
        <f t="shared" si="7"/>
        <v>7.8299489318794185E-2</v>
      </c>
      <c r="AS61" s="57">
        <f t="shared" si="8"/>
        <v>7.7501565692280144E-2</v>
      </c>
      <c r="AT61" s="297">
        <f t="shared" si="9"/>
        <v>7.5848338422052283E-2</v>
      </c>
      <c r="AU61" s="55">
        <f t="shared" si="10"/>
        <v>7.3763596185345517E-2</v>
      </c>
      <c r="BE61" s="61" t="s">
        <v>550</v>
      </c>
      <c r="BF61" s="1" t="s">
        <v>314</v>
      </c>
      <c r="BG61" s="55">
        <f>100*AT61/SUM($AT$61:$AT62)</f>
        <v>2.5225061079940279</v>
      </c>
    </row>
    <row r="62" spans="1:59">
      <c r="A62" s="343" t="s">
        <v>480</v>
      </c>
      <c r="B62" s="343"/>
      <c r="C62" s="343"/>
      <c r="D62" s="31" t="s">
        <v>12</v>
      </c>
      <c r="E62" s="57">
        <f>(E53/(E55/100))*(E56/100)*(0.0416)*(E58)</f>
        <v>2.9922588626452993</v>
      </c>
      <c r="F62" s="57">
        <f t="shared" ref="F62:AN62" si="28">(F53/(F55/100))*(F56/100)*(0.0416)*(F58)</f>
        <v>2.8953126711830808</v>
      </c>
      <c r="G62" s="57">
        <f t="shared" si="28"/>
        <v>2.8127534167133006</v>
      </c>
      <c r="H62" s="57">
        <f t="shared" si="28"/>
        <v>2.9325978858007908</v>
      </c>
      <c r="I62" s="57">
        <f t="shared" si="28"/>
        <v>2.8505352434898588</v>
      </c>
      <c r="J62" s="57">
        <f t="shared" si="28"/>
        <v>2.8641414016270637</v>
      </c>
      <c r="K62" s="57">
        <f t="shared" si="28"/>
        <v>2.9452303180552355</v>
      </c>
      <c r="L62" s="57">
        <f t="shared" si="28"/>
        <v>2.8855782582316141</v>
      </c>
      <c r="M62" s="57">
        <f t="shared" si="28"/>
        <v>2.9403101224001271</v>
      </c>
      <c r="N62" s="57">
        <f t="shared" si="28"/>
        <v>2.9281143392484408</v>
      </c>
      <c r="O62" s="57">
        <f t="shared" si="28"/>
        <v>2.8946157384994304</v>
      </c>
      <c r="P62" s="57">
        <f t="shared" si="28"/>
        <v>2.9366084945651134</v>
      </c>
      <c r="Q62" s="57">
        <f t="shared" si="28"/>
        <v>2.9579481408301107</v>
      </c>
      <c r="R62" s="57">
        <f t="shared" si="28"/>
        <v>2.9156420169157276</v>
      </c>
      <c r="S62" s="57">
        <f t="shared" si="28"/>
        <v>2.9516647507740315</v>
      </c>
      <c r="T62" s="57">
        <f t="shared" si="28"/>
        <v>2.9785750021887374</v>
      </c>
      <c r="U62" s="57">
        <f t="shared" si="28"/>
        <v>2.9678554043973677</v>
      </c>
      <c r="V62" s="57">
        <f t="shared" si="28"/>
        <v>2.9494623864842229</v>
      </c>
      <c r="W62" s="57">
        <f t="shared" si="28"/>
        <v>2.9595898737772934</v>
      </c>
      <c r="X62" s="57">
        <f t="shared" si="28"/>
        <v>2.9627365702893655</v>
      </c>
      <c r="Y62" s="57">
        <f t="shared" si="28"/>
        <v>2.9130864613310843</v>
      </c>
      <c r="Z62" s="57">
        <f t="shared" si="28"/>
        <v>2.9238790451502581</v>
      </c>
      <c r="AA62" s="57">
        <f t="shared" si="28"/>
        <v>2.956082710714778</v>
      </c>
      <c r="AB62" s="57">
        <f t="shared" si="28"/>
        <v>2.9382210902030268</v>
      </c>
      <c r="AC62" s="57">
        <f t="shared" si="28"/>
        <v>2.9458548027407461</v>
      </c>
      <c r="AD62" s="57">
        <f t="shared" si="28"/>
        <v>2.9955683240885249</v>
      </c>
      <c r="AE62" s="57">
        <f t="shared" si="28"/>
        <v>2.9485412887460867</v>
      </c>
      <c r="AF62" s="57">
        <f t="shared" si="28"/>
        <v>2.9425211280431549</v>
      </c>
      <c r="AG62" s="57">
        <f t="shared" si="28"/>
        <v>2.989022114598705</v>
      </c>
      <c r="AH62" s="57">
        <f t="shared" si="28"/>
        <v>2.9723055414426631</v>
      </c>
      <c r="AI62" s="57">
        <f t="shared" si="28"/>
        <v>2.9275942015292116</v>
      </c>
      <c r="AJ62" s="125">
        <f t="shared" si="28"/>
        <v>3.0756365248533006</v>
      </c>
      <c r="AK62" s="125">
        <f t="shared" si="28"/>
        <v>2.9787175075203161</v>
      </c>
      <c r="AL62" s="125">
        <f t="shared" si="28"/>
        <v>3.0801101891682707</v>
      </c>
      <c r="AM62" s="125">
        <f t="shared" si="28"/>
        <v>3.0132844611906457</v>
      </c>
      <c r="AN62" s="125">
        <f t="shared" si="28"/>
        <v>3.0049964324916201</v>
      </c>
      <c r="AP62" s="57">
        <f t="shared" si="5"/>
        <v>2.896691615966466</v>
      </c>
      <c r="AQ62" s="57">
        <f t="shared" si="6"/>
        <v>2.9096650296769853</v>
      </c>
      <c r="AR62" s="57">
        <f t="shared" si="7"/>
        <v>2.9480876810547443</v>
      </c>
      <c r="AS62" s="57">
        <f t="shared" si="8"/>
        <v>2.9599110587370623</v>
      </c>
      <c r="AT62" s="297">
        <f t="shared" si="9"/>
        <v>2.9310160723987067</v>
      </c>
      <c r="AU62" s="55">
        <f t="shared" si="10"/>
        <v>2.9574535614240145</v>
      </c>
      <c r="BG62" s="55">
        <f>100*AT62/SUM($AT$61:$AT$62)</f>
        <v>97.477493892005967</v>
      </c>
    </row>
    <row r="63" spans="1:59">
      <c r="A63" s="343" t="s">
        <v>489</v>
      </c>
      <c r="B63" s="343"/>
      <c r="C63" s="343"/>
      <c r="D63" s="31" t="s">
        <v>12</v>
      </c>
      <c r="E63" s="57">
        <f>E62*E59/100</f>
        <v>2.5034175033782402</v>
      </c>
      <c r="F63" s="57">
        <f t="shared" ref="F63:AN63" si="29">F62*F59/100</f>
        <v>2.4222821110691983</v>
      </c>
      <c r="G63" s="57">
        <f t="shared" si="29"/>
        <v>2.3531985078057818</v>
      </c>
      <c r="H63" s="57">
        <f t="shared" si="29"/>
        <v>2.453767811066236</v>
      </c>
      <c r="I63" s="57">
        <f t="shared" si="29"/>
        <v>2.3850899725618682</v>
      </c>
      <c r="J63" s="57">
        <f t="shared" si="29"/>
        <v>2.3962343085933959</v>
      </c>
      <c r="K63" s="57">
        <f t="shared" si="29"/>
        <v>2.464042231108825</v>
      </c>
      <c r="L63" s="57">
        <f t="shared" si="29"/>
        <v>2.4142019026135988</v>
      </c>
      <c r="M63" s="57">
        <f t="shared" si="29"/>
        <v>2.4599105780153745</v>
      </c>
      <c r="N63" s="57">
        <f t="shared" si="29"/>
        <v>2.4496971742322642</v>
      </c>
      <c r="O63" s="57">
        <f t="shared" si="29"/>
        <v>2.4216641969548891</v>
      </c>
      <c r="P63" s="57">
        <f t="shared" si="29"/>
        <v>2.456123006350623</v>
      </c>
      <c r="Q63" s="57">
        <f t="shared" si="29"/>
        <v>2.473927434366189</v>
      </c>
      <c r="R63" s="57">
        <f t="shared" si="29"/>
        <v>2.4385044861473322</v>
      </c>
      <c r="S63" s="57">
        <f t="shared" si="29"/>
        <v>2.4685926786894439</v>
      </c>
      <c r="T63" s="57">
        <f t="shared" si="29"/>
        <v>2.4911479084041566</v>
      </c>
      <c r="U63" s="57">
        <f t="shared" si="29"/>
        <v>2.4805876752076599</v>
      </c>
      <c r="V63" s="57">
        <f t="shared" si="29"/>
        <v>2.4653597669081782</v>
      </c>
      <c r="W63" s="57">
        <f t="shared" si="29"/>
        <v>2.4737914762512876</v>
      </c>
      <c r="X63" s="57">
        <f t="shared" si="29"/>
        <v>2.4764762460576404</v>
      </c>
      <c r="Y63" s="57">
        <f t="shared" si="29"/>
        <v>2.4331068863973133</v>
      </c>
      <c r="Z63" s="57">
        <f t="shared" si="29"/>
        <v>2.4420873195477197</v>
      </c>
      <c r="AA63" s="57">
        <f t="shared" si="29"/>
        <v>2.4689076529475114</v>
      </c>
      <c r="AB63" s="57">
        <f t="shared" si="29"/>
        <v>2.4528875955978706</v>
      </c>
      <c r="AC63" s="57">
        <f t="shared" si="29"/>
        <v>2.459210869877352</v>
      </c>
      <c r="AD63" s="57">
        <f t="shared" si="29"/>
        <v>2.5007162185228493</v>
      </c>
      <c r="AE63" s="57">
        <f t="shared" si="29"/>
        <v>2.4613504359177458</v>
      </c>
      <c r="AF63" s="57">
        <f t="shared" si="29"/>
        <v>2.4563379019438729</v>
      </c>
      <c r="AG63" s="57">
        <f t="shared" si="29"/>
        <v>2.4950826152144798</v>
      </c>
      <c r="AH63" s="57">
        <f t="shared" si="29"/>
        <v>2.4810877131699924</v>
      </c>
      <c r="AI63" s="57">
        <f t="shared" si="29"/>
        <v>2.4435516319431172</v>
      </c>
      <c r="AJ63" s="125">
        <f t="shared" si="29"/>
        <v>2.573345913749129</v>
      </c>
      <c r="AK63" s="125">
        <f t="shared" si="29"/>
        <v>2.492502063809777</v>
      </c>
      <c r="AL63" s="125">
        <f t="shared" si="29"/>
        <v>2.5773297769228667</v>
      </c>
      <c r="AM63" s="125">
        <f t="shared" si="29"/>
        <v>2.5214451385953018</v>
      </c>
      <c r="AN63" s="125">
        <f t="shared" si="29"/>
        <v>2.5145050129366151</v>
      </c>
      <c r="AO63" s="57"/>
      <c r="AP63" s="57">
        <f t="shared" si="5"/>
        <v>2.4235511811762649</v>
      </c>
      <c r="AQ63" s="57">
        <f t="shared" si="6"/>
        <v>2.4342917319197248</v>
      </c>
      <c r="AR63" s="57">
        <f t="shared" si="7"/>
        <v>2.4656591027915491</v>
      </c>
      <c r="AS63" s="57">
        <f t="shared" si="8"/>
        <v>2.4740537911061913</v>
      </c>
      <c r="AT63" s="297">
        <f t="shared" si="9"/>
        <v>2.4480339529641815</v>
      </c>
      <c r="AU63" s="55">
        <f t="shared" si="10"/>
        <v>2.46877812277341</v>
      </c>
    </row>
    <row r="64" spans="1:59">
      <c r="A64" s="343" t="s">
        <v>490</v>
      </c>
      <c r="B64" s="343"/>
      <c r="C64" s="343"/>
      <c r="D64" s="31" t="s">
        <v>12</v>
      </c>
      <c r="E64" s="57">
        <f>E63/($E$2/100)</f>
        <v>2.9918359298889494</v>
      </c>
      <c r="F64" s="57">
        <f t="shared" ref="F64:AN64" si="30">F63/($E$2/100)</f>
        <v>2.8948709683640517</v>
      </c>
      <c r="G64" s="57">
        <f t="shared" si="30"/>
        <v>2.8123091079748956</v>
      </c>
      <c r="H64" s="57">
        <f t="shared" si="30"/>
        <v>2.9324995494543904</v>
      </c>
      <c r="I64" s="57">
        <f t="shared" si="30"/>
        <v>2.8504226187997141</v>
      </c>
      <c r="J64" s="57">
        <f t="shared" si="30"/>
        <v>2.8637412222323766</v>
      </c>
      <c r="K64" s="57">
        <f t="shared" si="30"/>
        <v>2.9447785157078052</v>
      </c>
      <c r="L64" s="57">
        <f t="shared" si="30"/>
        <v>2.8852143058433843</v>
      </c>
      <c r="M64" s="57">
        <f t="shared" si="30"/>
        <v>2.9398407743370023</v>
      </c>
      <c r="N64" s="57">
        <f t="shared" si="30"/>
        <v>2.9276347286560331</v>
      </c>
      <c r="O64" s="57">
        <f t="shared" si="30"/>
        <v>2.894132498793442</v>
      </c>
      <c r="P64" s="57">
        <f t="shared" si="30"/>
        <v>2.9353142449113907</v>
      </c>
      <c r="Q64" s="57">
        <f t="shared" si="30"/>
        <v>2.9565923287213063</v>
      </c>
      <c r="R64" s="57">
        <f t="shared" si="30"/>
        <v>2.9142583396520609</v>
      </c>
      <c r="S64" s="57">
        <f t="shared" si="30"/>
        <v>2.9502167586498631</v>
      </c>
      <c r="T64" s="57">
        <f t="shared" si="30"/>
        <v>2.9771725287426718</v>
      </c>
      <c r="U64" s="57">
        <f t="shared" si="30"/>
        <v>2.9645519869981767</v>
      </c>
      <c r="V64" s="57">
        <f t="shared" si="30"/>
        <v>2.9463531036213673</v>
      </c>
      <c r="W64" s="57">
        <f t="shared" si="30"/>
        <v>2.9564298450874045</v>
      </c>
      <c r="X64" s="57">
        <f t="shared" si="30"/>
        <v>2.9596384152756725</v>
      </c>
      <c r="Y64" s="57">
        <f t="shared" si="30"/>
        <v>2.9078076645866857</v>
      </c>
      <c r="Z64" s="57">
        <f t="shared" si="30"/>
        <v>2.9185401862412221</v>
      </c>
      <c r="AA64" s="57">
        <f t="shared" si="30"/>
        <v>2.9505931845959967</v>
      </c>
      <c r="AB64" s="57">
        <f t="shared" si="30"/>
        <v>2.9314476033604024</v>
      </c>
      <c r="AC64" s="57">
        <f t="shared" si="30"/>
        <v>2.9390045526740374</v>
      </c>
      <c r="AD64" s="57">
        <f t="shared" si="30"/>
        <v>2.9886076225545488</v>
      </c>
      <c r="AE64" s="57">
        <f t="shared" si="30"/>
        <v>2.9415615494775595</v>
      </c>
      <c r="AF64" s="57">
        <f t="shared" si="30"/>
        <v>2.9355710667783756</v>
      </c>
      <c r="AG64" s="57">
        <f t="shared" si="30"/>
        <v>2.9818748994790023</v>
      </c>
      <c r="AH64" s="57">
        <f t="shared" si="30"/>
        <v>2.9651495827008496</v>
      </c>
      <c r="AI64" s="57">
        <f t="shared" si="30"/>
        <v>2.9202901869627236</v>
      </c>
      <c r="AJ64" s="125">
        <f t="shared" si="30"/>
        <v>3.0754074198163464</v>
      </c>
      <c r="AK64" s="125">
        <f t="shared" si="30"/>
        <v>2.9787908807721362</v>
      </c>
      <c r="AL64" s="125">
        <f t="shared" si="30"/>
        <v>3.0801685373554171</v>
      </c>
      <c r="AM64" s="125">
        <f t="shared" si="30"/>
        <v>3.0133807687744141</v>
      </c>
      <c r="AN64" s="125">
        <f t="shared" si="30"/>
        <v>3.0050866199656023</v>
      </c>
      <c r="AP64" s="57">
        <f t="shared" si="5"/>
        <v>2.8963876348964002</v>
      </c>
      <c r="AQ64" s="57">
        <f t="shared" si="6"/>
        <v>2.9092236742616735</v>
      </c>
      <c r="AR64" s="57">
        <f t="shared" si="7"/>
        <v>2.9467108401354589</v>
      </c>
      <c r="AS64" s="57">
        <f t="shared" si="8"/>
        <v>2.9567433377456549</v>
      </c>
      <c r="AT64" s="297">
        <f t="shared" si="9"/>
        <v>2.925647011807968</v>
      </c>
      <c r="AU64" s="55">
        <f t="shared" si="10"/>
        <v>2.9504383829984375</v>
      </c>
    </row>
    <row r="65" spans="1:57">
      <c r="B65" s="61"/>
      <c r="C65" s="61" t="s">
        <v>491</v>
      </c>
      <c r="D65" s="31" t="s">
        <v>482</v>
      </c>
      <c r="E65" s="57">
        <f>(E56*E58)/(E54*2)</f>
        <v>36.928246678464873</v>
      </c>
      <c r="F65" s="57">
        <f t="shared" ref="F65:AN65" si="31">(F56*F58)/(F54*2)</f>
        <v>36.769311177669543</v>
      </c>
      <c r="G65" s="57">
        <f t="shared" si="31"/>
        <v>35.884976729034278</v>
      </c>
      <c r="H65" s="57">
        <f t="shared" si="31"/>
        <v>35.706568116767698</v>
      </c>
      <c r="I65" s="57">
        <f t="shared" si="31"/>
        <v>35.88617859578298</v>
      </c>
      <c r="J65" s="57">
        <f t="shared" si="31"/>
        <v>36.337944723212416</v>
      </c>
      <c r="K65" s="57">
        <f t="shared" si="31"/>
        <v>36.246475134803966</v>
      </c>
      <c r="L65" s="57">
        <f t="shared" si="31"/>
        <v>36.245875550712285</v>
      </c>
      <c r="M65" s="57">
        <f t="shared" si="31"/>
        <v>36.041476903933066</v>
      </c>
      <c r="N65" s="57">
        <f t="shared" si="31"/>
        <v>37.192705893645481</v>
      </c>
      <c r="O65" s="57">
        <f t="shared" si="31"/>
        <v>35.834228937167886</v>
      </c>
      <c r="P65" s="57">
        <f t="shared" si="31"/>
        <v>37.913943256544833</v>
      </c>
      <c r="Q65" s="57">
        <f t="shared" si="31"/>
        <v>37.754569388497416</v>
      </c>
      <c r="R65" s="57">
        <f t="shared" si="31"/>
        <v>36.708669744777168</v>
      </c>
      <c r="S65" s="57">
        <f t="shared" si="31"/>
        <v>38.910778616372539</v>
      </c>
      <c r="T65" s="57">
        <f t="shared" si="31"/>
        <v>37.041270527884556</v>
      </c>
      <c r="U65" s="57">
        <f t="shared" si="31"/>
        <v>38.788823705860892</v>
      </c>
      <c r="V65" s="57">
        <f t="shared" si="31"/>
        <v>37.879015299201534</v>
      </c>
      <c r="W65" s="57">
        <f t="shared" si="31"/>
        <v>37.876795894496432</v>
      </c>
      <c r="X65" s="57">
        <f t="shared" si="31"/>
        <v>38.233553911024757</v>
      </c>
      <c r="Y65" s="57">
        <f t="shared" si="31"/>
        <v>38.296565402611442</v>
      </c>
      <c r="Z65" s="57">
        <f t="shared" si="31"/>
        <v>38.453383078353134</v>
      </c>
      <c r="AA65" s="57">
        <f t="shared" si="31"/>
        <v>39.183765427143022</v>
      </c>
      <c r="AB65" s="57">
        <f t="shared" si="31"/>
        <v>40.735738287844214</v>
      </c>
      <c r="AC65" s="57">
        <f t="shared" si="31"/>
        <v>39.783311897956629</v>
      </c>
      <c r="AD65" s="57">
        <f t="shared" si="31"/>
        <v>39.732143024563051</v>
      </c>
      <c r="AE65" s="57">
        <f t="shared" si="31"/>
        <v>40.816747900821234</v>
      </c>
      <c r="AF65" s="57">
        <f t="shared" si="31"/>
        <v>39.407731284524417</v>
      </c>
      <c r="AG65" s="57">
        <f t="shared" si="31"/>
        <v>40.151967744466226</v>
      </c>
      <c r="AH65" s="57">
        <f t="shared" si="31"/>
        <v>39.931842657050339</v>
      </c>
      <c r="AI65" s="57">
        <f t="shared" si="31"/>
        <v>40.239621260957158</v>
      </c>
      <c r="AJ65" s="125">
        <f t="shared" si="31"/>
        <v>38.635464957600242</v>
      </c>
      <c r="AK65" s="125">
        <f t="shared" si="31"/>
        <v>37.228132453536148</v>
      </c>
      <c r="AL65" s="125">
        <f t="shared" si="31"/>
        <v>39.149529434556555</v>
      </c>
      <c r="AM65" s="125">
        <f t="shared" si="31"/>
        <v>38.969049702851173</v>
      </c>
      <c r="AN65" s="125">
        <f t="shared" si="31"/>
        <v>37.624952451046987</v>
      </c>
      <c r="AP65" s="57">
        <f t="shared" si="5"/>
        <v>36.235056259543867</v>
      </c>
      <c r="AQ65" s="57">
        <f t="shared" si="6"/>
        <v>36.316451190579187</v>
      </c>
      <c r="AR65" s="57">
        <f t="shared" si="7"/>
        <v>37.665846306815304</v>
      </c>
      <c r="AS65" s="57">
        <f t="shared" si="8"/>
        <v>38.194547202645907</v>
      </c>
      <c r="AT65" s="297">
        <f t="shared" si="9"/>
        <v>38.644571302702531</v>
      </c>
      <c r="AU65" s="55">
        <f t="shared" si="10"/>
        <v>40.099888007272909</v>
      </c>
      <c r="AW65" s="1" t="s">
        <v>511</v>
      </c>
      <c r="AX65" s="57">
        <f>_xlfn.STDEV.S(E65:AN65)</f>
        <v>1.5231065201491738</v>
      </c>
      <c r="AY65" s="1" t="s">
        <v>512</v>
      </c>
    </row>
    <row r="66" spans="1:57" s="74" customFormat="1">
      <c r="A66" s="76"/>
      <c r="B66" s="76"/>
      <c r="C66" s="76" t="s">
        <v>256</v>
      </c>
      <c r="D66" s="81" t="s">
        <v>112</v>
      </c>
      <c r="E66" s="73" cm="1">
        <f t="array" ref="E66:AN66">TRANSPOSE(_xlfn._xlws.FILTER('Raw Data'!AO3:AO305,('Raw Data'!C3:C305=2)*('Raw Data'!AO3:AO305&lt;&gt;"")))</f>
        <v>26.527402878</v>
      </c>
      <c r="F66" s="73">
        <v>26.479305267000001</v>
      </c>
      <c r="G66" s="73">
        <v>26.507112502999998</v>
      </c>
      <c r="H66" s="73">
        <v>25.509984970000001</v>
      </c>
      <c r="I66" s="73">
        <v>25.516700745000001</v>
      </c>
      <c r="J66" s="73">
        <v>27.669635773</v>
      </c>
      <c r="K66" s="73">
        <v>27.899488449</v>
      </c>
      <c r="L66" s="73">
        <v>27.368394852000002</v>
      </c>
      <c r="M66" s="73">
        <v>27.925638199000002</v>
      </c>
      <c r="N66" s="73">
        <v>27.919355393</v>
      </c>
      <c r="O66" s="73">
        <v>28.006925583000001</v>
      </c>
      <c r="P66" s="73">
        <v>33.344566344999997</v>
      </c>
      <c r="Q66" s="73">
        <v>33.391117096000002</v>
      </c>
      <c r="R66" s="73">
        <v>33.571178435999997</v>
      </c>
      <c r="S66" s="73">
        <v>33.606132506999998</v>
      </c>
      <c r="T66" s="73">
        <v>33.656051636000001</v>
      </c>
      <c r="U66" s="73">
        <v>44.554882050000003</v>
      </c>
      <c r="V66" s="73">
        <v>43.777439117</v>
      </c>
      <c r="W66" s="73">
        <v>43.841197968000003</v>
      </c>
      <c r="X66" s="73">
        <v>44.011745453000003</v>
      </c>
      <c r="Y66" s="73">
        <v>57.362098693999997</v>
      </c>
      <c r="Z66" s="73">
        <v>57.35226059</v>
      </c>
      <c r="AA66" s="73">
        <v>57.704231262</v>
      </c>
      <c r="AB66" s="73">
        <v>64.451637267999999</v>
      </c>
      <c r="AC66" s="73">
        <v>64.311019897999998</v>
      </c>
      <c r="AD66" s="73">
        <v>64.008056640999996</v>
      </c>
      <c r="AE66" s="73">
        <v>64.429634093999994</v>
      </c>
      <c r="AF66" s="73">
        <v>64.064941406000003</v>
      </c>
      <c r="AG66" s="73">
        <v>64.400054932000003</v>
      </c>
      <c r="AH66" s="73">
        <v>64.435798645000006</v>
      </c>
      <c r="AI66" s="73">
        <v>64.551506042</v>
      </c>
      <c r="AJ66" s="130">
        <v>23.949588775999999</v>
      </c>
      <c r="AK66" s="130">
        <v>24.011133193999999</v>
      </c>
      <c r="AL66" s="130">
        <v>24.038282393999999</v>
      </c>
      <c r="AM66" s="130">
        <v>24.029001235999999</v>
      </c>
      <c r="AN66" s="130">
        <v>24.048669815</v>
      </c>
      <c r="AO66" s="73"/>
      <c r="AP66" s="57">
        <f t="shared" ref="AP66" si="32">AVERAGE(E66:I66)</f>
        <v>26.108101272600003</v>
      </c>
      <c r="AQ66" s="57">
        <f>AVERAGE(J66:O66)</f>
        <v>27.798239708166665</v>
      </c>
      <c r="AR66" s="57">
        <f>AVERAGE(P66:T66)</f>
        <v>33.513809203999998</v>
      </c>
      <c r="AS66" s="57">
        <f>AVERAGE(U66:X66)</f>
        <v>44.046316146999999</v>
      </c>
      <c r="AT66" s="297">
        <f>AVERAGE(Y66:AA66)</f>
        <v>57.47286351533333</v>
      </c>
      <c r="AU66" s="55">
        <f>AVERAGE(AB66:AI66)</f>
        <v>64.331581115749998</v>
      </c>
      <c r="BE66" s="76"/>
    </row>
    <row r="67" spans="1:57" s="137" customFormat="1">
      <c r="A67" s="135"/>
      <c r="B67" s="135"/>
      <c r="C67" s="135"/>
      <c r="D67" s="136"/>
      <c r="E67" s="138"/>
      <c r="F67" s="136"/>
      <c r="G67" s="136"/>
      <c r="H67" s="136"/>
      <c r="I67" s="136"/>
      <c r="J67" s="136"/>
      <c r="K67" s="136"/>
      <c r="AJ67" s="136"/>
      <c r="AK67" s="136"/>
      <c r="AL67" s="136"/>
      <c r="AM67" s="136"/>
      <c r="AN67" s="136"/>
      <c r="AO67" s="136"/>
      <c r="AP67" s="136"/>
      <c r="AQ67" s="136"/>
      <c r="AR67" s="136"/>
      <c r="AS67" s="136"/>
      <c r="AT67" s="283"/>
      <c r="BE67" s="135"/>
    </row>
    <row r="68" spans="1:57">
      <c r="A68" s="61" t="s">
        <v>264</v>
      </c>
      <c r="B68" s="31">
        <v>3</v>
      </c>
      <c r="C68" s="61" t="s">
        <v>461</v>
      </c>
      <c r="D68" s="31" t="s">
        <v>314</v>
      </c>
      <c r="E68" s="34" cm="1">
        <f t="array" ref="E68:AN68">TRANSPOSE(_xlfn._xlws.FILTER('Raw Data'!DQ3:DQ307,('Raw Data'!C3:C307=2)*('Raw Data'!DQ3:DQ307&lt;&gt;"")))</f>
        <v>3.6790255500000001E-2</v>
      </c>
      <c r="F68" s="34">
        <v>3.6720771300000003E-2</v>
      </c>
      <c r="G68" s="34">
        <v>3.9326604500000001E-2</v>
      </c>
      <c r="H68" s="34">
        <v>4.0113952000000001E-2</v>
      </c>
      <c r="I68" s="34">
        <v>4.3037023399999999E-2</v>
      </c>
      <c r="J68" s="34">
        <v>0.1387119144</v>
      </c>
      <c r="K68" s="34">
        <v>0.14797064660000001</v>
      </c>
      <c r="L68" s="34">
        <v>0.1179234087</v>
      </c>
      <c r="M68" s="34">
        <v>0.1525050402</v>
      </c>
      <c r="N68" s="34">
        <v>0.15919302399999999</v>
      </c>
      <c r="O68" s="34">
        <v>0.1680305302</v>
      </c>
      <c r="P68" s="34">
        <v>0.48078379030000001</v>
      </c>
      <c r="Q68" s="34">
        <v>0.49635091419999999</v>
      </c>
      <c r="R68" s="34">
        <v>0.51999622580000004</v>
      </c>
      <c r="S68" s="34">
        <v>0.54493480920000004</v>
      </c>
      <c r="T68" s="34">
        <v>0.56166791920000003</v>
      </c>
      <c r="U68" s="34">
        <v>1.4449121951999999</v>
      </c>
      <c r="V68" s="34">
        <v>1.3352319001999999</v>
      </c>
      <c r="W68" s="34">
        <v>1.3566707373</v>
      </c>
      <c r="X68" s="34">
        <v>1.3864139317999999</v>
      </c>
      <c r="Y68" s="34">
        <v>2.5819909572999999</v>
      </c>
      <c r="Z68" s="57">
        <v>2.6000614166</v>
      </c>
      <c r="AA68" s="34">
        <v>2.6549112796999998</v>
      </c>
      <c r="AB68" s="34">
        <v>3.4359898567</v>
      </c>
      <c r="AC68" s="34">
        <v>3.4615328312</v>
      </c>
      <c r="AD68" s="34">
        <v>3.4611017704</v>
      </c>
      <c r="AE68" s="34">
        <v>3.5268859862999999</v>
      </c>
      <c r="AF68" s="34">
        <v>3.5155847072999999</v>
      </c>
      <c r="AG68" s="34">
        <v>3.5702276230000001</v>
      </c>
      <c r="AH68" s="34">
        <v>3.5948340892999999</v>
      </c>
      <c r="AI68" s="34">
        <v>3.6291167735999998</v>
      </c>
      <c r="AJ68" s="128">
        <v>2.4301165000000001E-3</v>
      </c>
      <c r="AK68" s="128">
        <v>2.5610785999999998E-3</v>
      </c>
      <c r="AL68" s="128">
        <v>2.4046048000000001E-3</v>
      </c>
      <c r="AM68" s="128">
        <v>5.3097726999999997E-3</v>
      </c>
      <c r="AN68" s="128">
        <v>5.3771486999999998E-3</v>
      </c>
      <c r="AP68" s="57">
        <f t="shared" ref="AP68:AP72" si="33">AVERAGE(E68:I68)</f>
        <v>3.9197721340000005E-2</v>
      </c>
      <c r="AQ68" s="57">
        <f>AVERAGE(J68:O68)</f>
        <v>0.14738909401666669</v>
      </c>
      <c r="AR68" s="57">
        <f>AVERAGE(P68:T68)</f>
        <v>0.52074673173999997</v>
      </c>
      <c r="AS68" s="57">
        <f>AVERAGE(U68:X68)</f>
        <v>1.3808071911249999</v>
      </c>
      <c r="AT68" s="297">
        <f>AVERAGE(Y68:AA68)</f>
        <v>2.6123212178666666</v>
      </c>
      <c r="AU68" s="55">
        <f>AVERAGE(AB68:AI68)</f>
        <v>3.524409204725</v>
      </c>
    </row>
    <row r="69" spans="1:57">
      <c r="A69" s="66" t="s">
        <v>265</v>
      </c>
      <c r="B69" s="31">
        <v>4</v>
      </c>
      <c r="C69" s="61" t="s">
        <v>462</v>
      </c>
      <c r="D69" s="31" t="s">
        <v>314</v>
      </c>
      <c r="E69" s="34" cm="1">
        <f t="array" ref="E69:AN69">TRANSPOSE(_xlfn._xlws.FILTER('Raw Data'!DR3:DR308,('Raw Data'!C3:C308=2)*('Raw Data'!DR3:DR308&lt;&gt;"")))</f>
        <v>0.14667509500000001</v>
      </c>
      <c r="F69" s="34">
        <v>0.1214566678</v>
      </c>
      <c r="G69" s="34">
        <v>0.12785518169999999</v>
      </c>
      <c r="H69" s="34">
        <v>0.13570602239999999</v>
      </c>
      <c r="I69" s="34">
        <v>0.1440516859</v>
      </c>
      <c r="J69" s="34">
        <v>0.42408144469999998</v>
      </c>
      <c r="K69" s="34">
        <v>0.452072531</v>
      </c>
      <c r="L69" s="34">
        <v>0.36110058430000003</v>
      </c>
      <c r="M69" s="34">
        <v>0.46158218379999999</v>
      </c>
      <c r="N69" s="34">
        <v>0.48236408829999999</v>
      </c>
      <c r="O69" s="34">
        <v>0.50515532490000004</v>
      </c>
      <c r="P69" s="34">
        <v>1.2889010906</v>
      </c>
      <c r="Q69" s="34">
        <v>1.3251708745999999</v>
      </c>
      <c r="R69" s="34">
        <v>1.3793183565</v>
      </c>
      <c r="S69" s="34">
        <v>1.4442844391</v>
      </c>
      <c r="T69" s="34">
        <v>1.4825376271999999</v>
      </c>
      <c r="U69" s="34">
        <v>3.2546679973999999</v>
      </c>
      <c r="V69" s="34">
        <v>3.0653221607000001</v>
      </c>
      <c r="W69" s="34">
        <v>3.1063721179999999</v>
      </c>
      <c r="X69" s="34">
        <v>3.1637125015000001</v>
      </c>
      <c r="Y69" s="34">
        <v>5.1396946906999998</v>
      </c>
      <c r="Z69" s="57">
        <v>5.1679344176999997</v>
      </c>
      <c r="AA69" s="34">
        <v>5.2568793297000003</v>
      </c>
      <c r="AB69" s="34">
        <v>6.5323739052000001</v>
      </c>
      <c r="AC69" s="34">
        <v>6.6157360076999998</v>
      </c>
      <c r="AD69" s="34">
        <v>6.6090302466999997</v>
      </c>
      <c r="AE69" s="34">
        <v>6.7607889175000002</v>
      </c>
      <c r="AF69" s="34">
        <v>6.7495431899999998</v>
      </c>
      <c r="AG69" s="34">
        <v>6.8225851059</v>
      </c>
      <c r="AH69" s="34">
        <v>6.8931765556000002</v>
      </c>
      <c r="AI69" s="34">
        <v>6.9434962272999998</v>
      </c>
      <c r="AJ69" s="128">
        <v>8.1899435999999992E-3</v>
      </c>
      <c r="AK69" s="128">
        <v>9.8764626000000001E-3</v>
      </c>
      <c r="AL69" s="128">
        <v>9.9726245000000008E-3</v>
      </c>
      <c r="AM69" s="128">
        <v>2.1796036500000001E-2</v>
      </c>
      <c r="AN69" s="128">
        <v>2.1943567300000001E-2</v>
      </c>
      <c r="AP69" s="57">
        <f t="shared" si="33"/>
        <v>0.13514893055999999</v>
      </c>
      <c r="AQ69" s="57">
        <f t="shared" ref="AQ69:AQ73" si="34">AVERAGE(J69:O69)</f>
        <v>0.44772602616666668</v>
      </c>
      <c r="AR69" s="57">
        <f t="shared" ref="AR69:AR73" si="35">AVERAGE(P69:T69)</f>
        <v>1.3840424776</v>
      </c>
      <c r="AS69" s="57">
        <f t="shared" ref="AS69:AS73" si="36">AVERAGE(U69:X69)</f>
        <v>3.1475186943999995</v>
      </c>
      <c r="AT69" s="297">
        <f t="shared" ref="AT69:AT73" si="37">AVERAGE(Y69:AA69)</f>
        <v>5.1881694793666666</v>
      </c>
      <c r="AU69" s="55">
        <f>AVERAGE(AB69:AI69)</f>
        <v>6.7408412694874995</v>
      </c>
    </row>
    <row r="70" spans="1:57">
      <c r="A70" s="66" t="s">
        <v>266</v>
      </c>
      <c r="B70" s="31">
        <v>4</v>
      </c>
      <c r="C70" s="61" t="s">
        <v>461</v>
      </c>
      <c r="D70" s="31" t="s">
        <v>314</v>
      </c>
      <c r="E70" s="34" cm="1">
        <f t="array" ref="E70:AN70">TRANSPOSE(_xlfn._xlws.FILTER('Raw Data'!DS3:DS309,('Raw Data'!C3:C309=2)*('Raw Data'!DS3:DS309&lt;&gt;"")))</f>
        <v>4.5845139799999997E-2</v>
      </c>
      <c r="F70" s="34">
        <v>2.4191431699999998E-2</v>
      </c>
      <c r="G70" s="34">
        <v>2.5150265500000001E-2</v>
      </c>
      <c r="H70" s="34">
        <v>2.66795438E-2</v>
      </c>
      <c r="I70" s="34">
        <v>2.7778673899999998E-2</v>
      </c>
      <c r="J70" s="34">
        <v>8.46948847E-2</v>
      </c>
      <c r="K70" s="34">
        <v>9.0447172500000006E-2</v>
      </c>
      <c r="L70" s="34">
        <v>7.2667270899999997E-2</v>
      </c>
      <c r="M70" s="34">
        <v>9.2349462199999996E-2</v>
      </c>
      <c r="N70" s="34">
        <v>9.4808198499999996E-2</v>
      </c>
      <c r="O70" s="34">
        <v>9.9682793000000006E-2</v>
      </c>
      <c r="P70" s="34">
        <v>0.2563919127</v>
      </c>
      <c r="Q70" s="34">
        <v>0.26106405259999999</v>
      </c>
      <c r="R70" s="34">
        <v>0.27067315580000001</v>
      </c>
      <c r="S70" s="34">
        <v>0.28070932630000001</v>
      </c>
      <c r="T70" s="34">
        <v>0.28817844390000003</v>
      </c>
      <c r="U70" s="34">
        <v>0.58642417189999996</v>
      </c>
      <c r="V70" s="34">
        <v>0.56172275540000005</v>
      </c>
      <c r="W70" s="34">
        <v>0.56765276190000002</v>
      </c>
      <c r="X70" s="34">
        <v>0.57030355929999998</v>
      </c>
      <c r="Y70" s="34">
        <v>0.81008303169999996</v>
      </c>
      <c r="Z70" s="57">
        <v>0.8135865927</v>
      </c>
      <c r="AA70" s="34">
        <v>0.82197344299999997</v>
      </c>
      <c r="AB70" s="34">
        <v>0.92090201380000003</v>
      </c>
      <c r="AC70" s="34">
        <v>0.92772668599999997</v>
      </c>
      <c r="AD70" s="34">
        <v>0.9235896468</v>
      </c>
      <c r="AE70" s="34">
        <v>0.93732500080000003</v>
      </c>
      <c r="AF70" s="34">
        <v>0.94009685519999997</v>
      </c>
      <c r="AG70" s="34">
        <v>0.93915969129999999</v>
      </c>
      <c r="AH70" s="34">
        <v>0.95125329489999999</v>
      </c>
      <c r="AI70" s="34">
        <v>0.95131528379999997</v>
      </c>
      <c r="AJ70" s="128">
        <v>1.4188708000000001E-3</v>
      </c>
      <c r="AK70" s="128">
        <v>1.5626367999999999E-3</v>
      </c>
      <c r="AL70" s="128">
        <v>1.4816088E-3</v>
      </c>
      <c r="AM70" s="128">
        <v>3.6723319999999999E-3</v>
      </c>
      <c r="AN70" s="128">
        <v>3.8871714000000002E-3</v>
      </c>
      <c r="AP70" s="57">
        <f t="shared" si="33"/>
        <v>2.992901094E-2</v>
      </c>
      <c r="AQ70" s="57">
        <f t="shared" si="34"/>
        <v>8.9108296966666667E-2</v>
      </c>
      <c r="AR70" s="57">
        <f t="shared" si="35"/>
        <v>0.27140337825999994</v>
      </c>
      <c r="AS70" s="57">
        <f t="shared" si="36"/>
        <v>0.57152581212499998</v>
      </c>
      <c r="AT70" s="297">
        <f t="shared" si="37"/>
        <v>0.8152143557999999</v>
      </c>
      <c r="AU70" s="55">
        <f>AVERAGE(AB70:AI70)</f>
        <v>0.93642105907499984</v>
      </c>
    </row>
    <row r="71" spans="1:57">
      <c r="A71" s="66" t="s">
        <v>267</v>
      </c>
      <c r="B71" s="31">
        <v>5</v>
      </c>
      <c r="C71" s="61" t="s">
        <v>462</v>
      </c>
      <c r="D71" s="31" t="s">
        <v>314</v>
      </c>
      <c r="E71" s="34" cm="1">
        <f t="array" ref="E71:AN71">TRANSPOSE(_xlfn._xlws.FILTER('Raw Data'!DT3:DT310,('Raw Data'!C3:C310=2)*('Raw Data'!DT3:DT310&lt;&gt;"")))</f>
        <v>0.11675029990000001</v>
      </c>
      <c r="F71" s="34">
        <v>4.84541915E-2</v>
      </c>
      <c r="G71" s="34">
        <v>4.8009794199999997E-2</v>
      </c>
      <c r="H71" s="34">
        <v>3.7617389100000002E-2</v>
      </c>
      <c r="I71" s="34">
        <v>3.95961627E-2</v>
      </c>
      <c r="J71" s="34">
        <v>0.1133873686</v>
      </c>
      <c r="K71" s="34">
        <v>0.120335497</v>
      </c>
      <c r="L71" s="34">
        <v>9.7179673600000002E-2</v>
      </c>
      <c r="M71" s="34">
        <v>0.1218809932</v>
      </c>
      <c r="N71" s="34">
        <v>0.1270971447</v>
      </c>
      <c r="O71" s="34">
        <v>0.1314810216</v>
      </c>
      <c r="P71" s="34">
        <v>0.32418775560000002</v>
      </c>
      <c r="Q71" s="34">
        <v>0.33180981869999998</v>
      </c>
      <c r="R71" s="34">
        <v>0.34390184280000002</v>
      </c>
      <c r="S71" s="34">
        <v>0.35709264870000001</v>
      </c>
      <c r="T71" s="34">
        <v>0.36558660859999997</v>
      </c>
      <c r="U71" s="34">
        <v>0.72877770659999996</v>
      </c>
      <c r="V71" s="34">
        <v>0.6922584772</v>
      </c>
      <c r="W71" s="34">
        <v>0.69715207820000002</v>
      </c>
      <c r="X71" s="34">
        <v>0.7102311254</v>
      </c>
      <c r="Y71" s="34">
        <v>0.99464607240000003</v>
      </c>
      <c r="Z71" s="57">
        <v>0.99540907140000001</v>
      </c>
      <c r="AA71" s="34">
        <v>1.003898859</v>
      </c>
      <c r="AB71" s="34">
        <v>1.1721924543</v>
      </c>
      <c r="AC71" s="34">
        <v>1.2080360650999999</v>
      </c>
      <c r="AD71" s="34">
        <v>1.2110785246</v>
      </c>
      <c r="AE71" s="34">
        <v>1.2549588679999999</v>
      </c>
      <c r="AF71" s="34">
        <v>1.2542921305000001</v>
      </c>
      <c r="AG71" s="34">
        <v>1.2589330673000001</v>
      </c>
      <c r="AH71" s="34">
        <v>1.2831172943</v>
      </c>
      <c r="AI71" s="34">
        <v>1.295637846</v>
      </c>
      <c r="AJ71" s="128">
        <v>2.5999899999999999E-3</v>
      </c>
      <c r="AK71" s="128">
        <v>3.1070697999999999E-3</v>
      </c>
      <c r="AL71" s="128">
        <v>3.2022709E-3</v>
      </c>
      <c r="AM71" s="128">
        <v>6.0705467999999999E-3</v>
      </c>
      <c r="AN71" s="128">
        <v>6.0324584999999998E-3</v>
      </c>
      <c r="AP71" s="57">
        <f t="shared" si="33"/>
        <v>5.8085567480000003E-2</v>
      </c>
      <c r="AQ71" s="57">
        <f t="shared" si="34"/>
        <v>0.11856028311666666</v>
      </c>
      <c r="AR71" s="57">
        <f t="shared" si="35"/>
        <v>0.34451573487999998</v>
      </c>
      <c r="AS71" s="57">
        <f t="shared" si="36"/>
        <v>0.70710484685000008</v>
      </c>
      <c r="AT71" s="297">
        <f t="shared" si="37"/>
        <v>0.99798466759999993</v>
      </c>
      <c r="AU71" s="55">
        <f>AVERAGE(AB71:AI71)</f>
        <v>1.2422807812624999</v>
      </c>
    </row>
    <row r="72" spans="1:57">
      <c r="A72" s="66" t="s">
        <v>268</v>
      </c>
      <c r="B72" s="31">
        <v>5</v>
      </c>
      <c r="C72" s="61" t="s">
        <v>461</v>
      </c>
      <c r="D72" s="31" t="s">
        <v>314</v>
      </c>
      <c r="E72" s="34" cm="1">
        <f t="array" ref="E72:AN72">TRANSPOSE(_xlfn._xlws.FILTER('Raw Data'!DU3:DU311,('Raw Data'!C3:C311=2)*('Raw Data'!DU3:DU311&lt;&gt;"")))</f>
        <v>6.4392529399999995E-2</v>
      </c>
      <c r="F72" s="34">
        <v>1.14467992E-2</v>
      </c>
      <c r="G72" s="34">
        <v>9.8508568000000001E-3</v>
      </c>
      <c r="H72" s="34">
        <v>3.3779715000000002E-3</v>
      </c>
      <c r="I72" s="34">
        <v>3.0911431999999998E-3</v>
      </c>
      <c r="J72" s="34">
        <v>8.0873956999999996E-3</v>
      </c>
      <c r="K72" s="34">
        <v>8.2674567000000001E-3</v>
      </c>
      <c r="L72" s="34">
        <v>7.6922756000000004E-3</v>
      </c>
      <c r="M72" s="34">
        <v>8.7552768999999992E-3</v>
      </c>
      <c r="N72" s="34">
        <v>9.1130175000000008E-3</v>
      </c>
      <c r="O72" s="34">
        <v>9.5804128999999998E-3</v>
      </c>
      <c r="P72" s="34">
        <v>2.7810040899999999E-2</v>
      </c>
      <c r="Q72" s="34">
        <v>2.8732731899999999E-2</v>
      </c>
      <c r="R72" s="34">
        <v>3.0600147300000002E-2</v>
      </c>
      <c r="S72" s="34">
        <v>3.2564785300000003E-2</v>
      </c>
      <c r="T72" s="34">
        <v>3.4074384700000002E-2</v>
      </c>
      <c r="U72" s="34">
        <v>0.10146796700000001</v>
      </c>
      <c r="V72" s="34">
        <v>8.8960006800000005E-2</v>
      </c>
      <c r="W72" s="34">
        <v>9.1130763300000001E-2</v>
      </c>
      <c r="X72" s="34">
        <v>9.4183124600000001E-2</v>
      </c>
      <c r="Y72" s="34">
        <v>0.19975827630000001</v>
      </c>
      <c r="Z72" s="57">
        <v>0.20139423009999999</v>
      </c>
      <c r="AA72" s="34">
        <v>0.2049378157</v>
      </c>
      <c r="AB72" s="34">
        <v>0.28521949050000001</v>
      </c>
      <c r="AC72" s="34">
        <v>0.29694640639999997</v>
      </c>
      <c r="AD72" s="34">
        <v>0.2983091772</v>
      </c>
      <c r="AE72" s="34">
        <v>0.313595295</v>
      </c>
      <c r="AF72" s="34">
        <v>0.31281045079999997</v>
      </c>
      <c r="AG72" s="34">
        <v>0.31902647020000002</v>
      </c>
      <c r="AH72" s="34">
        <v>0.32556971909999999</v>
      </c>
      <c r="AI72" s="34">
        <v>0.33151859049999999</v>
      </c>
      <c r="AJ72" s="128">
        <v>7.6554719999999995E-4</v>
      </c>
      <c r="AK72" s="128">
        <v>4.9288190000000001E-4</v>
      </c>
      <c r="AL72" s="128">
        <v>4.8476049999999999E-4</v>
      </c>
      <c r="AM72" s="128">
        <v>7.5230149999999999E-4</v>
      </c>
      <c r="AN72" s="128">
        <v>6.4298700000000003E-4</v>
      </c>
      <c r="AP72" s="57">
        <f t="shared" si="33"/>
        <v>1.8431860019999999E-2</v>
      </c>
      <c r="AQ72" s="57">
        <f t="shared" si="34"/>
        <v>8.5826392166666668E-3</v>
      </c>
      <c r="AR72" s="57">
        <f t="shared" si="35"/>
        <v>3.0756418019999999E-2</v>
      </c>
      <c r="AS72" s="57">
        <f t="shared" si="36"/>
        <v>9.3935465425000003E-2</v>
      </c>
      <c r="AT72" s="297">
        <f t="shared" si="37"/>
        <v>0.20203010736666668</v>
      </c>
      <c r="AU72" s="55">
        <f>AVERAGE(AB72:AI72)</f>
        <v>0.31037444996250002</v>
      </c>
    </row>
    <row r="73" spans="1:57">
      <c r="A73" s="66" t="s">
        <v>269</v>
      </c>
      <c r="B73" s="31">
        <v>6</v>
      </c>
      <c r="C73" s="61" t="s">
        <v>462</v>
      </c>
      <c r="D73" s="31" t="s">
        <v>314</v>
      </c>
      <c r="E73" s="34" cm="1">
        <f t="array" ref="E73:AN73">TRANSPOSE(_xlfn._xlws.FILTER('Raw Data'!DV3:DV312,('Raw Data'!C3:C312=2)*('Raw Data'!DV3:DV312&lt;&gt;"")))</f>
        <v>2.8997583300000001E-2</v>
      </c>
      <c r="F73" s="34">
        <v>3.0724382000000001E-2</v>
      </c>
      <c r="G73" s="34">
        <v>3.2111879400000001E-2</v>
      </c>
      <c r="H73" s="34">
        <v>2.8703737999999999E-2</v>
      </c>
      <c r="I73" s="34">
        <v>2.9449155599999999E-2</v>
      </c>
      <c r="J73" s="34">
        <v>8.5358955E-2</v>
      </c>
      <c r="K73" s="34">
        <v>8.9874088800000002E-2</v>
      </c>
      <c r="L73" s="34">
        <v>7.4454441699999999E-2</v>
      </c>
      <c r="M73" s="34">
        <v>9.2335671199999997E-2</v>
      </c>
      <c r="N73" s="34">
        <v>9.43770409E-2</v>
      </c>
      <c r="O73" s="34">
        <v>9.7580105099999995E-2</v>
      </c>
      <c r="P73" s="34">
        <v>0.27887332440000001</v>
      </c>
      <c r="Q73" s="34">
        <v>0.28425392510000003</v>
      </c>
      <c r="R73" s="34">
        <v>0.29523631929999999</v>
      </c>
      <c r="S73" s="34">
        <v>0.30416819449999999</v>
      </c>
      <c r="T73" s="34">
        <v>0.30533748869999999</v>
      </c>
      <c r="U73" s="34">
        <v>0.92172896859999998</v>
      </c>
      <c r="V73" s="34">
        <v>0.82651489970000003</v>
      </c>
      <c r="W73" s="34">
        <v>0.83497023579999996</v>
      </c>
      <c r="X73" s="34">
        <v>0.84950691460000005</v>
      </c>
      <c r="Y73" s="34">
        <v>2.0517063141</v>
      </c>
      <c r="Z73" s="57">
        <v>2.0453515053000002</v>
      </c>
      <c r="AA73" s="34">
        <v>2.0894160271</v>
      </c>
      <c r="AB73" s="34">
        <v>3.0954892635000002</v>
      </c>
      <c r="AC73" s="34">
        <v>3.038351059</v>
      </c>
      <c r="AD73" s="34">
        <v>2.9694013596</v>
      </c>
      <c r="AE73" s="34">
        <v>3.0341842175</v>
      </c>
      <c r="AF73" s="34">
        <v>2.9542510509</v>
      </c>
      <c r="AG73" s="34">
        <v>3.0077655315</v>
      </c>
      <c r="AH73" s="34">
        <v>3.0057525635000002</v>
      </c>
      <c r="AI73" s="34">
        <v>3.0212888717999999</v>
      </c>
      <c r="AJ73" s="128">
        <v>1.7752171E-3</v>
      </c>
      <c r="AK73" s="128">
        <v>1.825482E-3</v>
      </c>
      <c r="AL73" s="128">
        <v>1.650166E-3</v>
      </c>
      <c r="AM73" s="128">
        <v>3.1447983E-3</v>
      </c>
      <c r="AN73" s="128">
        <v>3.0869283000000002E-3</v>
      </c>
      <c r="AP73" s="57">
        <f t="shared" ref="AP73:AP86" si="38">AVERAGE(E73:I73)</f>
        <v>2.999734766E-2</v>
      </c>
      <c r="AQ73" s="57">
        <f t="shared" si="34"/>
        <v>8.8996717116666665E-2</v>
      </c>
      <c r="AR73" s="57">
        <f t="shared" si="35"/>
        <v>0.2935738504</v>
      </c>
      <c r="AS73" s="57">
        <f t="shared" si="36"/>
        <v>0.85818025467499992</v>
      </c>
      <c r="AT73" s="297">
        <f t="shared" si="37"/>
        <v>2.0621579488333333</v>
      </c>
      <c r="AU73" s="55">
        <f t="shared" ref="AU73:AU86" si="39">AVERAGE(AB73:AI73)</f>
        <v>3.0158104896625</v>
      </c>
    </row>
    <row r="74" spans="1:57">
      <c r="A74" s="66" t="s">
        <v>270</v>
      </c>
      <c r="B74" s="31">
        <v>6</v>
      </c>
      <c r="C74" s="61" t="s">
        <v>462</v>
      </c>
      <c r="D74" s="31" t="s">
        <v>314</v>
      </c>
      <c r="E74" s="34" cm="1">
        <f t="array" ref="E74:AN74">TRANSPOSE(_xlfn._xlws.FILTER('Raw Data'!DW3:DW313,('Raw Data'!C3:C313=2)*('Raw Data'!DW3:DW313&lt;&gt;"")))</f>
        <v>0.17084102330000001</v>
      </c>
      <c r="F74" s="34">
        <v>0.17209702730000001</v>
      </c>
      <c r="G74" s="34">
        <v>0.17723283170000001</v>
      </c>
      <c r="H74" s="34">
        <v>0.14559467139999999</v>
      </c>
      <c r="I74" s="34">
        <v>0.151537478</v>
      </c>
      <c r="J74" s="34">
        <v>0.38763019440000002</v>
      </c>
      <c r="K74" s="34">
        <v>0.41221475600000002</v>
      </c>
      <c r="L74" s="34">
        <v>0.33806002140000002</v>
      </c>
      <c r="M74" s="34">
        <v>0.4148146808</v>
      </c>
      <c r="N74" s="34">
        <v>0.42376798389999998</v>
      </c>
      <c r="O74" s="34">
        <v>0.43573081489999999</v>
      </c>
      <c r="P74" s="34">
        <v>1.0575938224999999</v>
      </c>
      <c r="Q74" s="34">
        <v>1.0718829632</v>
      </c>
      <c r="R74" s="34">
        <v>1.0987386702999999</v>
      </c>
      <c r="S74" s="34">
        <v>1.1143505573000001</v>
      </c>
      <c r="T74" s="34">
        <v>1.118519783</v>
      </c>
      <c r="U74" s="34">
        <v>2.5995659828000002</v>
      </c>
      <c r="V74" s="34">
        <v>2.4733469486000002</v>
      </c>
      <c r="W74" s="34">
        <v>2.4860992432</v>
      </c>
      <c r="X74" s="34">
        <v>2.5150647162999999</v>
      </c>
      <c r="Y74" s="34">
        <v>4.6797327995</v>
      </c>
      <c r="Z74" s="57">
        <v>4.6929092406999997</v>
      </c>
      <c r="AA74" s="34">
        <v>4.7551493645000003</v>
      </c>
      <c r="AB74" s="34">
        <v>5.9457693100000002</v>
      </c>
      <c r="AC74" s="34">
        <v>5.9147944450000001</v>
      </c>
      <c r="AD74" s="34">
        <v>5.8559417724999996</v>
      </c>
      <c r="AE74" s="34">
        <v>5.9211373328999999</v>
      </c>
      <c r="AF74" s="34">
        <v>5.8437042235999996</v>
      </c>
      <c r="AG74" s="34">
        <v>5.9012365340999997</v>
      </c>
      <c r="AH74" s="34">
        <v>5.9002566337999998</v>
      </c>
      <c r="AI74" s="34">
        <v>5.9183712006000002</v>
      </c>
      <c r="AJ74" s="128">
        <v>1.1307537600000001E-2</v>
      </c>
      <c r="AK74" s="128">
        <v>1.14862379E-2</v>
      </c>
      <c r="AL74" s="128">
        <v>1.10919941E-2</v>
      </c>
      <c r="AM74" s="128">
        <v>2.01053564E-2</v>
      </c>
      <c r="AN74" s="128">
        <v>2.02469025E-2</v>
      </c>
      <c r="AP74" s="57">
        <f t="shared" si="38"/>
        <v>0.16346060634000001</v>
      </c>
      <c r="AQ74" s="57">
        <f t="shared" ref="AQ74:AQ86" si="40">AVERAGE(J74:O74)</f>
        <v>0.40203640856666661</v>
      </c>
      <c r="AR74" s="57">
        <f t="shared" ref="AR74:AR86" si="41">AVERAGE(P74:T74)</f>
        <v>1.0922171592600001</v>
      </c>
      <c r="AS74" s="57">
        <f t="shared" ref="AS74:AS86" si="42">AVERAGE(U74:X74)</f>
        <v>2.5185192227250002</v>
      </c>
      <c r="AT74" s="297">
        <f t="shared" ref="AT74:AT86" si="43">AVERAGE(Y74:AA74)</f>
        <v>4.7092638015666664</v>
      </c>
      <c r="AU74" s="55">
        <f t="shared" si="39"/>
        <v>5.9001514315624997</v>
      </c>
    </row>
    <row r="75" spans="1:57">
      <c r="A75" s="66" t="s">
        <v>169</v>
      </c>
      <c r="B75" s="31">
        <v>6</v>
      </c>
      <c r="C75" s="61" t="s">
        <v>462</v>
      </c>
      <c r="D75" s="31" t="s">
        <v>314</v>
      </c>
      <c r="E75" s="34" cm="1">
        <f t="array" ref="E75:AN75">TRANSPOSE(_xlfn._xlws.FILTER('Raw Data'!DX3:DX314,('Raw Data'!C3:C314=2)*('Raw Data'!DX3:DX314&lt;&gt;"")))</f>
        <v>1.6194692850000001</v>
      </c>
      <c r="F75" s="34">
        <v>1.5932530165000001</v>
      </c>
      <c r="G75" s="34">
        <v>1.6142468452000001</v>
      </c>
      <c r="H75" s="34">
        <v>1.2672386169000001</v>
      </c>
      <c r="I75" s="34">
        <v>1.2801356316000001</v>
      </c>
      <c r="J75" s="34">
        <v>2.8993697165999999</v>
      </c>
      <c r="K75" s="34">
        <v>3.0632972717000002</v>
      </c>
      <c r="L75" s="34">
        <v>2.6868155002999998</v>
      </c>
      <c r="M75" s="34">
        <v>3.0603089333</v>
      </c>
      <c r="N75" s="34">
        <v>3.0539996623999999</v>
      </c>
      <c r="O75" s="34">
        <v>3.0926599502999998</v>
      </c>
      <c r="P75" s="34">
        <v>6.7466292380999997</v>
      </c>
      <c r="Q75" s="34">
        <v>6.7161059380000001</v>
      </c>
      <c r="R75" s="34">
        <v>6.7860012053999998</v>
      </c>
      <c r="S75" s="34">
        <v>6.7418532372</v>
      </c>
      <c r="T75" s="34">
        <v>6.7238779068000003</v>
      </c>
      <c r="U75" s="34">
        <v>13.571484565700001</v>
      </c>
      <c r="V75" s="34">
        <v>13.1611595154</v>
      </c>
      <c r="W75" s="34">
        <v>13.1418275833</v>
      </c>
      <c r="X75" s="34">
        <v>13.1899471283</v>
      </c>
      <c r="Y75" s="34">
        <v>21.534130096399998</v>
      </c>
      <c r="Z75" s="57">
        <v>21.4726104736</v>
      </c>
      <c r="AA75" s="34">
        <v>21.632263183599999</v>
      </c>
      <c r="AB75" s="34">
        <v>25.2949085236</v>
      </c>
      <c r="AC75" s="34">
        <v>25.075780868500001</v>
      </c>
      <c r="AD75" s="34">
        <v>24.8461341858</v>
      </c>
      <c r="AE75" s="34">
        <v>24.9632148743</v>
      </c>
      <c r="AF75" s="34">
        <v>24.698116302500001</v>
      </c>
      <c r="AG75" s="34">
        <v>24.838809967</v>
      </c>
      <c r="AH75" s="34">
        <v>24.787780761699999</v>
      </c>
      <c r="AI75" s="34">
        <v>24.805500030499999</v>
      </c>
      <c r="AJ75" s="128">
        <v>0.12460833039999999</v>
      </c>
      <c r="AK75" s="128">
        <v>0.11866252870000001</v>
      </c>
      <c r="AL75" s="128">
        <v>0.1163603738</v>
      </c>
      <c r="AM75" s="128">
        <v>0.17526087160000001</v>
      </c>
      <c r="AN75" s="128">
        <v>0.17763696609999999</v>
      </c>
      <c r="AP75" s="57">
        <f t="shared" si="38"/>
        <v>1.4748686790400003</v>
      </c>
      <c r="AQ75" s="57">
        <f t="shared" si="40"/>
        <v>2.9760751724333332</v>
      </c>
      <c r="AR75" s="57">
        <f t="shared" si="41"/>
        <v>6.7428935051000014</v>
      </c>
      <c r="AS75" s="57">
        <f t="shared" si="42"/>
        <v>13.266104698174999</v>
      </c>
      <c r="AT75" s="297">
        <f t="shared" si="43"/>
        <v>21.54633458453333</v>
      </c>
      <c r="AU75" s="55">
        <f t="shared" si="39"/>
        <v>24.913780689237498</v>
      </c>
    </row>
    <row r="76" spans="1:57">
      <c r="A76" s="66" t="s">
        <v>171</v>
      </c>
      <c r="B76" s="31">
        <v>6</v>
      </c>
      <c r="C76" s="61" t="s">
        <v>462</v>
      </c>
      <c r="D76" s="31" t="s">
        <v>314</v>
      </c>
      <c r="E76" s="34" cm="1">
        <f t="array" ref="E76:AN76">TRANSPOSE(_xlfn._xlws.FILTER('Raw Data'!DY3:DY315,('Raw Data'!C3:C315=2)*('Raw Data'!DY3:DY315&lt;&gt;"")))</f>
        <v>1.2583124638000001</v>
      </c>
      <c r="F76" s="34">
        <v>1.2476813792999999</v>
      </c>
      <c r="G76" s="34">
        <v>1.2560178041000001</v>
      </c>
      <c r="H76" s="34">
        <v>1.0381516218</v>
      </c>
      <c r="I76" s="34">
        <v>1.0376398563</v>
      </c>
      <c r="J76" s="34">
        <v>1.9434694052000001</v>
      </c>
      <c r="K76" s="34">
        <v>2.0323600768999999</v>
      </c>
      <c r="L76" s="34">
        <v>1.8315606117000001</v>
      </c>
      <c r="M76" s="34">
        <v>2.0303351879</v>
      </c>
      <c r="N76" s="34">
        <v>2.0112648009999998</v>
      </c>
      <c r="O76" s="34">
        <v>2.0243875980000001</v>
      </c>
      <c r="P76" s="34">
        <v>4.1858673095999999</v>
      </c>
      <c r="Q76" s="34">
        <v>4.1538877486999999</v>
      </c>
      <c r="R76" s="34">
        <v>4.1861696242999997</v>
      </c>
      <c r="S76" s="34">
        <v>4.1373934745999996</v>
      </c>
      <c r="T76" s="34">
        <v>4.1197423935000002</v>
      </c>
      <c r="U76" s="34">
        <v>8.4469375610000004</v>
      </c>
      <c r="V76" s="34">
        <v>8.1568994521999993</v>
      </c>
      <c r="W76" s="34">
        <v>8.1327934264999993</v>
      </c>
      <c r="X76" s="34">
        <v>8.1556940078999993</v>
      </c>
      <c r="Y76" s="34">
        <v>13.622352600099999</v>
      </c>
      <c r="Z76" s="57">
        <v>13.5667505264</v>
      </c>
      <c r="AA76" s="34">
        <v>13.6609010696</v>
      </c>
      <c r="AB76" s="34">
        <v>15.997970581100001</v>
      </c>
      <c r="AC76" s="34">
        <v>15.8404417038</v>
      </c>
      <c r="AD76" s="34">
        <v>15.669952392600001</v>
      </c>
      <c r="AE76" s="34">
        <v>15.752770423899999</v>
      </c>
      <c r="AF76" s="34">
        <v>15.5685882568</v>
      </c>
      <c r="AG76" s="34">
        <v>15.687845230100001</v>
      </c>
      <c r="AH76" s="34">
        <v>15.6217298508</v>
      </c>
      <c r="AI76" s="34">
        <v>15.626215934799999</v>
      </c>
      <c r="AJ76" s="128">
        <v>0.4093669653</v>
      </c>
      <c r="AK76" s="128">
        <v>0.40537187460000002</v>
      </c>
      <c r="AL76" s="128">
        <v>0.40287768839999999</v>
      </c>
      <c r="AM76" s="128">
        <v>0.4232301712</v>
      </c>
      <c r="AN76" s="128">
        <v>0.42456495760000001</v>
      </c>
      <c r="AP76" s="57">
        <f t="shared" si="38"/>
        <v>1.1675606250599999</v>
      </c>
      <c r="AQ76" s="57">
        <f t="shared" si="40"/>
        <v>1.9788962801166667</v>
      </c>
      <c r="AR76" s="57">
        <f t="shared" si="41"/>
        <v>4.1566121101400002</v>
      </c>
      <c r="AS76" s="57">
        <f t="shared" si="42"/>
        <v>8.2230811119000009</v>
      </c>
      <c r="AT76" s="297">
        <f t="shared" si="43"/>
        <v>13.616668065366667</v>
      </c>
      <c r="AU76" s="55">
        <f t="shared" si="39"/>
        <v>15.720689296737499</v>
      </c>
    </row>
    <row r="77" spans="1:57">
      <c r="A77" s="66" t="s">
        <v>174</v>
      </c>
      <c r="B77" s="31">
        <v>6</v>
      </c>
      <c r="C77" s="61" t="s">
        <v>461</v>
      </c>
      <c r="D77" s="31" t="s">
        <v>314</v>
      </c>
      <c r="E77" s="34" cm="1">
        <f t="array" ref="E77:AN77">TRANSPOSE(_xlfn._xlws.FILTER('Raw Data'!DZ3:DZ317,('Raw Data'!C3:C317=2)*('Raw Data'!DZ3:DZ317&lt;&gt;"")))</f>
        <v>82.798393249499995</v>
      </c>
      <c r="F77" s="34">
        <v>83.292335510300006</v>
      </c>
      <c r="G77" s="34">
        <v>83.275245666499998</v>
      </c>
      <c r="H77" s="34">
        <v>82.204978942899999</v>
      </c>
      <c r="I77" s="34">
        <v>82.160247802699999</v>
      </c>
      <c r="J77" s="34">
        <v>79.192680358900006</v>
      </c>
      <c r="K77" s="34">
        <v>78.944763183600003</v>
      </c>
      <c r="L77" s="34">
        <v>79.685546875</v>
      </c>
      <c r="M77" s="34">
        <v>78.969825744600001</v>
      </c>
      <c r="N77" s="34">
        <v>78.928298950200002</v>
      </c>
      <c r="O77" s="34">
        <v>78.875450134299996</v>
      </c>
      <c r="P77" s="34">
        <v>72.004745483400001</v>
      </c>
      <c r="Q77" s="34">
        <v>72.082725524899999</v>
      </c>
      <c r="R77" s="34">
        <v>71.9302902222</v>
      </c>
      <c r="S77" s="34">
        <v>71.878662109399997</v>
      </c>
      <c r="T77" s="34">
        <v>71.885292053200004</v>
      </c>
      <c r="U77" s="34">
        <v>57.982501983600002</v>
      </c>
      <c r="V77" s="34">
        <v>59.226699829099999</v>
      </c>
      <c r="W77" s="34">
        <v>59.265125274699997</v>
      </c>
      <c r="X77" s="34">
        <v>59.143718719500001</v>
      </c>
      <c r="Y77" s="34">
        <v>41.588157653800003</v>
      </c>
      <c r="Z77" s="57">
        <v>41.725463867199998</v>
      </c>
      <c r="AA77" s="34">
        <v>41.330940246600001</v>
      </c>
      <c r="AB77" s="34">
        <v>32.680923461900001</v>
      </c>
      <c r="AC77" s="34">
        <v>33.035774230999998</v>
      </c>
      <c r="AD77" s="34">
        <v>33.586746215799998</v>
      </c>
      <c r="AE77" s="34">
        <v>33.116565704300001</v>
      </c>
      <c r="AF77" s="34">
        <v>33.698547363300001</v>
      </c>
      <c r="AG77" s="34">
        <v>33.315029144299999</v>
      </c>
      <c r="AH77" s="34">
        <v>33.342998504599997</v>
      </c>
      <c r="AI77" s="34">
        <v>33.231330871600001</v>
      </c>
      <c r="AJ77" s="128">
        <v>83.833580017100005</v>
      </c>
      <c r="AK77" s="128">
        <v>83.959754943799993</v>
      </c>
      <c r="AL77" s="128">
        <v>84.031799316399997</v>
      </c>
      <c r="AM77" s="128">
        <v>83.754493713399995</v>
      </c>
      <c r="AN77" s="128">
        <v>83.785934448199995</v>
      </c>
      <c r="AP77" s="57">
        <f t="shared" si="38"/>
        <v>82.746240234379997</v>
      </c>
      <c r="AQ77" s="57">
        <f t="shared" si="40"/>
        <v>79.099427541099999</v>
      </c>
      <c r="AR77" s="57">
        <f t="shared" si="41"/>
        <v>71.956343078619994</v>
      </c>
      <c r="AS77" s="57">
        <f t="shared" si="42"/>
        <v>58.904511451725</v>
      </c>
      <c r="AT77" s="297">
        <f t="shared" si="43"/>
        <v>41.548187255866672</v>
      </c>
      <c r="AU77" s="55">
        <f t="shared" si="39"/>
        <v>33.250989437100003</v>
      </c>
    </row>
    <row r="78" spans="1:57">
      <c r="A78" s="66" t="s">
        <v>272</v>
      </c>
      <c r="B78" s="31">
        <v>6</v>
      </c>
      <c r="C78" s="61" t="s">
        <v>463</v>
      </c>
      <c r="D78" s="31" t="s">
        <v>314</v>
      </c>
      <c r="E78" s="34" cm="1">
        <f t="array" ref="E78:AN78">TRANSPOSE(_xlfn._xlws.FILTER('Raw Data'!EB3:EB318,('Raw Data'!C3:C318=2)*('Raw Data'!EB3:EB318&lt;&gt;"")))</f>
        <v>0.48326846959999997</v>
      </c>
      <c r="F78" s="34">
        <v>0.47664096950000001</v>
      </c>
      <c r="G78" s="34">
        <v>0.46672555799999998</v>
      </c>
      <c r="H78" s="34">
        <v>0.45787635450000003</v>
      </c>
      <c r="I78" s="34">
        <v>0.44907706980000001</v>
      </c>
      <c r="J78" s="34">
        <v>0.37662926320000001</v>
      </c>
      <c r="K78" s="34">
        <v>0.37211912870000002</v>
      </c>
      <c r="L78" s="34">
        <v>0.3900370896</v>
      </c>
      <c r="M78" s="34">
        <v>0.36670401689999998</v>
      </c>
      <c r="N78" s="34">
        <v>0.35356989500000002</v>
      </c>
      <c r="O78" s="34">
        <v>0.34968587759999997</v>
      </c>
      <c r="P78" s="34">
        <v>0.31327566499999998</v>
      </c>
      <c r="Q78" s="34">
        <v>0.30868896839999999</v>
      </c>
      <c r="R78" s="34">
        <v>0.30601912739999998</v>
      </c>
      <c r="S78" s="34">
        <v>0.29704976080000001</v>
      </c>
      <c r="T78" s="34">
        <v>0.2935806513</v>
      </c>
      <c r="U78" s="34">
        <v>0.30443525310000003</v>
      </c>
      <c r="V78" s="34">
        <v>0.3074218333</v>
      </c>
      <c r="W78" s="34">
        <v>0.30490311980000001</v>
      </c>
      <c r="X78" s="34">
        <v>0.3028895855</v>
      </c>
      <c r="Y78" s="34">
        <v>0.29844734070000001</v>
      </c>
      <c r="Z78" s="57">
        <v>0.2927560508</v>
      </c>
      <c r="AA78" s="34">
        <v>0.2887183726</v>
      </c>
      <c r="AB78" s="34">
        <v>0.25391402839999999</v>
      </c>
      <c r="AC78" s="34">
        <v>0.2444059998</v>
      </c>
      <c r="AD78" s="34">
        <v>0.24276950959999999</v>
      </c>
      <c r="AE78" s="34">
        <v>0.233817935</v>
      </c>
      <c r="AF78" s="34">
        <v>0.2339984775</v>
      </c>
      <c r="AG78" s="34">
        <v>0.23924241960000001</v>
      </c>
      <c r="AH78" s="34">
        <v>0.22796575729999999</v>
      </c>
      <c r="AI78" s="34">
        <v>0.2252899706</v>
      </c>
      <c r="AJ78" s="128">
        <v>5.7641319900000001E-2</v>
      </c>
      <c r="AK78" s="128">
        <v>0.53039336199999998</v>
      </c>
      <c r="AL78" s="128">
        <v>0.53794854879999998</v>
      </c>
      <c r="AM78" s="128">
        <v>0.51206487420000002</v>
      </c>
      <c r="AN78" s="128">
        <v>0.51596081260000004</v>
      </c>
      <c r="AP78" s="57">
        <f t="shared" si="38"/>
        <v>0.46671768427999999</v>
      </c>
      <c r="AQ78" s="57">
        <f t="shared" si="40"/>
        <v>0.36812421183333327</v>
      </c>
      <c r="AR78" s="57">
        <f t="shared" si="41"/>
        <v>0.30372283457999999</v>
      </c>
      <c r="AS78" s="57">
        <f t="shared" si="42"/>
        <v>0.304912447925</v>
      </c>
      <c r="AT78" s="297">
        <f t="shared" si="43"/>
        <v>0.29330725470000002</v>
      </c>
      <c r="AU78" s="55">
        <f t="shared" si="39"/>
        <v>0.237675512225</v>
      </c>
    </row>
    <row r="79" spans="1:57">
      <c r="A79" s="66" t="s">
        <v>273</v>
      </c>
      <c r="B79" s="31">
        <v>7</v>
      </c>
      <c r="C79" s="61" t="s">
        <v>462</v>
      </c>
      <c r="D79" s="31" t="s">
        <v>314</v>
      </c>
      <c r="E79" s="34" cm="1">
        <f t="array" ref="E79:AN79">TRANSPOSE(_xlfn._xlws.FILTER('Raw Data'!EC3:EC319,('Raw Data'!C3:C319=2)*('Raw Data'!EC3:EC319&lt;&gt;"")))</f>
        <v>0.49346333739999998</v>
      </c>
      <c r="F79" s="34">
        <v>0.4642119408</v>
      </c>
      <c r="G79" s="34">
        <v>0.46745327120000002</v>
      </c>
      <c r="H79" s="34">
        <v>0.38322764640000001</v>
      </c>
      <c r="I79" s="34">
        <v>0.38139119739999999</v>
      </c>
      <c r="J79" s="34">
        <v>0.73425269130000004</v>
      </c>
      <c r="K79" s="34">
        <v>0.76329445839999999</v>
      </c>
      <c r="L79" s="34">
        <v>0.70696651939999999</v>
      </c>
      <c r="M79" s="34">
        <v>0.76243478060000003</v>
      </c>
      <c r="N79" s="34">
        <v>0.75205719469999999</v>
      </c>
      <c r="O79" s="34">
        <v>0.75477331879999998</v>
      </c>
      <c r="P79" s="34">
        <v>1.2512012720000001</v>
      </c>
      <c r="Q79" s="34">
        <v>1.2282059192999999</v>
      </c>
      <c r="R79" s="34">
        <v>1.2211709022999999</v>
      </c>
      <c r="S79" s="34">
        <v>1.1969065666000001</v>
      </c>
      <c r="T79" s="34">
        <v>1.1894342899000001</v>
      </c>
      <c r="U79" s="34">
        <v>1.4347420930999999</v>
      </c>
      <c r="V79" s="34">
        <v>1.490745306</v>
      </c>
      <c r="W79" s="34">
        <v>1.4720015526000001</v>
      </c>
      <c r="X79" s="34">
        <v>1.4579105376999999</v>
      </c>
      <c r="Y79" s="34">
        <v>1.2144325972000001</v>
      </c>
      <c r="Z79" s="57">
        <v>1.2010345459</v>
      </c>
      <c r="AA79" s="34">
        <v>1.1779741049000001</v>
      </c>
      <c r="AB79" s="34">
        <v>0.83661931749999996</v>
      </c>
      <c r="AC79" s="34">
        <v>0.8199006915</v>
      </c>
      <c r="AD79" s="34">
        <v>0.81489098069999999</v>
      </c>
      <c r="AE79" s="34">
        <v>0.78692865369999998</v>
      </c>
      <c r="AF79" s="34">
        <v>0.7930026054</v>
      </c>
      <c r="AG79" s="34">
        <v>0.76183235650000003</v>
      </c>
      <c r="AH79" s="34">
        <v>0.75627648830000005</v>
      </c>
      <c r="AI79" s="34">
        <v>0.74654722210000002</v>
      </c>
      <c r="AJ79" s="128">
        <v>3.1289748800000003E-2</v>
      </c>
      <c r="AK79" s="128">
        <v>2.95034107E-2</v>
      </c>
      <c r="AL79" s="128">
        <v>2.8664315100000001E-2</v>
      </c>
      <c r="AM79" s="128">
        <v>5.1177799699999998E-2</v>
      </c>
      <c r="AN79" s="128">
        <v>5.1979549200000003E-2</v>
      </c>
      <c r="AP79" s="57">
        <f t="shared" si="38"/>
        <v>0.43794947864000006</v>
      </c>
      <c r="AQ79" s="57">
        <f t="shared" si="40"/>
        <v>0.74562982720000004</v>
      </c>
      <c r="AR79" s="57">
        <f t="shared" si="41"/>
        <v>1.21738379002</v>
      </c>
      <c r="AS79" s="57">
        <f t="shared" si="42"/>
        <v>1.46384987235</v>
      </c>
      <c r="AT79" s="297">
        <f t="shared" si="43"/>
        <v>1.1978137493333334</v>
      </c>
      <c r="AU79" s="55">
        <f t="shared" si="39"/>
        <v>0.7894997894625001</v>
      </c>
    </row>
    <row r="80" spans="1:57">
      <c r="A80" s="66" t="s">
        <v>274</v>
      </c>
      <c r="B80" s="31">
        <v>7</v>
      </c>
      <c r="C80" s="61" t="s">
        <v>462</v>
      </c>
      <c r="D80" s="31" t="s">
        <v>314</v>
      </c>
      <c r="E80" s="34" cm="1">
        <f t="array" ref="E80:AN80">TRANSPOSE(_xlfn._xlws.FILTER('Raw Data'!ED3:ED320,('Raw Data'!C3:C320=2)*('Raw Data'!ED3:ED320&lt;&gt;"")))</f>
        <v>0.4289106131</v>
      </c>
      <c r="F80" s="34">
        <v>0.40285328030000001</v>
      </c>
      <c r="G80" s="34">
        <v>0.4040576816</v>
      </c>
      <c r="H80" s="34">
        <v>0.3183725476</v>
      </c>
      <c r="I80" s="34">
        <v>0.31618541480000001</v>
      </c>
      <c r="J80" s="34">
        <v>0.66620969770000005</v>
      </c>
      <c r="K80" s="34">
        <v>0.69584113359999999</v>
      </c>
      <c r="L80" s="34">
        <v>0.64002507929999997</v>
      </c>
      <c r="M80" s="34">
        <v>0.69382280110000005</v>
      </c>
      <c r="N80" s="34">
        <v>0.68336302039999997</v>
      </c>
      <c r="O80" s="34">
        <v>0.68558251859999997</v>
      </c>
      <c r="P80" s="34">
        <v>1.27003479</v>
      </c>
      <c r="Q80" s="34">
        <v>1.2480603455999999</v>
      </c>
      <c r="R80" s="34">
        <v>1.2418279647999999</v>
      </c>
      <c r="S80" s="34">
        <v>1.2157845496999999</v>
      </c>
      <c r="T80" s="34">
        <v>1.2089538574000001</v>
      </c>
      <c r="U80" s="34">
        <v>1.5891536474000001</v>
      </c>
      <c r="V80" s="34">
        <v>1.6514251231999999</v>
      </c>
      <c r="W80" s="34">
        <v>1.6322135925000001</v>
      </c>
      <c r="X80" s="34">
        <v>1.6151335239</v>
      </c>
      <c r="Y80" s="34">
        <v>1.4011347294000001</v>
      </c>
      <c r="Z80" s="57">
        <v>1.3905844688</v>
      </c>
      <c r="AA80" s="34">
        <v>1.3681470156</v>
      </c>
      <c r="AB80" s="34">
        <v>0.97362464670000004</v>
      </c>
      <c r="AC80" s="34">
        <v>0.95700633530000001</v>
      </c>
      <c r="AD80" s="34">
        <v>0.95348942280000004</v>
      </c>
      <c r="AE80" s="34">
        <v>0.92203050850000001</v>
      </c>
      <c r="AF80" s="34">
        <v>0.92820429800000004</v>
      </c>
      <c r="AG80" s="34">
        <v>0.89489215609999995</v>
      </c>
      <c r="AH80" s="34">
        <v>0.88546097280000002</v>
      </c>
      <c r="AI80" s="34">
        <v>0.8727028966</v>
      </c>
      <c r="AJ80" s="128">
        <v>1.8254846299999999E-2</v>
      </c>
      <c r="AK80" s="128">
        <v>1.65846311E-2</v>
      </c>
      <c r="AL80" s="128">
        <v>1.5987535899999999E-2</v>
      </c>
      <c r="AM80" s="128">
        <v>2.7006639200000002E-2</v>
      </c>
      <c r="AN80" s="128">
        <v>2.8948888200000002E-2</v>
      </c>
      <c r="AP80" s="57">
        <f t="shared" si="38"/>
        <v>0.37407590748000008</v>
      </c>
      <c r="AQ80" s="57">
        <f t="shared" si="40"/>
        <v>0.67747404178333337</v>
      </c>
      <c r="AR80" s="57">
        <f t="shared" si="41"/>
        <v>1.2369323015</v>
      </c>
      <c r="AS80" s="57">
        <f t="shared" si="42"/>
        <v>1.6219814717500001</v>
      </c>
      <c r="AT80" s="297">
        <f t="shared" si="43"/>
        <v>1.3866220712666666</v>
      </c>
      <c r="AU80" s="55">
        <f t="shared" si="39"/>
        <v>0.92342640459999992</v>
      </c>
    </row>
    <row r="81" spans="1:59">
      <c r="A81" s="66" t="s">
        <v>177</v>
      </c>
      <c r="B81" s="31">
        <v>7</v>
      </c>
      <c r="C81" s="61" t="s">
        <v>462</v>
      </c>
      <c r="D81" s="31" t="s">
        <v>314</v>
      </c>
      <c r="E81" s="34" cm="1">
        <f t="array" ref="E81:AN81">TRANSPOSE(_xlfn._xlws.FILTER('Raw Data'!EE3:EE321,('Raw Data'!C3:C321=2)*('Raw Data'!EE3:EE321&lt;&gt;"")))</f>
        <v>8.3892383575</v>
      </c>
      <c r="F81" s="34">
        <v>8.4213266373</v>
      </c>
      <c r="G81" s="34">
        <v>8.4064083098999998</v>
      </c>
      <c r="H81" s="34">
        <v>8.8739490509000003</v>
      </c>
      <c r="I81" s="34">
        <v>8.8743648528999994</v>
      </c>
      <c r="J81" s="34">
        <v>7.8483743667999999</v>
      </c>
      <c r="K81" s="34">
        <v>7.7325139046000002</v>
      </c>
      <c r="L81" s="34">
        <v>7.9301915168999999</v>
      </c>
      <c r="M81" s="34">
        <v>7.7288475037</v>
      </c>
      <c r="N81" s="34">
        <v>7.7583656311000002</v>
      </c>
      <c r="O81" s="34">
        <v>7.7272629738000003</v>
      </c>
      <c r="P81" s="34">
        <v>5.8128008841999996</v>
      </c>
      <c r="Q81" s="34">
        <v>5.8118109702999998</v>
      </c>
      <c r="R81" s="34">
        <v>5.7822489737999998</v>
      </c>
      <c r="S81" s="34">
        <v>5.8330702782000001</v>
      </c>
      <c r="T81" s="34">
        <v>5.8396220207000002</v>
      </c>
      <c r="U81" s="34">
        <v>3.3242411612999998</v>
      </c>
      <c r="V81" s="34">
        <v>3.3195366859000002</v>
      </c>
      <c r="W81" s="34">
        <v>3.3256194591999999</v>
      </c>
      <c r="X81" s="34">
        <v>3.3050417900000002</v>
      </c>
      <c r="Y81" s="34">
        <v>1.3279643058999999</v>
      </c>
      <c r="Z81" s="57">
        <v>1.3368079662000001</v>
      </c>
      <c r="AA81" s="34">
        <v>1.3059335946999999</v>
      </c>
      <c r="AB81" s="34">
        <v>0.69818532470000005</v>
      </c>
      <c r="AC81" s="34">
        <v>0.70512658360000002</v>
      </c>
      <c r="AD81" s="34">
        <v>0.71920257809999999</v>
      </c>
      <c r="AE81" s="34">
        <v>0.69220966100000003</v>
      </c>
      <c r="AF81" s="34">
        <v>0.71577364210000005</v>
      </c>
      <c r="AG81" s="34">
        <v>0.68576562399999996</v>
      </c>
      <c r="AH81" s="34">
        <v>0.68686538929999996</v>
      </c>
      <c r="AI81" s="34">
        <v>0.68105739359999995</v>
      </c>
      <c r="AJ81" s="128">
        <v>9.8160095214999998</v>
      </c>
      <c r="AK81" s="128">
        <v>9.7899904250999992</v>
      </c>
      <c r="AL81" s="128">
        <v>9.7374973297</v>
      </c>
      <c r="AM81" s="128">
        <v>9.7405872344999995</v>
      </c>
      <c r="AN81" s="128">
        <v>9.7309875487999999</v>
      </c>
      <c r="AP81" s="57">
        <f t="shared" si="38"/>
        <v>8.593057441700001</v>
      </c>
      <c r="AQ81" s="57">
        <f t="shared" si="40"/>
        <v>7.787592649483333</v>
      </c>
      <c r="AR81" s="57">
        <f t="shared" si="41"/>
        <v>5.8159106254399999</v>
      </c>
      <c r="AS81" s="57">
        <f t="shared" si="42"/>
        <v>3.3186097741</v>
      </c>
      <c r="AT81" s="297">
        <f t="shared" si="43"/>
        <v>1.3235686222666667</v>
      </c>
      <c r="AU81" s="55">
        <f t="shared" si="39"/>
        <v>0.69802327455000002</v>
      </c>
    </row>
    <row r="82" spans="1:59">
      <c r="A82" s="66" t="s">
        <v>175</v>
      </c>
      <c r="B82" s="31">
        <v>8</v>
      </c>
      <c r="C82" s="61" t="s">
        <v>461</v>
      </c>
      <c r="D82" s="31" t="s">
        <v>314</v>
      </c>
      <c r="E82" s="34" cm="1">
        <f t="array" ref="E82:AN82">TRANSPOSE(_xlfn._xlws.FILTER('Raw Data'!EG3:EG322,('Raw Data'!C3:C322=2)*('Raw Data'!EG3:EG322&lt;&gt;"")))</f>
        <v>2.3704054355999999</v>
      </c>
      <c r="F82" s="34">
        <v>2.3500204085999998</v>
      </c>
      <c r="G82" s="34">
        <v>2.3358297347999999</v>
      </c>
      <c r="H82" s="34">
        <v>3.6538722515000002</v>
      </c>
      <c r="I82" s="34">
        <v>3.6803638935</v>
      </c>
      <c r="J82" s="34">
        <v>2.7546281815000002</v>
      </c>
      <c r="K82" s="34">
        <v>2.6565222739999999</v>
      </c>
      <c r="L82" s="34">
        <v>2.7966310978000002</v>
      </c>
      <c r="M82" s="34">
        <v>2.6295514107</v>
      </c>
      <c r="N82" s="34">
        <v>2.6817512512000001</v>
      </c>
      <c r="O82" s="34">
        <v>2.6496572495000001</v>
      </c>
      <c r="P82" s="34">
        <v>1.3573565483000001</v>
      </c>
      <c r="Q82" s="34">
        <v>1.3661245108</v>
      </c>
      <c r="R82" s="34">
        <v>1.3512474297999999</v>
      </c>
      <c r="S82" s="34">
        <v>1.3988753557</v>
      </c>
      <c r="T82" s="34">
        <v>1.3937616347999999</v>
      </c>
      <c r="U82" s="34">
        <v>0.50195944309999996</v>
      </c>
      <c r="V82" s="34">
        <v>0.4030581117</v>
      </c>
      <c r="W82" s="34">
        <v>0.4015490115</v>
      </c>
      <c r="X82" s="34">
        <v>0.39271700380000002</v>
      </c>
      <c r="Y82" s="34">
        <v>6.0233615300000001E-2</v>
      </c>
      <c r="Z82" s="57">
        <v>6.0090109699999998E-2</v>
      </c>
      <c r="AA82" s="34">
        <v>5.70367388E-2</v>
      </c>
      <c r="AB82" s="34">
        <v>1.4315312700000001E-2</v>
      </c>
      <c r="AC82" s="34">
        <v>1.4567762600000001E-2</v>
      </c>
      <c r="AD82" s="34">
        <v>1.4596154E-2</v>
      </c>
      <c r="AE82" s="34">
        <v>1.39706656E-2</v>
      </c>
      <c r="AF82" s="34">
        <v>1.47169307E-2</v>
      </c>
      <c r="AG82" s="34">
        <v>1.40435165E-2</v>
      </c>
      <c r="AH82" s="34">
        <v>1.32254008E-2</v>
      </c>
      <c r="AI82" s="34">
        <v>1.3249355399999999E-2</v>
      </c>
      <c r="AJ82" s="128">
        <v>4.9484462738000001</v>
      </c>
      <c r="AK82" s="128">
        <v>4.8241505622999998</v>
      </c>
      <c r="AL82" s="128">
        <v>4.7915396689999996</v>
      </c>
      <c r="AM82" s="128">
        <v>4.8512382506999998</v>
      </c>
      <c r="AN82" s="128">
        <v>4.8238677979000002</v>
      </c>
      <c r="AP82" s="57">
        <f t="shared" si="38"/>
        <v>2.8780983448000002</v>
      </c>
      <c r="AQ82" s="57">
        <f t="shared" si="40"/>
        <v>2.6947902441166662</v>
      </c>
      <c r="AR82" s="57">
        <f t="shared" si="41"/>
        <v>1.3734730958799999</v>
      </c>
      <c r="AS82" s="57">
        <f t="shared" si="42"/>
        <v>0.42482089252499999</v>
      </c>
      <c r="AT82" s="297">
        <f t="shared" si="43"/>
        <v>5.9120154599999995E-2</v>
      </c>
      <c r="AU82" s="55">
        <f t="shared" si="39"/>
        <v>1.4085637287500001E-2</v>
      </c>
    </row>
    <row r="83" spans="1:59">
      <c r="A83" s="61" t="s">
        <v>464</v>
      </c>
      <c r="B83" s="31">
        <v>3</v>
      </c>
      <c r="D83" s="31" t="s">
        <v>314</v>
      </c>
      <c r="E83" s="34" cm="1">
        <f t="array" ref="E83:AM83">TRANSPOSE(_xlfn._xlws.FILTER('Raw Data'!DP3:DP323,('Raw Data'!C3:C323=2)*('Raw Data'!DP3:DP323&lt;&gt;"")))</f>
        <v>2.0376804999999998E-3</v>
      </c>
      <c r="F83" s="34">
        <v>8.6385780000000005E-4</v>
      </c>
      <c r="G83" s="34">
        <v>8.6474670000000003E-4</v>
      </c>
      <c r="H83" s="34">
        <v>5.9387039999999995E-4</v>
      </c>
      <c r="I83" s="34">
        <v>8.5550969999999998E-4</v>
      </c>
      <c r="J83" s="34">
        <v>1.0147665E-3</v>
      </c>
      <c r="K83" s="34">
        <v>1.0373553999999999E-3</v>
      </c>
      <c r="L83" s="34">
        <v>9.3598070000000002E-4</v>
      </c>
      <c r="M83" s="34">
        <v>1.0029082999999999E-3</v>
      </c>
      <c r="N83" s="34">
        <v>1.1140485E-3</v>
      </c>
      <c r="O83" s="34">
        <v>1.9794856000000002E-3</v>
      </c>
      <c r="P83" s="34">
        <v>2.0181147999999999E-3</v>
      </c>
      <c r="Q83" s="34">
        <v>1.8223563999999999E-3</v>
      </c>
      <c r="R83" s="34">
        <v>1.8931719E-3</v>
      </c>
      <c r="S83" s="34">
        <v>1.8607673E-3</v>
      </c>
      <c r="T83" s="34">
        <v>5.2005877000000002E-3</v>
      </c>
      <c r="U83" s="34">
        <v>4.6005556000000003E-3</v>
      </c>
      <c r="V83" s="34">
        <v>4.8795011999999997E-3</v>
      </c>
      <c r="W83" s="34">
        <v>5.4079629000000004E-3</v>
      </c>
      <c r="X83" s="34">
        <v>1.04261506E-2</v>
      </c>
      <c r="Y83" s="34">
        <v>1.07403155E-2</v>
      </c>
      <c r="Z83" s="57">
        <v>1.09721404E-2</v>
      </c>
      <c r="AA83" s="34">
        <v>1.11982664E-2</v>
      </c>
      <c r="AB83" s="34">
        <v>1.0917828399999999E-2</v>
      </c>
      <c r="AC83" s="34">
        <v>1.08296378E-2</v>
      </c>
      <c r="AD83" s="34">
        <v>1.0923426599999999E-2</v>
      </c>
      <c r="AE83" s="34">
        <v>1.1079877599999999E-2</v>
      </c>
      <c r="AF83" s="34">
        <v>1.1163885700000001E-2</v>
      </c>
      <c r="AG83" s="34">
        <v>1.0958132299999999E-2</v>
      </c>
      <c r="AH83" s="34">
        <v>1.10844206E-2</v>
      </c>
      <c r="AI83" s="34">
        <v>3.8117353999999998E-3</v>
      </c>
      <c r="AJ83" s="128">
        <v>1.3892064E-3</v>
      </c>
      <c r="AK83" s="128">
        <v>8.6362099999999996E-4</v>
      </c>
      <c r="AL83" s="128">
        <v>0</v>
      </c>
      <c r="AM83" s="128">
        <v>0</v>
      </c>
      <c r="AN83" s="128"/>
      <c r="AP83" s="57">
        <f t="shared" si="38"/>
        <v>1.04313302E-3</v>
      </c>
      <c r="AQ83" s="57">
        <f t="shared" si="40"/>
        <v>1.1807574999999999E-3</v>
      </c>
      <c r="AR83" s="57">
        <f t="shared" si="41"/>
        <v>2.5589996199999999E-3</v>
      </c>
      <c r="AS83" s="57">
        <f t="shared" si="42"/>
        <v>6.3285425750000002E-3</v>
      </c>
      <c r="AT83" s="297">
        <f t="shared" si="43"/>
        <v>1.0970240766666667E-2</v>
      </c>
      <c r="AU83" s="55">
        <f t="shared" si="39"/>
        <v>1.009611805E-2</v>
      </c>
    </row>
    <row r="84" spans="1:59">
      <c r="A84" s="61" t="s">
        <v>465</v>
      </c>
      <c r="B84" s="31">
        <v>7</v>
      </c>
      <c r="D84" s="31" t="s">
        <v>314</v>
      </c>
      <c r="E84" s="34" cm="1">
        <f t="array" ref="E84:AN84">TRANSPOSE(_xlfn._xlws.FILTER('Raw Data'!EA3:EA324,('Raw Data'!C3:C324=2)*('Raw Data'!EA3:EA324&lt;&gt;"")))</f>
        <v>0.48698446150000002</v>
      </c>
      <c r="F84" s="34">
        <v>0.46989583969999998</v>
      </c>
      <c r="G84" s="34">
        <v>0.48408529160000002</v>
      </c>
      <c r="H84" s="34">
        <v>0.4218314588</v>
      </c>
      <c r="I84" s="34">
        <v>0.43107500669999999</v>
      </c>
      <c r="J84" s="34">
        <v>0.80559360980000005</v>
      </c>
      <c r="K84" s="34">
        <v>0.8434892893</v>
      </c>
      <c r="L84" s="34">
        <v>0.73688691849999999</v>
      </c>
      <c r="M84" s="34">
        <v>0.85557526350000002</v>
      </c>
      <c r="N84" s="34">
        <v>0.84847974780000002</v>
      </c>
      <c r="O84" s="34">
        <v>0.87271809580000004</v>
      </c>
      <c r="P84" s="34">
        <v>1.4584434032</v>
      </c>
      <c r="Q84" s="34">
        <v>1.4503314494999999</v>
      </c>
      <c r="R84" s="34">
        <v>1.4564760923</v>
      </c>
      <c r="S84" s="34">
        <v>1.4460414648</v>
      </c>
      <c r="T84" s="34">
        <v>1.4372421502999999</v>
      </c>
      <c r="U84" s="34">
        <v>1.9666960239</v>
      </c>
      <c r="V84" s="34">
        <v>1.9881880283</v>
      </c>
      <c r="W84" s="34">
        <v>1.9569445848</v>
      </c>
      <c r="X84" s="34">
        <v>1.9527789354</v>
      </c>
      <c r="Y84" s="34">
        <v>2.0158042907999998</v>
      </c>
      <c r="Z84" s="57">
        <v>1.9624121188999999</v>
      </c>
      <c r="AA84" s="34">
        <v>1.9319014549</v>
      </c>
      <c r="AB84" s="34">
        <v>1.5861341953000001</v>
      </c>
      <c r="AC84" s="34">
        <v>1.5600708723000001</v>
      </c>
      <c r="AD84" s="34">
        <v>1.5371514558999999</v>
      </c>
      <c r="AE84" s="34">
        <v>1.4860011339000001</v>
      </c>
      <c r="AF84" s="34">
        <v>1.4916596413000001</v>
      </c>
      <c r="AG84" s="34">
        <v>1.4647171497</v>
      </c>
      <c r="AH84" s="34">
        <v>1.4390308857</v>
      </c>
      <c r="AI84" s="34">
        <v>1.4192359447</v>
      </c>
      <c r="AJ84" s="128">
        <v>0.51808077100000005</v>
      </c>
      <c r="AK84" s="128">
        <v>8.90605748E-2</v>
      </c>
      <c r="AL84" s="128">
        <v>0.10539167369999999</v>
      </c>
      <c r="AM84" s="128">
        <v>0.15151979030000001</v>
      </c>
      <c r="AN84" s="128">
        <v>0.14604103569999999</v>
      </c>
      <c r="AP84" s="57">
        <f t="shared" si="38"/>
        <v>0.45877441165999999</v>
      </c>
      <c r="AQ84" s="57">
        <f t="shared" si="40"/>
        <v>0.82712382078333346</v>
      </c>
      <c r="AR84" s="57">
        <f t="shared" si="41"/>
        <v>1.4497069120199999</v>
      </c>
      <c r="AS84" s="57">
        <f t="shared" si="42"/>
        <v>1.9661518930999997</v>
      </c>
      <c r="AT84" s="297">
        <f t="shared" si="43"/>
        <v>1.9700392882</v>
      </c>
      <c r="AU84" s="55">
        <f t="shared" si="39"/>
        <v>1.4980001598500001</v>
      </c>
    </row>
    <row r="85" spans="1:59">
      <c r="A85" s="61" t="s">
        <v>466</v>
      </c>
      <c r="B85" s="31">
        <v>8</v>
      </c>
      <c r="D85" s="31" t="s">
        <v>314</v>
      </c>
      <c r="E85" s="34" cm="1">
        <f t="array" ref="E85:AN85">TRANSPOSE(_xlfn._xlws.FILTER('Raw Data'!EF3:EF325,('Raw Data'!C3:C325=2)*('Raw Data'!EF3:EF325&lt;&gt;"")))</f>
        <v>0.90384262800000004</v>
      </c>
      <c r="F85" s="34">
        <v>0.81409865619999999</v>
      </c>
      <c r="G85" s="34">
        <v>0.81088840959999997</v>
      </c>
      <c r="H85" s="34">
        <v>0.95896703000000005</v>
      </c>
      <c r="I85" s="34">
        <v>0.94706678389999999</v>
      </c>
      <c r="J85" s="34">
        <v>1.5343534945999999</v>
      </c>
      <c r="K85" s="34">
        <v>1.5718640089</v>
      </c>
      <c r="L85" s="34">
        <v>1.5235899687000001</v>
      </c>
      <c r="M85" s="34">
        <v>1.5559538603</v>
      </c>
      <c r="N85" s="34">
        <v>1.5354739427999999</v>
      </c>
      <c r="O85" s="34">
        <v>1.5175942183</v>
      </c>
      <c r="P85" s="34">
        <v>1.8732573986000001</v>
      </c>
      <c r="Q85" s="34">
        <v>1.8206853866999999</v>
      </c>
      <c r="R85" s="34">
        <v>1.7868978977000001</v>
      </c>
      <c r="S85" s="34">
        <v>1.7641792297000001</v>
      </c>
      <c r="T85" s="34">
        <v>1.7361636162</v>
      </c>
      <c r="U85" s="34">
        <v>1.2149839401</v>
      </c>
      <c r="V85" s="34">
        <v>1.2291269302000001</v>
      </c>
      <c r="W85" s="34">
        <v>1.2043595314</v>
      </c>
      <c r="X85" s="34">
        <v>1.1709903478999999</v>
      </c>
      <c r="Y85" s="34">
        <v>0.44706585999999998</v>
      </c>
      <c r="Z85" s="57">
        <v>0.44194641709999999</v>
      </c>
      <c r="AA85" s="34">
        <v>0.42586907740000002</v>
      </c>
      <c r="AB85" s="34">
        <v>0.23718182739999999</v>
      </c>
      <c r="AC85" s="34">
        <v>0.2442337275</v>
      </c>
      <c r="AD85" s="34">
        <v>0.2461427897</v>
      </c>
      <c r="AE85" s="34">
        <v>0.24163427949999999</v>
      </c>
      <c r="AF85" s="34">
        <v>0.2457466274</v>
      </c>
      <c r="AG85" s="34">
        <v>0.2381864041</v>
      </c>
      <c r="AH85" s="34">
        <v>0.24118193979999999</v>
      </c>
      <c r="AI85" s="34">
        <v>0.2439413071</v>
      </c>
      <c r="AJ85" s="128">
        <v>0.1953649968</v>
      </c>
      <c r="AK85" s="128">
        <v>0.1895588785</v>
      </c>
      <c r="AL85" s="128">
        <v>0.18723081050000001</v>
      </c>
      <c r="AM85" s="128">
        <v>0.23986876009999999</v>
      </c>
      <c r="AN85" s="128">
        <v>0.24124149980000001</v>
      </c>
      <c r="AP85" s="57">
        <f t="shared" si="38"/>
        <v>0.88697270154000007</v>
      </c>
      <c r="AQ85" s="57">
        <f t="shared" si="40"/>
        <v>1.5398049155999998</v>
      </c>
      <c r="AR85" s="57">
        <f t="shared" si="41"/>
        <v>1.7962367057800002</v>
      </c>
      <c r="AS85" s="57">
        <f t="shared" si="42"/>
        <v>1.2048651874</v>
      </c>
      <c r="AT85" s="297">
        <f t="shared" si="43"/>
        <v>0.43829378483333331</v>
      </c>
      <c r="AU85" s="55">
        <f t="shared" si="39"/>
        <v>0.24228111281249998</v>
      </c>
    </row>
    <row r="86" spans="1:59">
      <c r="A86" s="61" t="s">
        <v>467</v>
      </c>
      <c r="B86" s="31" t="s">
        <v>492</v>
      </c>
      <c r="D86" s="31" t="s">
        <v>314</v>
      </c>
      <c r="E86" s="34" cm="1">
        <f t="array" ref="E86:AN86">TRANSPOSE(_xlfn._xlws.FILTER('Raw Data'!EH3:EH326,('Raw Data'!C3:C326=2)*('Raw Data'!EH3:EH326&lt;&gt;"")))</f>
        <v>0.1553902328</v>
      </c>
      <c r="F86" s="34">
        <v>2.17415504E-2</v>
      </c>
      <c r="G86" s="34">
        <v>1.8609818100000002E-2</v>
      </c>
      <c r="H86" s="34">
        <v>3.7510104000000001E-3</v>
      </c>
      <c r="I86" s="34">
        <v>3.3201028E-3</v>
      </c>
      <c r="J86" s="34">
        <v>1.6357539999999999E-3</v>
      </c>
      <c r="K86" s="34">
        <v>1.7565327999999999E-3</v>
      </c>
      <c r="L86" s="34">
        <v>1.6188464000000001E-3</v>
      </c>
      <c r="M86" s="34">
        <v>1.4787253000000001E-3</v>
      </c>
      <c r="N86" s="34">
        <v>1.6789357999999999E-3</v>
      </c>
      <c r="O86" s="34">
        <v>1.8425506000000001E-3</v>
      </c>
      <c r="P86" s="34">
        <v>9.8884822999999993E-3</v>
      </c>
      <c r="Q86" s="34">
        <v>1.2091353500000001E-2</v>
      </c>
      <c r="R86" s="34">
        <v>1.1352533499999999E-2</v>
      </c>
      <c r="S86" s="34">
        <v>1.0160338099999999E-2</v>
      </c>
      <c r="T86" s="34">
        <v>1.4560122E-2</v>
      </c>
      <c r="U86" s="34">
        <v>2.0139483699999999E-2</v>
      </c>
      <c r="V86" s="34">
        <v>1.7803289E-2</v>
      </c>
      <c r="W86" s="34">
        <v>1.77674536E-2</v>
      </c>
      <c r="X86" s="34">
        <v>1.8340073500000002E-2</v>
      </c>
      <c r="Y86" s="34">
        <v>2.22283993E-2</v>
      </c>
      <c r="Z86" s="57">
        <v>2.2144014E-2</v>
      </c>
      <c r="AA86" s="34">
        <v>2.2166114300000001E-2</v>
      </c>
      <c r="AB86" s="34">
        <v>2.7107926099999999E-2</v>
      </c>
      <c r="AC86" s="34">
        <v>2.8635032500000001E-2</v>
      </c>
      <c r="AD86" s="34">
        <v>2.9640004000000001E-2</v>
      </c>
      <c r="AE86" s="34">
        <v>3.10801063E-2</v>
      </c>
      <c r="AF86" s="34">
        <v>3.0297828799999999E-2</v>
      </c>
      <c r="AG86" s="34">
        <v>2.9523696799999999E-2</v>
      </c>
      <c r="AH86" s="34">
        <v>3.2572094400000001E-2</v>
      </c>
      <c r="AI86" s="34">
        <v>3.3114716400000001E-2</v>
      </c>
      <c r="AJ86" s="128">
        <v>1.50702558E-2</v>
      </c>
      <c r="AK86" s="128">
        <v>1.46581596E-2</v>
      </c>
      <c r="AL86" s="128">
        <v>1.3559264099999999E-2</v>
      </c>
      <c r="AM86" s="128">
        <v>1.27191674E-2</v>
      </c>
      <c r="AN86" s="128">
        <v>1.16214892E-2</v>
      </c>
      <c r="AP86" s="57">
        <f t="shared" si="38"/>
        <v>4.0562542900000005E-2</v>
      </c>
      <c r="AQ86" s="57">
        <f t="shared" si="40"/>
        <v>1.6685574833333334E-3</v>
      </c>
      <c r="AR86" s="57">
        <f t="shared" si="41"/>
        <v>1.161056588E-2</v>
      </c>
      <c r="AS86" s="57">
        <f t="shared" si="42"/>
        <v>1.8512574949999999E-2</v>
      </c>
      <c r="AT86" s="297">
        <f t="shared" si="43"/>
        <v>2.2179509199999999E-2</v>
      </c>
      <c r="AU86" s="55">
        <f t="shared" si="39"/>
        <v>3.02464256625E-2</v>
      </c>
    </row>
    <row r="87" spans="1:59" s="137" customFormat="1">
      <c r="A87" s="135" t="s">
        <v>468</v>
      </c>
      <c r="B87" s="136"/>
      <c r="C87" s="136"/>
      <c r="D87" s="136" t="s">
        <v>314</v>
      </c>
      <c r="E87" s="139">
        <f t="shared" ref="E87" si="44">SUM(E68:E86)</f>
        <v>100.00000814050001</v>
      </c>
      <c r="F87" s="139">
        <f t="shared" ref="F87" si="45">SUM(F68:F86)</f>
        <v>100.00001431749999</v>
      </c>
      <c r="G87" s="139">
        <f t="shared" ref="G87" si="46">SUM(G68:G86)</f>
        <v>99.999970551099992</v>
      </c>
      <c r="H87" s="139">
        <f t="shared" ref="H87" si="47">SUM(H68:H86)</f>
        <v>100.0006036903</v>
      </c>
      <c r="I87" s="139">
        <f t="shared" ref="I87" si="48">SUM(I68:I86)</f>
        <v>100.00026444480001</v>
      </c>
      <c r="J87" s="139">
        <f t="shared" ref="J87" si="49">SUM(J68:J86)</f>
        <v>100.00016346360002</v>
      </c>
      <c r="K87" s="139">
        <f t="shared" ref="K87" si="50">SUM(K68:K86)</f>
        <v>100.00004076649999</v>
      </c>
      <c r="L87" s="139">
        <f t="shared" ref="L87" si="51">SUM(L68:L86)</f>
        <v>99.999883680500005</v>
      </c>
      <c r="M87" s="139">
        <f t="shared" ref="M87" si="52">SUM(M68:M86)</f>
        <v>100.0000644445</v>
      </c>
      <c r="N87" s="139">
        <f t="shared" ref="N87" si="53">SUM(N68:N86)</f>
        <v>100.00013757870001</v>
      </c>
      <c r="O87" s="139">
        <f t="shared" ref="O87" si="54">SUM(O68:O86)</f>
        <v>100.0008349738</v>
      </c>
      <c r="P87" s="139">
        <f t="shared" ref="P87" si="55">SUM(P68:P86)</f>
        <v>100.00006032650001</v>
      </c>
      <c r="Q87" s="139">
        <f t="shared" ref="Q87" si="56">SUM(Q68:Q86)</f>
        <v>99.999805752400007</v>
      </c>
      <c r="R87" s="139">
        <f t="shared" ref="R87" si="57">SUM(R68:R86)</f>
        <v>100.00005986319998</v>
      </c>
      <c r="S87" s="139">
        <f t="shared" ref="S87" si="58">SUM(S68:S86)</f>
        <v>99.999941892500004</v>
      </c>
      <c r="T87" s="139">
        <f t="shared" ref="T87" si="59">SUM(T68:T86)</f>
        <v>100.00333353910004</v>
      </c>
      <c r="U87" s="139">
        <f t="shared" ref="U87" si="60">SUM(U68:U86)</f>
        <v>99.999420701100007</v>
      </c>
      <c r="V87" s="139">
        <f t="shared" ref="V87" si="61">SUM(V68:V86)</f>
        <v>100.00030075409998</v>
      </c>
      <c r="W87" s="139">
        <f t="shared" ref="W87" si="62">SUM(W68:W86)</f>
        <v>100.00056049049999</v>
      </c>
      <c r="X87" s="139">
        <f t="shared" ref="X87" si="63">SUM(X68:X86)</f>
        <v>100.0050036775</v>
      </c>
      <c r="Y87" s="139">
        <f t="shared" ref="Y87" si="64">SUM(Y68:Y86)</f>
        <v>100.00030394640001</v>
      </c>
      <c r="Z87" s="139">
        <f>SUM(Z68:Z86)</f>
        <v>100.0002191735</v>
      </c>
      <c r="AA87" s="139">
        <f t="shared" ref="AA87:AK87" si="65">SUM(AA68:AA86)</f>
        <v>100.00021535809999</v>
      </c>
      <c r="AB87" s="139">
        <f t="shared" si="65"/>
        <v>99.99973926780001</v>
      </c>
      <c r="AC87" s="139">
        <f t="shared" si="65"/>
        <v>99.999896946600003</v>
      </c>
      <c r="AD87" s="139">
        <f t="shared" si="65"/>
        <v>100.0000916134</v>
      </c>
      <c r="AE87" s="139">
        <f t="shared" si="65"/>
        <v>100.00017944160001</v>
      </c>
      <c r="AF87" s="139">
        <f t="shared" si="65"/>
        <v>100.00009846780002</v>
      </c>
      <c r="AG87" s="139">
        <f t="shared" si="65"/>
        <v>99.999779820300006</v>
      </c>
      <c r="AH87" s="139">
        <f t="shared" si="65"/>
        <v>100.0001326166</v>
      </c>
      <c r="AI87" s="139">
        <f t="shared" si="65"/>
        <v>99.992742172400014</v>
      </c>
      <c r="AJ87" s="139">
        <f t="shared" si="65"/>
        <v>99.997589475900014</v>
      </c>
      <c r="AK87" s="139">
        <f t="shared" si="65"/>
        <v>99.99946482179999</v>
      </c>
      <c r="AL87" s="139">
        <f t="shared" ref="AL87" si="66">SUM(AL68:AL86)</f>
        <v>99.999144555000001</v>
      </c>
      <c r="AM87" s="139">
        <f t="shared" ref="AM87" si="67">SUM(AM68:AM86)</f>
        <v>100.00001841649997</v>
      </c>
      <c r="AN87" s="139">
        <f t="shared" ref="AN87" si="68">SUM(AN68:AN86)</f>
        <v>100.00000215699998</v>
      </c>
      <c r="AO87" s="136"/>
      <c r="AP87" s="136"/>
      <c r="AQ87" s="136"/>
      <c r="AR87" s="136"/>
      <c r="AS87" s="136"/>
      <c r="AT87" s="283"/>
      <c r="BE87" s="135"/>
    </row>
    <row r="88" spans="1:59">
      <c r="A88" s="61" t="s">
        <v>264</v>
      </c>
      <c r="B88" s="31">
        <v>3</v>
      </c>
      <c r="C88" s="61" t="s">
        <v>461</v>
      </c>
      <c r="D88" s="31" t="s">
        <v>12</v>
      </c>
      <c r="E88" s="57">
        <f t="shared" ref="E88:E106" si="69">E$62*E68/100</f>
        <v>1.1008596807885996E-3</v>
      </c>
      <c r="F88" s="57">
        <f t="shared" ref="F88:Y88" si="70">F$62*F68/100</f>
        <v>1.0631811444050602E-3</v>
      </c>
      <c r="G88" s="57">
        <f t="shared" si="70"/>
        <v>1.1061604117510767E-3</v>
      </c>
      <c r="H88" s="57">
        <f t="shared" si="70"/>
        <v>1.176380908263144E-3</v>
      </c>
      <c r="I88" s="57">
        <f t="shared" si="70"/>
        <v>1.2267855197659774E-3</v>
      </c>
      <c r="J88" s="57">
        <f t="shared" si="70"/>
        <v>3.9729053693198929E-3</v>
      </c>
      <c r="K88" s="57">
        <f t="shared" si="70"/>
        <v>4.3580763454855688E-3</v>
      </c>
      <c r="L88" s="57">
        <f t="shared" si="70"/>
        <v>3.4027722428128077E-3</v>
      </c>
      <c r="M88" s="57">
        <f t="shared" si="70"/>
        <v>4.4841211341709831E-3</v>
      </c>
      <c r="N88" s="57">
        <f t="shared" si="70"/>
        <v>4.6613537628272111E-3</v>
      </c>
      <c r="O88" s="57">
        <f t="shared" si="70"/>
        <v>4.8638381726532386E-3</v>
      </c>
      <c r="P88" s="57">
        <f t="shared" si="70"/>
        <v>1.4118737626441922E-2</v>
      </c>
      <c r="Q88" s="57">
        <f t="shared" si="70"/>
        <v>1.4681802638572156E-2</v>
      </c>
      <c r="R88" s="57">
        <f t="shared" si="70"/>
        <v>1.5161228445800782E-2</v>
      </c>
      <c r="S88" s="57">
        <f t="shared" si="70"/>
        <v>1.6084648677854127E-2</v>
      </c>
      <c r="T88" s="57">
        <f t="shared" si="70"/>
        <v>1.6729700236604837E-2</v>
      </c>
      <c r="U88" s="57">
        <f t="shared" si="70"/>
        <v>4.2882904674039837E-2</v>
      </c>
      <c r="V88" s="57">
        <f t="shared" si="70"/>
        <v>3.9382162668737557E-2</v>
      </c>
      <c r="W88" s="57">
        <f t="shared" si="70"/>
        <v>4.0151889761630546E-2</v>
      </c>
      <c r="X88" s="57">
        <f t="shared" si="70"/>
        <v>4.1075792573025266E-2</v>
      </c>
      <c r="Y88" s="57">
        <f t="shared" si="70"/>
        <v>7.5215629009899157E-2</v>
      </c>
      <c r="Z88" s="57">
        <f t="shared" ref="Z88:Z106" si="71">Z$62*Z68/100</f>
        <v>7.6022650921004353E-2</v>
      </c>
      <c r="AA88" s="57">
        <f t="shared" ref="AA88:AC88" si="72">AA$62*AA68/100</f>
        <v>7.8481373324028159E-2</v>
      </c>
      <c r="AB88" s="57">
        <f t="shared" si="72"/>
        <v>0.10095697862679616</v>
      </c>
      <c r="AC88" s="57">
        <f t="shared" si="72"/>
        <v>0.10197173115635293</v>
      </c>
      <c r="AD88" s="57">
        <f t="shared" ref="AD88:AI88" si="73">AD$62*AD68/100</f>
        <v>0.10367966829856953</v>
      </c>
      <c r="AE88" s="57">
        <f t="shared" si="73"/>
        <v>0.10399168951305515</v>
      </c>
      <c r="AF88" s="57">
        <f t="shared" si="73"/>
        <v>0.10344682278655661</v>
      </c>
      <c r="AG88" s="57">
        <f t="shared" si="73"/>
        <v>0.10671489319298168</v>
      </c>
      <c r="AH88" s="57">
        <f t="shared" si="73"/>
        <v>0.10684945284193378</v>
      </c>
      <c r="AI88" s="57">
        <f t="shared" si="73"/>
        <v>0.1062458122306376</v>
      </c>
      <c r="AJ88" s="125">
        <f t="shared" ref="AJ88:AN88" si="74">AJ$62*AJ68/100</f>
        <v>7.4741550670486662E-5</v>
      </c>
      <c r="AK88" s="125">
        <f t="shared" si="74"/>
        <v>7.6287296639556204E-5</v>
      </c>
      <c r="AL88" s="125">
        <f t="shared" si="74"/>
        <v>7.4064477454029317E-5</v>
      </c>
      <c r="AM88" s="125">
        <f t="shared" si="74"/>
        <v>1.5999855569364299E-4</v>
      </c>
      <c r="AN88" s="125">
        <f t="shared" si="74"/>
        <v>1.6158312660476953E-4</v>
      </c>
      <c r="AP88" s="57">
        <f t="shared" ref="AP88:AU88" si="75">AP$62*AP68/100</f>
        <v>1.1354371077056784E-3</v>
      </c>
      <c r="AQ88" s="57">
        <f t="shared" si="75"/>
        <v>4.2885289261606844E-3</v>
      </c>
      <c r="AR88" s="57">
        <f t="shared" si="75"/>
        <v>1.5352070247922137E-2</v>
      </c>
      <c r="AS88" s="57">
        <f t="shared" si="75"/>
        <v>4.0870664749945475E-2</v>
      </c>
      <c r="AT88" s="284">
        <f t="shared" si="75"/>
        <v>7.656755475835364E-2</v>
      </c>
      <c r="AU88" s="57">
        <f t="shared" si="75"/>
        <v>0.10423276554429529</v>
      </c>
      <c r="BE88" s="61" t="str">
        <f>A88</f>
        <v>Propane</v>
      </c>
      <c r="BF88" s="1" t="s">
        <v>314</v>
      </c>
      <c r="BG88" s="55">
        <f>100*AT88/SUM($AT$61:$AT$62)</f>
        <v>2.5464252555855564</v>
      </c>
    </row>
    <row r="89" spans="1:59">
      <c r="A89" s="66" t="s">
        <v>265</v>
      </c>
      <c r="B89" s="31">
        <v>4</v>
      </c>
      <c r="C89" s="61" t="s">
        <v>462</v>
      </c>
      <c r="D89" s="31" t="s">
        <v>12</v>
      </c>
      <c r="E89" s="57">
        <f t="shared" si="69"/>
        <v>4.3888985294309128E-3</v>
      </c>
      <c r="F89" s="57">
        <f t="shared" ref="F89:Y89" si="76">F$62*F69/100</f>
        <v>3.5165502928101405E-3</v>
      </c>
      <c r="G89" s="57">
        <f t="shared" si="76"/>
        <v>3.5962509917117479E-3</v>
      </c>
      <c r="H89" s="57">
        <f t="shared" si="76"/>
        <v>3.9797119438067475E-3</v>
      </c>
      <c r="I89" s="57">
        <f t="shared" si="76"/>
        <v>4.1062440754208122E-3</v>
      </c>
      <c r="J89" s="57">
        <f t="shared" si="76"/>
        <v>1.2146292234270882E-2</v>
      </c>
      <c r="K89" s="57">
        <f t="shared" si="76"/>
        <v>1.3314577242611654E-2</v>
      </c>
      <c r="L89" s="57">
        <f t="shared" si="76"/>
        <v>1.0419839950908123E-2</v>
      </c>
      <c r="M89" s="57">
        <f t="shared" si="76"/>
        <v>1.357194767346696E-2</v>
      </c>
      <c r="N89" s="57">
        <f t="shared" si="76"/>
        <v>1.4124172036897311E-2</v>
      </c>
      <c r="O89" s="57">
        <f t="shared" si="76"/>
        <v>1.4622305538423332E-2</v>
      </c>
      <c r="P89" s="57">
        <f t="shared" si="76"/>
        <v>3.7849978913101989E-2</v>
      </c>
      <c r="Q89" s="57">
        <f t="shared" si="76"/>
        <v>3.9197867248052819E-2</v>
      </c>
      <c r="R89" s="57">
        <f t="shared" si="76"/>
        <v>4.0215985549145461E-2</v>
      </c>
      <c r="S89" s="57">
        <f t="shared" si="76"/>
        <v>4.2630434689829133E-2</v>
      </c>
      <c r="T89" s="57">
        <f t="shared" si="76"/>
        <v>4.415849516182125E-2</v>
      </c>
      <c r="U89" s="57">
        <f t="shared" si="76"/>
        <v>9.6593840056027475E-2</v>
      </c>
      <c r="V89" s="57">
        <f t="shared" si="76"/>
        <v>9.0410524154411961E-2</v>
      </c>
      <c r="W89" s="57">
        <f t="shared" si="76"/>
        <v>9.193587464616923E-2</v>
      </c>
      <c r="X89" s="57">
        <f t="shared" si="76"/>
        <v>9.3732467260756985E-2</v>
      </c>
      <c r="Y89" s="57">
        <f t="shared" si="76"/>
        <v>0.14972375018853426</v>
      </c>
      <c r="Z89" s="57">
        <f t="shared" si="71"/>
        <v>0.15110415150623829</v>
      </c>
      <c r="AA89" s="57">
        <f t="shared" ref="AA89:AC89" si="77">AA$62*AA69/100</f>
        <v>0.15539770098840061</v>
      </c>
      <c r="AB89" s="57">
        <f t="shared" si="77"/>
        <v>0.19193558777350547</v>
      </c>
      <c r="AC89" s="57">
        <f t="shared" si="77"/>
        <v>0.19488997691947932</v>
      </c>
      <c r="AD89" s="57">
        <f t="shared" ref="AD89:AI89" si="78">AD$62*AD69/100</f>
        <v>0.1979780165995749</v>
      </c>
      <c r="AE89" s="57">
        <f t="shared" si="78"/>
        <v>0.1993446526774571</v>
      </c>
      <c r="AF89" s="57">
        <f t="shared" si="78"/>
        <v>0.19860673441214793</v>
      </c>
      <c r="AG89" s="57">
        <f t="shared" si="78"/>
        <v>0.2039285776026685</v>
      </c>
      <c r="AH89" s="57">
        <f t="shared" si="78"/>
        <v>0.20488626874352531</v>
      </c>
      <c r="AI89" s="57">
        <f t="shared" si="78"/>
        <v>0.20327739293383434</v>
      </c>
      <c r="AJ89" s="125">
        <f t="shared" ref="AJ89:AN89" si="79">AJ$62*AJ69/100</f>
        <v>2.5189289672648526E-4</v>
      </c>
      <c r="AK89" s="125">
        <f t="shared" si="79"/>
        <v>2.9419192058989621E-4</v>
      </c>
      <c r="AL89" s="125">
        <f t="shared" si="79"/>
        <v>3.0716782335199136E-4</v>
      </c>
      <c r="AM89" s="125">
        <f t="shared" si="79"/>
        <v>6.5677658100994152E-4</v>
      </c>
      <c r="AN89" s="125">
        <f t="shared" si="79"/>
        <v>6.5940341452639772E-4</v>
      </c>
      <c r="AP89" s="57">
        <f t="shared" ref="AP89:AU89" si="80">AP$62*AP69/100</f>
        <v>3.9148477405998609E-3</v>
      </c>
      <c r="AQ89" s="57">
        <f t="shared" si="80"/>
        <v>1.302732761213393E-2</v>
      </c>
      <c r="AR89" s="57">
        <f t="shared" si="80"/>
        <v>4.0802785782690469E-2</v>
      </c>
      <c r="AS89" s="57">
        <f t="shared" si="80"/>
        <v>9.3163753911361974E-2</v>
      </c>
      <c r="AT89" s="284">
        <f t="shared" si="80"/>
        <v>0.15206608130352131</v>
      </c>
      <c r="AU89" s="57">
        <f t="shared" si="80"/>
        <v>0.19935725019439779</v>
      </c>
      <c r="BE89" s="61" t="str">
        <f t="shared" ref="BE89:BE106" si="81">A89</f>
        <v>i-Butane</v>
      </c>
      <c r="BF89" s="1" t="s">
        <v>314</v>
      </c>
      <c r="BG89" s="55">
        <f t="shared" ref="BG89:BG106" si="82">100*AT89/SUM($AT$61:$AT$62)</f>
        <v>5.0572975873565609</v>
      </c>
    </row>
    <row r="90" spans="1:59">
      <c r="A90" s="66" t="s">
        <v>266</v>
      </c>
      <c r="B90" s="31">
        <v>4</v>
      </c>
      <c r="C90" s="61" t="s">
        <v>461</v>
      </c>
      <c r="D90" s="31" t="s">
        <v>12</v>
      </c>
      <c r="E90" s="57">
        <f t="shared" si="69"/>
        <v>1.3718052587576273E-3</v>
      </c>
      <c r="F90" s="57">
        <f t="shared" ref="F90:Y90" si="83">F$62*F70/100</f>
        <v>7.0041758735070057E-4</v>
      </c>
      <c r="G90" s="57">
        <f t="shared" si="83"/>
        <v>7.0741495216371643E-4</v>
      </c>
      <c r="H90" s="57">
        <f t="shared" si="83"/>
        <v>7.82403737420096E-4</v>
      </c>
      <c r="I90" s="57">
        <f t="shared" si="83"/>
        <v>7.9184088969361883E-4</v>
      </c>
      <c r="J90" s="57">
        <f t="shared" si="83"/>
        <v>2.4257812577530057E-3</v>
      </c>
      <c r="K90" s="57">
        <f t="shared" si="83"/>
        <v>2.6638775462937176E-3</v>
      </c>
      <c r="L90" s="57">
        <f t="shared" si="83"/>
        <v>2.0968709699406684E-3</v>
      </c>
      <c r="M90" s="57">
        <f t="shared" si="83"/>
        <v>2.7153605850486788E-3</v>
      </c>
      <c r="N90" s="57">
        <f t="shared" si="83"/>
        <v>2.7760924550616251E-3</v>
      </c>
      <c r="O90" s="57">
        <f t="shared" si="83"/>
        <v>2.8854338147538089E-3</v>
      </c>
      <c r="P90" s="57">
        <f t="shared" si="83"/>
        <v>7.5292266877261703E-3</v>
      </c>
      <c r="Q90" s="57">
        <f t="shared" si="83"/>
        <v>7.7221392902574416E-3</v>
      </c>
      <c r="R90" s="57">
        <f t="shared" si="83"/>
        <v>7.8918602590165692E-3</v>
      </c>
      <c r="S90" s="57">
        <f t="shared" si="83"/>
        <v>8.2855982365323579E-3</v>
      </c>
      <c r="T90" s="57">
        <f t="shared" si="83"/>
        <v>8.583611091701894E-3</v>
      </c>
      <c r="U90" s="57">
        <f t="shared" si="83"/>
        <v>1.7404221478426657E-2</v>
      </c>
      <c r="V90" s="57">
        <f t="shared" si="83"/>
        <v>1.6567801386845774E-2</v>
      </c>
      <c r="W90" s="57">
        <f t="shared" si="83"/>
        <v>1.6800193659409532E-2</v>
      </c>
      <c r="X90" s="57">
        <f t="shared" si="83"/>
        <v>1.6896592113042997E-2</v>
      </c>
      <c r="Y90" s="57">
        <f t="shared" si="83"/>
        <v>2.3598419121993092E-2</v>
      </c>
      <c r="Z90" s="57">
        <f t="shared" si="71"/>
        <v>2.3788287898107278E-2</v>
      </c>
      <c r="AA90" s="57">
        <f t="shared" ref="AA90:AC90" si="84">AA$62*AA70/100</f>
        <v>2.4298214835189992E-2</v>
      </c>
      <c r="AB90" s="57">
        <f t="shared" si="84"/>
        <v>2.705813718957599E-2</v>
      </c>
      <c r="AC90" s="57">
        <f t="shared" si="84"/>
        <v>2.7329481135838562E-2</v>
      </c>
      <c r="AD90" s="57">
        <f t="shared" ref="AD90:AI90" si="85">AD$62*AD70/100</f>
        <v>2.7666758904101883E-2</v>
      </c>
      <c r="AE90" s="57">
        <f t="shared" si="85"/>
        <v>2.7637414658327586E-2</v>
      </c>
      <c r="AF90" s="57">
        <f t="shared" si="85"/>
        <v>2.7662548588329266E-2</v>
      </c>
      <c r="AG90" s="57">
        <f t="shared" si="85"/>
        <v>2.8071690864353932E-2</v>
      </c>
      <c r="AH90" s="57">
        <f t="shared" si="85"/>
        <v>2.827415439746862E-2</v>
      </c>
      <c r="AI90" s="57">
        <f t="shared" si="85"/>
        <v>2.7850651086789965E-2</v>
      </c>
      <c r="AJ90" s="125">
        <f t="shared" ref="AJ90:AN90" si="86">AJ$62*AJ70/100</f>
        <v>4.3639308565278228E-5</v>
      </c>
      <c r="AK90" s="125">
        <f t="shared" si="86"/>
        <v>4.6546535940555225E-5</v>
      </c>
      <c r="AL90" s="125">
        <f t="shared" si="86"/>
        <v>4.5635183612413745E-5</v>
      </c>
      <c r="AM90" s="125">
        <f t="shared" si="86"/>
        <v>1.1065780951933166E-4</v>
      </c>
      <c r="AN90" s="125">
        <f t="shared" si="86"/>
        <v>1.1680936189483456E-4</v>
      </c>
      <c r="AP90" s="57">
        <f t="shared" ref="AP90:AU90" si="87">AP$62*AP70/100</f>
        <v>8.6695115064066642E-4</v>
      </c>
      <c r="AQ90" s="57">
        <f t="shared" si="87"/>
        <v>2.592752955379818E-3</v>
      </c>
      <c r="AR90" s="57">
        <f t="shared" si="87"/>
        <v>8.0012095604494685E-3</v>
      </c>
      <c r="AS90" s="57">
        <f t="shared" si="87"/>
        <v>1.6916655716624679E-2</v>
      </c>
      <c r="AT90" s="284">
        <f t="shared" si="87"/>
        <v>2.3894063792999572E-2</v>
      </c>
      <c r="AU90" s="57">
        <f t="shared" si="87"/>
        <v>2.7694217961538058E-2</v>
      </c>
      <c r="BE90" s="61" t="str">
        <f t="shared" si="81"/>
        <v>n-Butane</v>
      </c>
      <c r="BF90" s="1" t="s">
        <v>314</v>
      </c>
      <c r="BG90" s="55">
        <f t="shared" si="82"/>
        <v>0.79465052388170065</v>
      </c>
    </row>
    <row r="91" spans="1:59">
      <c r="A91" s="66" t="s">
        <v>267</v>
      </c>
      <c r="B91" s="31">
        <v>5</v>
      </c>
      <c r="C91" s="61" t="s">
        <v>462</v>
      </c>
      <c r="D91" s="31" t="s">
        <v>12</v>
      </c>
      <c r="E91" s="57">
        <f t="shared" si="69"/>
        <v>3.4934711959227161E-3</v>
      </c>
      <c r="F91" s="57">
        <f t="shared" ref="F91:Y91" si="88">F$62*F71/100</f>
        <v>1.4029003462188152E-3</v>
      </c>
      <c r="G91" s="57">
        <f t="shared" si="88"/>
        <v>1.3503971267175238E-3</v>
      </c>
      <c r="H91" s="57">
        <f t="shared" si="88"/>
        <v>1.1031667574400571E-3</v>
      </c>
      <c r="I91" s="57">
        <f t="shared" si="88"/>
        <v>1.1287025728330855E-3</v>
      </c>
      <c r="J91" s="57">
        <f t="shared" si="88"/>
        <v>3.247574568288085E-3</v>
      </c>
      <c r="K91" s="57">
        <f t="shared" si="88"/>
        <v>3.5441575410264481E-3</v>
      </c>
      <c r="L91" s="57">
        <f t="shared" si="88"/>
        <v>2.8041955328220475E-3</v>
      </c>
      <c r="M91" s="57">
        <f t="shared" si="88"/>
        <v>3.5836791803414104E-3</v>
      </c>
      <c r="N91" s="57">
        <f t="shared" si="88"/>
        <v>3.7215497187360396E-3</v>
      </c>
      <c r="O91" s="57">
        <f t="shared" si="88"/>
        <v>3.8058703443734354E-3</v>
      </c>
      <c r="P91" s="57">
        <f t="shared" si="88"/>
        <v>9.5201251692895901E-3</v>
      </c>
      <c r="Q91" s="57">
        <f t="shared" si="88"/>
        <v>9.8147623633284102E-3</v>
      </c>
      <c r="R91" s="57">
        <f t="shared" si="88"/>
        <v>1.0026946625624276E-2</v>
      </c>
      <c r="S91" s="57">
        <f t="shared" si="88"/>
        <v>1.0540177839283243E-2</v>
      </c>
      <c r="T91" s="57">
        <f t="shared" si="88"/>
        <v>1.0889271335109181E-2</v>
      </c>
      <c r="U91" s="57">
        <f t="shared" si="88"/>
        <v>2.162906855137129E-2</v>
      </c>
      <c r="V91" s="57">
        <f t="shared" si="88"/>
        <v>2.0417903402262461E-2</v>
      </c>
      <c r="W91" s="57">
        <f t="shared" si="88"/>
        <v>2.0632842311235158E-2</v>
      </c>
      <c r="X91" s="57">
        <f t="shared" si="88"/>
        <v>2.1042277285803525E-2</v>
      </c>
      <c r="Y91" s="57">
        <f t="shared" si="88"/>
        <v>2.8974900073245779E-2</v>
      </c>
      <c r="Z91" s="57">
        <f t="shared" si="71"/>
        <v>2.910455725218937E-2</v>
      </c>
      <c r="AA91" s="57">
        <f t="shared" ref="AA91:AC91" si="89">AA$62*AA71/100</f>
        <v>2.9676080603961926E-2</v>
      </c>
      <c r="AB91" s="57">
        <f t="shared" si="89"/>
        <v>3.4441605910011081E-2</v>
      </c>
      <c r="AC91" s="57">
        <f t="shared" si="89"/>
        <v>3.5586988442588674E-2</v>
      </c>
      <c r="AD91" s="57">
        <f t="shared" ref="AD91:AI91" si="90">AD$62*AD71/100</f>
        <v>3.6278684662756258E-2</v>
      </c>
      <c r="AE91" s="57">
        <f t="shared" si="90"/>
        <v>3.7002980379760499E-2</v>
      </c>
      <c r="AF91" s="57">
        <f t="shared" si="90"/>
        <v>3.6907810947345125E-2</v>
      </c>
      <c r="AG91" s="57">
        <f t="shared" si="90"/>
        <v>3.7629787789592799E-2</v>
      </c>
      <c r="AH91" s="57">
        <f t="shared" si="90"/>
        <v>3.8138166441688062E-2</v>
      </c>
      <c r="AI91" s="57">
        <f t="shared" si="90"/>
        <v>3.7931018452313975E-2</v>
      </c>
      <c r="AJ91" s="125">
        <f t="shared" ref="AJ91:AN91" si="91">AJ$62*AJ71/100</f>
        <v>7.996624208253334E-5</v>
      </c>
      <c r="AK91" s="125">
        <f t="shared" si="91"/>
        <v>9.2550832103476468E-5</v>
      </c>
      <c r="AL91" s="125">
        <f t="shared" si="91"/>
        <v>9.8633472275670478E-5</v>
      </c>
      <c r="AM91" s="125">
        <f t="shared" si="91"/>
        <v>1.8292284343370598E-4</v>
      </c>
      <c r="AN91" s="125">
        <f t="shared" si="91"/>
        <v>1.8127516271653748E-4</v>
      </c>
      <c r="AP91" s="57">
        <f t="shared" ref="AP91:AU91" si="92">AP$62*AP71/100</f>
        <v>1.6825597632797041E-3</v>
      </c>
      <c r="AQ91" s="57">
        <f t="shared" si="92"/>
        <v>3.4497070969316769E-3</v>
      </c>
      <c r="AR91" s="57">
        <f t="shared" si="92"/>
        <v>1.0156625939292502E-2</v>
      </c>
      <c r="AS91" s="57">
        <f t="shared" si="92"/>
        <v>2.0929674558778921E-2</v>
      </c>
      <c r="AT91" s="284">
        <f t="shared" si="92"/>
        <v>2.9251091007430806E-2</v>
      </c>
      <c r="AU91" s="57">
        <f t="shared" si="92"/>
        <v>3.6739877208333875E-2</v>
      </c>
      <c r="BE91" s="61" t="str">
        <f t="shared" si="81"/>
        <v>i-Pentane</v>
      </c>
      <c r="BF91" s="1" t="s">
        <v>314</v>
      </c>
      <c r="BG91" s="55">
        <f t="shared" si="82"/>
        <v>0.97281044340294598</v>
      </c>
    </row>
    <row r="92" spans="1:59">
      <c r="A92" s="66" t="s">
        <v>268</v>
      </c>
      <c r="B92" s="31">
        <v>5</v>
      </c>
      <c r="C92" s="61" t="s">
        <v>461</v>
      </c>
      <c r="D92" s="31" t="s">
        <v>12</v>
      </c>
      <c r="E92" s="57">
        <f t="shared" si="69"/>
        <v>1.9267911678529797E-3</v>
      </c>
      <c r="F92" s="57">
        <f t="shared" ref="F92:Y92" si="93">F$62*F72/100</f>
        <v>3.3142062768248354E-4</v>
      </c>
      <c r="G92" s="57">
        <f t="shared" si="93"/>
        <v>2.7708031121753451E-4</v>
      </c>
      <c r="H92" s="57">
        <f t="shared" si="93"/>
        <v>9.9062320791953271E-5</v>
      </c>
      <c r="I92" s="57">
        <f t="shared" si="93"/>
        <v>8.8114126342740202E-5</v>
      </c>
      <c r="J92" s="57">
        <f t="shared" si="93"/>
        <v>2.3163444855710689E-4</v>
      </c>
      <c r="K92" s="57">
        <f t="shared" si="93"/>
        <v>2.4349564126048887E-4</v>
      </c>
      <c r="L92" s="57">
        <f t="shared" si="93"/>
        <v>2.2196663227685545E-4</v>
      </c>
      <c r="M92" s="57">
        <f t="shared" si="93"/>
        <v>2.5743229293486E-4</v>
      </c>
      <c r="N92" s="57">
        <f t="shared" si="93"/>
        <v>2.6683957215571983E-4</v>
      </c>
      <c r="O92" s="57">
        <f t="shared" si="93"/>
        <v>2.7731613961662973E-4</v>
      </c>
      <c r="P92" s="57">
        <f t="shared" si="93"/>
        <v>8.1667202341143236E-4</v>
      </c>
      <c r="Q92" s="57">
        <f t="shared" si="93"/>
        <v>8.4989930904575013E-4</v>
      </c>
      <c r="R92" s="57">
        <f t="shared" si="93"/>
        <v>8.9219075191690348E-4</v>
      </c>
      <c r="S92" s="57">
        <f t="shared" si="93"/>
        <v>9.6120328886534353E-4</v>
      </c>
      <c r="T92" s="57">
        <f t="shared" si="93"/>
        <v>1.0149311048238238E-3</v>
      </c>
      <c r="U92" s="57">
        <f t="shared" si="93"/>
        <v>3.0114225423416379E-3</v>
      </c>
      <c r="V92" s="57">
        <f t="shared" si="93"/>
        <v>2.6238419395798068E-3</v>
      </c>
      <c r="W92" s="57">
        <f t="shared" si="93"/>
        <v>2.6970968425227542E-3</v>
      </c>
      <c r="X92" s="57">
        <f t="shared" si="93"/>
        <v>2.7903978755653997E-3</v>
      </c>
      <c r="Y92" s="57">
        <f t="shared" si="93"/>
        <v>5.8191313022836399E-3</v>
      </c>
      <c r="Z92" s="57">
        <f t="shared" si="71"/>
        <v>5.8885236920355934E-3</v>
      </c>
      <c r="AA92" s="57">
        <f t="shared" ref="AA92:AC92" si="94">AA$62*AA72/100</f>
        <v>6.0581313376242164E-3</v>
      </c>
      <c r="AB92" s="57">
        <f t="shared" si="94"/>
        <v>8.380379223240619E-3</v>
      </c>
      <c r="AC92" s="57">
        <f t="shared" si="94"/>
        <v>8.7476099745004525E-3</v>
      </c>
      <c r="AD92" s="57">
        <f t="shared" ref="AD92:AI92" si="95">AD$62*AD72/100</f>
        <v>8.936055220052308E-3</v>
      </c>
      <c r="AE92" s="57">
        <f t="shared" si="95"/>
        <v>9.2464867526400926E-3</v>
      </c>
      <c r="AF92" s="57">
        <f t="shared" si="95"/>
        <v>9.2045136055170368E-3</v>
      </c>
      <c r="AG92" s="57">
        <f t="shared" si="95"/>
        <v>9.5357717457016482E-3</v>
      </c>
      <c r="AH92" s="57">
        <f t="shared" si="95"/>
        <v>9.6769268020686118E-3</v>
      </c>
      <c r="AI92" s="57">
        <f t="shared" si="95"/>
        <v>9.7055190324693702E-3</v>
      </c>
      <c r="AJ92" s="125">
        <f t="shared" ref="AJ92:AN92" si="96">AJ$62*AJ72/100</f>
        <v>2.3545449298191743E-5</v>
      </c>
      <c r="AK92" s="125">
        <f t="shared" si="96"/>
        <v>1.4681559446698777E-5</v>
      </c>
      <c r="AL92" s="125">
        <f t="shared" si="96"/>
        <v>1.4931157553563054E-5</v>
      </c>
      <c r="AM92" s="125">
        <f t="shared" si="96"/>
        <v>2.2668984200804148E-5</v>
      </c>
      <c r="AN92" s="125">
        <f t="shared" si="96"/>
        <v>1.9321736411384895E-5</v>
      </c>
      <c r="AP92" s="57">
        <f t="shared" ref="AP92:AU92" si="97">AP$62*AP72/100</f>
        <v>5.3391414386601494E-4</v>
      </c>
      <c r="AQ92" s="57">
        <f t="shared" si="97"/>
        <v>2.4972605191069273E-4</v>
      </c>
      <c r="AR92" s="57">
        <f t="shared" si="97"/>
        <v>9.0672617078132154E-4</v>
      </c>
      <c r="AS92" s="57">
        <f t="shared" si="97"/>
        <v>2.7804062291907046E-3</v>
      </c>
      <c r="AT92" s="284">
        <f t="shared" si="97"/>
        <v>5.9215349180013642E-3</v>
      </c>
      <c r="AU92" s="57">
        <f t="shared" si="97"/>
        <v>9.179180224166153E-3</v>
      </c>
      <c r="BE92" s="61" t="str">
        <f t="shared" si="81"/>
        <v>n-Pentane</v>
      </c>
      <c r="BF92" s="1" t="s">
        <v>314</v>
      </c>
      <c r="BG92" s="55">
        <f t="shared" si="82"/>
        <v>0.19693388556835564</v>
      </c>
    </row>
    <row r="93" spans="1:59">
      <c r="A93" s="66" t="s">
        <v>269</v>
      </c>
      <c r="B93" s="31">
        <v>6</v>
      </c>
      <c r="C93" s="61" t="s">
        <v>462</v>
      </c>
      <c r="D93" s="31" t="s">
        <v>12</v>
      </c>
      <c r="E93" s="57">
        <f t="shared" si="69"/>
        <v>8.6768275624720325E-4</v>
      </c>
      <c r="F93" s="57">
        <f t="shared" ref="F93:Y93" si="98">F$62*F73/100</f>
        <v>8.8956692518869372E-4</v>
      </c>
      <c r="G93" s="57">
        <f t="shared" si="98"/>
        <v>9.0322798499435457E-4</v>
      </c>
      <c r="H93" s="57">
        <f t="shared" si="98"/>
        <v>8.417652137337982E-4</v>
      </c>
      <c r="I93" s="57">
        <f t="shared" si="98"/>
        <v>8.3945855928816728E-4</v>
      </c>
      <c r="J93" s="57">
        <f t="shared" si="98"/>
        <v>2.4448011701512147E-3</v>
      </c>
      <c r="K93" s="57">
        <f t="shared" si="98"/>
        <v>2.6469989114134853E-3</v>
      </c>
      <c r="L93" s="57">
        <f t="shared" si="98"/>
        <v>2.1484411819829323E-3</v>
      </c>
      <c r="M93" s="57">
        <f t="shared" si="98"/>
        <v>2.714955086879699E-3</v>
      </c>
      <c r="N93" s="57">
        <f t="shared" si="98"/>
        <v>2.7634676675512659E-3</v>
      </c>
      <c r="O93" s="57">
        <f t="shared" si="98"/>
        <v>2.8245690798688857E-3</v>
      </c>
      <c r="P93" s="57">
        <f t="shared" si="98"/>
        <v>8.1894177334065257E-3</v>
      </c>
      <c r="Q93" s="57">
        <f t="shared" si="98"/>
        <v>8.4080836927320664E-3</v>
      </c>
      <c r="R93" s="57">
        <f t="shared" si="98"/>
        <v>8.6080341747062777E-3</v>
      </c>
      <c r="S93" s="57">
        <f t="shared" si="98"/>
        <v>8.9780253801222971E-3</v>
      </c>
      <c r="T93" s="57">
        <f t="shared" si="98"/>
        <v>9.0947061107290606E-3</v>
      </c>
      <c r="U93" s="57">
        <f t="shared" si="98"/>
        <v>2.7355583008491217E-2</v>
      </c>
      <c r="V93" s="57">
        <f t="shared" si="98"/>
        <v>2.43777460853393E-2</v>
      </c>
      <c r="W93" s="57">
        <f t="shared" si="98"/>
        <v>2.471169454779119E-2</v>
      </c>
      <c r="X93" s="57">
        <f t="shared" si="98"/>
        <v>2.5168652025991053E-2</v>
      </c>
      <c r="Y93" s="57">
        <f t="shared" si="98"/>
        <v>5.9767978862322116E-2</v>
      </c>
      <c r="Z93" s="57">
        <f t="shared" si="71"/>
        <v>5.9803604063132079E-2</v>
      </c>
      <c r="AA93" s="57">
        <f t="shared" ref="AA93:AC93" si="99">AA$62*AA73/100</f>
        <v>6.1764865932006696E-2</v>
      </c>
      <c r="AB93" s="57">
        <f t="shared" si="99"/>
        <v>9.0952318385127351E-2</v>
      </c>
      <c r="AC93" s="57">
        <f t="shared" si="99"/>
        <v>8.9505410595675822E-2</v>
      </c>
      <c r="AD93" s="57">
        <f t="shared" ref="AD93:AI93" si="100">AD$62*AD73/100</f>
        <v>8.8950446543231601E-2</v>
      </c>
      <c r="AE93" s="57">
        <f t="shared" si="100"/>
        <v>8.9464174429604859E-2</v>
      </c>
      <c r="AF93" s="57">
        <f t="shared" si="100"/>
        <v>8.6929461348169437E-2</v>
      </c>
      <c r="AG93" s="57">
        <f t="shared" si="100"/>
        <v>8.990277689181228E-2</v>
      </c>
      <c r="AH93" s="57">
        <f t="shared" si="100"/>
        <v>8.9340150006965408E-2</v>
      </c>
      <c r="AI93" s="57">
        <f t="shared" si="100"/>
        <v>8.8451077822264135E-2</v>
      </c>
      <c r="AJ93" s="125">
        <f t="shared" ref="AJ93:AN93" si="101">AJ$62*AJ73/100</f>
        <v>5.4599225523041543E-5</v>
      </c>
      <c r="AK93" s="125">
        <f t="shared" si="101"/>
        <v>5.4375951930632018E-5</v>
      </c>
      <c r="AL93" s="125">
        <f t="shared" si="101"/>
        <v>5.0826931104190491E-5</v>
      </c>
      <c r="AM93" s="125">
        <f t="shared" si="101"/>
        <v>9.4761718509687589E-5</v>
      </c>
      <c r="AN93" s="125">
        <f t="shared" si="101"/>
        <v>9.2762085288574221E-5</v>
      </c>
      <c r="AP93" s="57">
        <f t="shared" ref="AP93:AU93" si="102">AP$62*AP73/100</f>
        <v>8.6893065467953277E-4</v>
      </c>
      <c r="AQ93" s="57">
        <f t="shared" si="102"/>
        <v>2.5895063555042021E-3</v>
      </c>
      <c r="AR93" s="57">
        <f t="shared" si="102"/>
        <v>8.6548145184404852E-3</v>
      </c>
      <c r="AS93" s="57">
        <f t="shared" si="102"/>
        <v>2.5401372262023211E-2</v>
      </c>
      <c r="AT93" s="284">
        <f t="shared" si="102"/>
        <v>6.0442180918552496E-2</v>
      </c>
      <c r="AU93" s="57">
        <f t="shared" si="102"/>
        <v>8.9191194732322621E-2</v>
      </c>
      <c r="BE93" s="61" t="str">
        <f t="shared" si="81"/>
        <v>2,2-Dimethylbutane</v>
      </c>
      <c r="BF93" s="1" t="s">
        <v>314</v>
      </c>
      <c r="BG93" s="55">
        <f t="shared" si="82"/>
        <v>2.0101398886175281</v>
      </c>
    </row>
    <row r="94" spans="1:59">
      <c r="A94" s="66" t="s">
        <v>270</v>
      </c>
      <c r="B94" s="31">
        <v>6</v>
      </c>
      <c r="C94" s="61" t="s">
        <v>462</v>
      </c>
      <c r="D94" s="31" t="s">
        <v>12</v>
      </c>
      <c r="E94" s="57">
        <f t="shared" si="69"/>
        <v>5.1120056607281703E-3</v>
      </c>
      <c r="F94" s="57">
        <f t="shared" ref="F94:Y94" si="103">F$62*F74/100</f>
        <v>4.9827470381463065E-3</v>
      </c>
      <c r="G94" s="57">
        <f t="shared" si="103"/>
        <v>4.9851225291794839E-3</v>
      </c>
      <c r="H94" s="57">
        <f t="shared" si="103"/>
        <v>4.2697062553150086E-3</v>
      </c>
      <c r="I94" s="57">
        <f t="shared" si="103"/>
        <v>4.3196292174856911E-3</v>
      </c>
      <c r="J94" s="57">
        <f t="shared" si="103"/>
        <v>1.1102276883017872E-2</v>
      </c>
      <c r="K94" s="57">
        <f t="shared" si="103"/>
        <v>1.2140673969209412E-2</v>
      </c>
      <c r="L94" s="57">
        <f t="shared" si="103"/>
        <v>9.7549864772915433E-3</v>
      </c>
      <c r="M94" s="57">
        <f t="shared" si="103"/>
        <v>1.2196838048764177E-2</v>
      </c>
      <c r="N94" s="57">
        <f t="shared" si="103"/>
        <v>1.2408411101719924E-2</v>
      </c>
      <c r="O94" s="57">
        <f t="shared" si="103"/>
        <v>1.261273274558722E-2</v>
      </c>
      <c r="P94" s="57">
        <f t="shared" si="103"/>
        <v>3.1057390029530882E-2</v>
      </c>
      <c r="Q94" s="57">
        <f t="shared" si="103"/>
        <v>3.17057421818491E-2</v>
      </c>
      <c r="R94" s="57">
        <f t="shared" si="103"/>
        <v>3.2035286327367962E-2</v>
      </c>
      <c r="S94" s="57">
        <f t="shared" si="103"/>
        <v>3.2891892599878077E-2</v>
      </c>
      <c r="T94" s="57">
        <f t="shared" si="103"/>
        <v>3.3315950650973709E-2</v>
      </c>
      <c r="U94" s="57">
        <f t="shared" si="103"/>
        <v>7.7151359511405351E-2</v>
      </c>
      <c r="V94" s="57">
        <f t="shared" si="103"/>
        <v>7.2950437936212267E-2</v>
      </c>
      <c r="W94" s="57">
        <f t="shared" si="103"/>
        <v>7.3578341453801127E-2</v>
      </c>
      <c r="X94" s="57">
        <f t="shared" si="103"/>
        <v>7.4514742116264576E-2</v>
      </c>
      <c r="Y94" s="57">
        <f t="shared" si="103"/>
        <v>0.13632466260870463</v>
      </c>
      <c r="Z94" s="57">
        <f t="shared" si="71"/>
        <v>0.13721498989674738</v>
      </c>
      <c r="AA94" s="57">
        <f t="shared" ref="AA94:AC94" si="104">AA$62*AA74/100</f>
        <v>0.14056614823264815</v>
      </c>
      <c r="AB94" s="57">
        <f t="shared" si="104"/>
        <v>0.17469984784123899</v>
      </c>
      <c r="AC94" s="57">
        <f t="shared" si="104"/>
        <v>0.17424125623027537</v>
      </c>
      <c r="AD94" s="57">
        <f t="shared" ref="AD94:AI94" si="105">AD$62*AD74/100</f>
        <v>0.1754187368140781</v>
      </c>
      <c r="AE94" s="57">
        <f t="shared" si="105"/>
        <v>0.1745871790239153</v>
      </c>
      <c r="AF94" s="57">
        <f t="shared" si="105"/>
        <v>0.1719522314397802</v>
      </c>
      <c r="AG94" s="57">
        <f t="shared" si="105"/>
        <v>0.17638926503902713</v>
      </c>
      <c r="AH94" s="57">
        <f t="shared" si="105"/>
        <v>0.17537365488577575</v>
      </c>
      <c r="AI94" s="57">
        <f t="shared" si="105"/>
        <v>0.17326589209374038</v>
      </c>
      <c r="AJ94" s="125">
        <f t="shared" ref="AJ94:AN94" si="106">AJ$62*AJ74/100</f>
        <v>3.4777875648712037E-4</v>
      </c>
      <c r="AK94" s="125">
        <f t="shared" si="106"/>
        <v>3.4214257928273385E-4</v>
      </c>
      <c r="AL94" s="125">
        <f t="shared" si="106"/>
        <v>3.4164564045604341E-4</v>
      </c>
      <c r="AM94" s="125">
        <f t="shared" si="106"/>
        <v>6.0583158026819898E-4</v>
      </c>
      <c r="AN94" s="125">
        <f t="shared" si="106"/>
        <v>6.0841869781505661E-4</v>
      </c>
      <c r="AP94" s="57">
        <f t="shared" ref="AP94:AU94" si="107">AP$62*AP74/100</f>
        <v>4.7349496792587296E-3</v>
      </c>
      <c r="AQ94" s="57">
        <f t="shared" si="107"/>
        <v>1.1697912786633586E-2</v>
      </c>
      <c r="AR94" s="57">
        <f t="shared" si="107"/>
        <v>3.2199519522510142E-2</v>
      </c>
      <c r="AS94" s="57">
        <f t="shared" si="107"/>
        <v>7.4545928989855986E-2</v>
      </c>
      <c r="AT94" s="284">
        <f t="shared" si="107"/>
        <v>0.13802927891557334</v>
      </c>
      <c r="AU94" s="57">
        <f t="shared" si="107"/>
        <v>0.1744942386421551</v>
      </c>
      <c r="BE94" s="61" t="str">
        <f t="shared" si="81"/>
        <v>2,3-Dimethylbutane</v>
      </c>
      <c r="BF94" s="1" t="s">
        <v>314</v>
      </c>
      <c r="BG94" s="55">
        <f t="shared" si="82"/>
        <v>4.5904723345305962</v>
      </c>
    </row>
    <row r="95" spans="1:59">
      <c r="A95" s="66" t="s">
        <v>169</v>
      </c>
      <c r="B95" s="31">
        <v>6</v>
      </c>
      <c r="C95" s="61" t="s">
        <v>462</v>
      </c>
      <c r="D95" s="31" t="s">
        <v>12</v>
      </c>
      <c r="E95" s="57">
        <f t="shared" si="69"/>
        <v>4.8458713208230961E-2</v>
      </c>
      <c r="F95" s="57">
        <f t="shared" ref="F95:Y95" si="108">F$62*F75/100</f>
        <v>4.612965647073116E-2</v>
      </c>
      <c r="G95" s="57">
        <f t="shared" si="108"/>
        <v>4.5404783292549669E-2</v>
      </c>
      <c r="H95" s="57">
        <f t="shared" si="108"/>
        <v>3.7163012887260587E-2</v>
      </c>
      <c r="I95" s="57">
        <f t="shared" si="108"/>
        <v>3.6490717343229506E-2</v>
      </c>
      <c r="J95" s="57">
        <f t="shared" si="108"/>
        <v>8.3042048439377861E-2</v>
      </c>
      <c r="K95" s="57">
        <f t="shared" si="108"/>
        <v>9.0221159978267268E-2</v>
      </c>
      <c r="L95" s="57">
        <f t="shared" si="108"/>
        <v>7.7530163915453768E-2</v>
      </c>
      <c r="M95" s="57">
        <f t="shared" si="108"/>
        <v>8.9982573342535246E-2</v>
      </c>
      <c r="N95" s="57">
        <f t="shared" si="108"/>
        <v>8.9424602035333367E-2</v>
      </c>
      <c r="O95" s="57">
        <f t="shared" si="108"/>
        <v>8.9520621659652466E-2</v>
      </c>
      <c r="P95" s="57">
        <f t="shared" si="108"/>
        <v>0.19812208730285819</v>
      </c>
      <c r="Q95" s="57">
        <f t="shared" si="108"/>
        <v>0.19865893072925167</v>
      </c>
      <c r="R95" s="57">
        <f t="shared" si="108"/>
        <v>0.19785550241305014</v>
      </c>
      <c r="S95" s="57">
        <f t="shared" si="108"/>
        <v>0.19899690555135036</v>
      </c>
      <c r="T95" s="57">
        <f t="shared" si="108"/>
        <v>0.20027574650963614</v>
      </c>
      <c r="U95" s="57">
        <f t="shared" si="108"/>
        <v>0.40278203814008207</v>
      </c>
      <c r="V95" s="57">
        <f t="shared" si="108"/>
        <v>0.38818344953191219</v>
      </c>
      <c r="W95" s="57">
        <f t="shared" si="108"/>
        <v>0.38894419838461802</v>
      </c>
      <c r="X95" s="57">
        <f t="shared" si="108"/>
        <v>0.39078338717197608</v>
      </c>
      <c r="Y95" s="57">
        <f t="shared" si="108"/>
        <v>0.62730782840365074</v>
      </c>
      <c r="Z95" s="57">
        <f t="shared" si="71"/>
        <v>0.62783315808432993</v>
      </c>
      <c r="AA95" s="57">
        <f t="shared" ref="AA95:AC95" si="109">AA$62*AA75/100</f>
        <v>0.63946759190671776</v>
      </c>
      <c r="AB95" s="57">
        <f t="shared" si="109"/>
        <v>0.74322033698797829</v>
      </c>
      <c r="AC95" s="57">
        <f t="shared" si="109"/>
        <v>0.73869609503945244</v>
      </c>
      <c r="AD95" s="57">
        <f t="shared" ref="AD95:AI95" si="110">AD$62*AD75/100</f>
        <v>0.74428292543035512</v>
      </c>
      <c r="AE95" s="57">
        <f t="shared" si="110"/>
        <v>0.73605069756714003</v>
      </c>
      <c r="AF95" s="57">
        <f t="shared" si="110"/>
        <v>0.72674729042973341</v>
      </c>
      <c r="AG95" s="57">
        <f t="shared" si="110"/>
        <v>0.74243752291677723</v>
      </c>
      <c r="AH95" s="57">
        <f t="shared" si="110"/>
        <v>0.73676858118066746</v>
      </c>
      <c r="AI95" s="57">
        <f t="shared" si="110"/>
        <v>0.72620438055324488</v>
      </c>
      <c r="AJ95" s="125">
        <f t="shared" ref="AJ95:AN95" si="111">AJ$62*AJ75/100</f>
        <v>3.8324993227922786E-3</v>
      </c>
      <c r="AK95" s="125">
        <f t="shared" si="111"/>
        <v>3.5346215172532198E-3</v>
      </c>
      <c r="AL95" s="125">
        <f t="shared" si="111"/>
        <v>3.5840277295680865E-3</v>
      </c>
      <c r="AM95" s="125">
        <f t="shared" si="111"/>
        <v>5.2811086104700899E-3</v>
      </c>
      <c r="AN95" s="125">
        <f t="shared" si="111"/>
        <v>5.3379844940913482E-3</v>
      </c>
      <c r="AP95" s="57">
        <f t="shared" ref="AP95:AU95" si="112">AP$62*AP75/100</f>
        <v>4.2722397372267053E-2</v>
      </c>
      <c r="AQ95" s="57">
        <f t="shared" si="112"/>
        <v>8.6593818549191737E-2</v>
      </c>
      <c r="AR95" s="57">
        <f t="shared" si="112"/>
        <v>0.19878641277049361</v>
      </c>
      <c r="AS95" s="57">
        <f t="shared" si="112"/>
        <v>0.39266490002491877</v>
      </c>
      <c r="AT95" s="284">
        <f t="shared" si="112"/>
        <v>0.63152652968547296</v>
      </c>
      <c r="AU95" s="57">
        <f t="shared" si="112"/>
        <v>0.73681349427922271</v>
      </c>
      <c r="BE95" s="61" t="str">
        <f t="shared" si="81"/>
        <v>2-Methylpentane</v>
      </c>
      <c r="BF95" s="1" t="s">
        <v>314</v>
      </c>
      <c r="BG95" s="55">
        <f t="shared" si="82"/>
        <v>21.002826978589646</v>
      </c>
    </row>
    <row r="96" spans="1:59">
      <c r="A96" s="66" t="s">
        <v>171</v>
      </c>
      <c r="B96" s="31">
        <v>6</v>
      </c>
      <c r="C96" s="61" t="s">
        <v>462</v>
      </c>
      <c r="D96" s="31" t="s">
        <v>12</v>
      </c>
      <c r="E96" s="57">
        <f t="shared" si="69"/>
        <v>3.7651966217825926E-2</v>
      </c>
      <c r="F96" s="57">
        <f t="shared" ref="F96:Y96" si="113">F$62*F76/100</f>
        <v>3.6124277070864734E-2</v>
      </c>
      <c r="G96" s="57">
        <f t="shared" si="113"/>
        <v>3.5328683699350119E-2</v>
      </c>
      <c r="H96" s="57">
        <f t="shared" si="113"/>
        <v>3.0444812512313423E-2</v>
      </c>
      <c r="I96" s="57">
        <f t="shared" si="113"/>
        <v>2.9578289804329024E-2</v>
      </c>
      <c r="J96" s="57">
        <f t="shared" si="113"/>
        <v>5.566371186228844E-2</v>
      </c>
      <c r="K96" s="57">
        <f t="shared" si="113"/>
        <v>5.98576851569095E-2</v>
      </c>
      <c r="L96" s="57">
        <f t="shared" si="113"/>
        <v>5.2851114797549156E-2</v>
      </c>
      <c r="M96" s="57">
        <f t="shared" si="113"/>
        <v>5.969815104847534E-2</v>
      </c>
      <c r="N96" s="57">
        <f t="shared" si="113"/>
        <v>5.8892133038337617E-2</v>
      </c>
      <c r="O96" s="57">
        <f t="shared" si="113"/>
        <v>5.8598242019938587E-2</v>
      </c>
      <c r="P96" s="57">
        <f t="shared" si="113"/>
        <v>0.12292253498493777</v>
      </c>
      <c r="Q96" s="57">
        <f t="shared" si="113"/>
        <v>0.12286984543484138</v>
      </c>
      <c r="R96" s="57">
        <f t="shared" si="113"/>
        <v>0.12205372046545404</v>
      </c>
      <c r="S96" s="57">
        <f t="shared" si="113"/>
        <v>0.12212198479059312</v>
      </c>
      <c r="T96" s="57">
        <f t="shared" si="113"/>
        <v>0.12270961708736298</v>
      </c>
      <c r="U96" s="57">
        <f t="shared" si="113"/>
        <v>0.25069289291020974</v>
      </c>
      <c r="V96" s="57">
        <f t="shared" si="113"/>
        <v>0.24058468124597659</v>
      </c>
      <c r="W96" s="57">
        <f t="shared" si="113"/>
        <v>0.24069733070591934</v>
      </c>
      <c r="X96" s="57">
        <f t="shared" si="113"/>
        <v>0.24163172893295173</v>
      </c>
      <c r="Y96" s="57">
        <f t="shared" si="113"/>
        <v>0.39683090930829601</v>
      </c>
      <c r="Z96" s="57">
        <f t="shared" si="71"/>
        <v>0.3966753757492219</v>
      </c>
      <c r="AA96" s="57">
        <f t="shared" ref="AA96:AC96" si="114">AA$62*AA76/100</f>
        <v>0.40382753464629578</v>
      </c>
      <c r="AB96" s="57">
        <f t="shared" si="114"/>
        <v>0.47005574561835595</v>
      </c>
      <c r="AC96" s="57">
        <f t="shared" si="114"/>
        <v>0.46663641270674033</v>
      </c>
      <c r="AD96" s="57">
        <f t="shared" ref="AD96:AI96" si="115">AD$62*AD76/100</f>
        <v>0.46940413027247757</v>
      </c>
      <c r="AE96" s="57">
        <f t="shared" si="115"/>
        <v>0.46447694007007345</v>
      </c>
      <c r="AF96" s="57">
        <f t="shared" si="115"/>
        <v>0.45810899879438549</v>
      </c>
      <c r="AG96" s="57">
        <f t="shared" si="115"/>
        <v>0.46891316323170712</v>
      </c>
      <c r="AH96" s="57">
        <f t="shared" si="115"/>
        <v>0.46432554202453102</v>
      </c>
      <c r="AI96" s="57">
        <f t="shared" si="115"/>
        <v>0.45747219162563846</v>
      </c>
      <c r="AJ96" s="125">
        <f t="shared" ref="AJ96:AN96" si="116">AJ$62*AJ76/100</f>
        <v>1.2590639905450335E-2</v>
      </c>
      <c r="AK96" s="125">
        <f t="shared" si="116"/>
        <v>1.2074882999273501E-2</v>
      </c>
      <c r="AL96" s="125">
        <f t="shared" si="116"/>
        <v>1.2409076730293995E-2</v>
      </c>
      <c r="AM96" s="125">
        <f t="shared" si="116"/>
        <v>1.2753128983840168E-2</v>
      </c>
      <c r="AN96" s="125">
        <f t="shared" si="116"/>
        <v>1.2758161829489561E-2</v>
      </c>
      <c r="AP96" s="57">
        <f t="shared" ref="AP96:AU96" si="117">AP$62*AP76/100</f>
        <v>3.3820630737438684E-2</v>
      </c>
      <c r="AQ96" s="57">
        <f t="shared" si="117"/>
        <v>5.7579253036133364E-2</v>
      </c>
      <c r="AR96" s="57">
        <f t="shared" si="117"/>
        <v>0.122540569568267</v>
      </c>
      <c r="AS96" s="57">
        <f t="shared" si="117"/>
        <v>0.24339588720004671</v>
      </c>
      <c r="AT96" s="284">
        <f t="shared" si="117"/>
        <v>0.39910672952107901</v>
      </c>
      <c r="AU96" s="57">
        <f t="shared" si="117"/>
        <v>0.46493208548676696</v>
      </c>
      <c r="BE96" s="61" t="str">
        <f t="shared" si="81"/>
        <v>3-Methylpentane</v>
      </c>
      <c r="BF96" s="1" t="s">
        <v>314</v>
      </c>
      <c r="BG96" s="55">
        <f t="shared" si="82"/>
        <v>13.27318678171252</v>
      </c>
    </row>
    <row r="97" spans="1:59">
      <c r="A97" s="66" t="s">
        <v>174</v>
      </c>
      <c r="B97" s="31">
        <v>6</v>
      </c>
      <c r="C97" s="61" t="s">
        <v>461</v>
      </c>
      <c r="D97" s="31" t="s">
        <v>12</v>
      </c>
      <c r="E97" s="57">
        <f t="shared" si="69"/>
        <v>2.4775422601360706</v>
      </c>
      <c r="F97" s="57">
        <f t="shared" ref="F97:Y97" si="118">F$62*F77/100</f>
        <v>2.4115735441540407</v>
      </c>
      <c r="G97" s="57">
        <f t="shared" si="118"/>
        <v>2.3423273177608737</v>
      </c>
      <c r="H97" s="57">
        <f t="shared" si="118"/>
        <v>2.4107414745024709</v>
      </c>
      <c r="I97" s="57">
        <f t="shared" si="118"/>
        <v>2.3420068197545656</v>
      </c>
      <c r="J97" s="57">
        <f t="shared" si="118"/>
        <v>2.2681903452174392</v>
      </c>
      <c r="K97" s="57">
        <f t="shared" si="118"/>
        <v>2.3251050998002949</v>
      </c>
      <c r="L97" s="57">
        <f t="shared" si="118"/>
        <v>2.2993888155779616</v>
      </c>
      <c r="M97" s="57">
        <f t="shared" si="118"/>
        <v>2.3219577800102154</v>
      </c>
      <c r="N97" s="57">
        <f t="shared" si="118"/>
        <v>2.3111108392856829</v>
      </c>
      <c r="O97" s="57">
        <f t="shared" si="118"/>
        <v>2.2831411933997177</v>
      </c>
      <c r="P97" s="57">
        <f t="shared" si="118"/>
        <v>2.1144974723555143</v>
      </c>
      <c r="Q97" s="57">
        <f t="shared" si="118"/>
        <v>2.1321696395234513</v>
      </c>
      <c r="R97" s="57">
        <f t="shared" si="118"/>
        <v>2.0972297646078886</v>
      </c>
      <c r="S97" s="57">
        <f t="shared" si="118"/>
        <v>2.1216171328111297</v>
      </c>
      <c r="T97" s="57">
        <f t="shared" si="118"/>
        <v>2.1411573393469823</v>
      </c>
      <c r="U97" s="57">
        <f t="shared" si="118"/>
        <v>1.7208368187250835</v>
      </c>
      <c r="V97" s="57">
        <f t="shared" si="118"/>
        <v>1.7468692342152201</v>
      </c>
      <c r="W97" s="57">
        <f t="shared" si="118"/>
        <v>1.7540046463114485</v>
      </c>
      <c r="X97" s="57">
        <f t="shared" si="118"/>
        <v>1.7522725835317039</v>
      </c>
      <c r="Y97" s="57">
        <f t="shared" si="118"/>
        <v>1.2114989901298749</v>
      </c>
      <c r="Z97" s="57">
        <f t="shared" si="71"/>
        <v>1.2200020945048033</v>
      </c>
      <c r="AA97" s="57">
        <f t="shared" ref="AA97:AC97" si="119">AA$62*AA77/100</f>
        <v>1.2217767788055984</v>
      </c>
      <c r="AB97" s="57">
        <f t="shared" si="119"/>
        <v>0.96023778563065487</v>
      </c>
      <c r="AC97" s="57">
        <f t="shared" si="119"/>
        <v>0.9731859418065032</v>
      </c>
      <c r="AD97" s="57">
        <f t="shared" ref="AD97:AI97" si="120">AD$62*AD77/100</f>
        <v>1.0061139307325062</v>
      </c>
      <c r="AE97" s="57">
        <f t="shared" si="120"/>
        <v>0.97645561320601171</v>
      </c>
      <c r="AF97" s="57">
        <f t="shared" si="120"/>
        <v>0.99158687600873208</v>
      </c>
      <c r="AG97" s="57">
        <f t="shared" si="120"/>
        <v>0.99579358860813072</v>
      </c>
      <c r="AH97" s="57">
        <f t="shared" si="120"/>
        <v>0.9910557922353701</v>
      </c>
      <c r="AI97" s="57">
        <f t="shared" si="120"/>
        <v>0.97287851568794848</v>
      </c>
      <c r="AJ97" s="125">
        <f t="shared" ref="AJ97:AN97" si="121">AJ$62*AJ77/100</f>
        <v>2.5784162070980456</v>
      </c>
      <c r="AK97" s="125">
        <f t="shared" si="121"/>
        <v>2.5009239197821245</v>
      </c>
      <c r="AL97" s="125">
        <f t="shared" si="121"/>
        <v>2.5882720128858692</v>
      </c>
      <c r="AM97" s="125">
        <f t="shared" si="121"/>
        <v>2.5237611446147783</v>
      </c>
      <c r="AN97" s="125">
        <f t="shared" si="121"/>
        <v>2.5177643410981774</v>
      </c>
      <c r="AP97" s="57">
        <f t="shared" ref="AP97:AU97" si="122">AP$62*AP77/100</f>
        <v>2.396903403396756</v>
      </c>
      <c r="AQ97" s="57">
        <f t="shared" si="122"/>
        <v>2.3015283818380725</v>
      </c>
      <c r="AR97" s="57">
        <f t="shared" si="122"/>
        <v>2.1213360860382839</v>
      </c>
      <c r="AS97" s="57">
        <f t="shared" si="122"/>
        <v>1.7435211485546476</v>
      </c>
      <c r="AT97" s="284">
        <f t="shared" si="122"/>
        <v>1.2177840462597633</v>
      </c>
      <c r="AU97" s="57">
        <f t="shared" si="122"/>
        <v>0.98338257131623696</v>
      </c>
      <c r="BE97" s="61" t="str">
        <f t="shared" si="81"/>
        <v>n-Hexane</v>
      </c>
      <c r="BF97" s="1" t="s">
        <v>314</v>
      </c>
      <c r="BG97" s="55">
        <f t="shared" si="82"/>
        <v>40.500131694576638</v>
      </c>
    </row>
    <row r="98" spans="1:59">
      <c r="A98" s="66" t="s">
        <v>272</v>
      </c>
      <c r="B98" s="31">
        <v>6</v>
      </c>
      <c r="C98" s="61" t="s">
        <v>463</v>
      </c>
      <c r="D98" s="31" t="s">
        <v>12</v>
      </c>
      <c r="E98" s="57">
        <f t="shared" si="69"/>
        <v>1.4460643611976303E-2</v>
      </c>
      <c r="F98" s="57">
        <f t="shared" ref="F98:Y98" si="123">F$62*F78/100</f>
        <v>1.3800246385983383E-2</v>
      </c>
      <c r="G98" s="57">
        <f t="shared" si="123"/>
        <v>1.3127839079319217E-2</v>
      </c>
      <c r="H98" s="57">
        <f t="shared" si="123"/>
        <v>1.3427672291648736E-2</v>
      </c>
      <c r="I98" s="57">
        <f t="shared" si="123"/>
        <v>1.2801100145080553E-2</v>
      </c>
      <c r="J98" s="57">
        <f t="shared" si="123"/>
        <v>1.0787194657954162E-2</v>
      </c>
      <c r="K98" s="57">
        <f t="shared" si="123"/>
        <v>1.0959765397755381E-2</v>
      </c>
      <c r="L98" s="57">
        <f t="shared" si="123"/>
        <v>1.1254825456536959E-2</v>
      </c>
      <c r="M98" s="57">
        <f t="shared" si="123"/>
        <v>1.0782235328158571E-2</v>
      </c>
      <c r="N98" s="57">
        <f t="shared" si="123"/>
        <v>1.0352930794760658E-2</v>
      </c>
      <c r="O98" s="57">
        <f t="shared" si="123"/>
        <v>1.0122062448319454E-2</v>
      </c>
      <c r="P98" s="57">
        <f t="shared" si="123"/>
        <v>9.1996797897953477E-3</v>
      </c>
      <c r="Q98" s="57">
        <f t="shared" si="123"/>
        <v>9.1308596017354478E-3</v>
      </c>
      <c r="R98" s="57">
        <f t="shared" si="123"/>
        <v>8.9224222582732701E-3</v>
      </c>
      <c r="S98" s="57">
        <f t="shared" si="123"/>
        <v>8.7679130817921776E-3</v>
      </c>
      <c r="T98" s="57">
        <f t="shared" si="123"/>
        <v>8.7445198908846847E-3</v>
      </c>
      <c r="U98" s="57">
        <f t="shared" si="123"/>
        <v>9.0351981120191556E-3</v>
      </c>
      <c r="V98" s="57">
        <f t="shared" si="123"/>
        <v>9.06729134102373E-3</v>
      </c>
      <c r="W98" s="57">
        <f t="shared" si="123"/>
        <v>9.0238818584318509E-3</v>
      </c>
      <c r="X98" s="57">
        <f t="shared" si="123"/>
        <v>8.9738205172063754E-3</v>
      </c>
      <c r="Y98" s="57">
        <f t="shared" si="123"/>
        <v>8.6940290761343547E-3</v>
      </c>
      <c r="Z98" s="57">
        <f t="shared" si="71"/>
        <v>8.5598328227506452E-3</v>
      </c>
      <c r="AA98" s="57">
        <f t="shared" ref="AA98:AC98" si="124">AA$62*AA78/100</f>
        <v>8.5347538950856731E-3</v>
      </c>
      <c r="AB98" s="57">
        <f t="shared" si="124"/>
        <v>7.4605555334329035E-3</v>
      </c>
      <c r="AC98" s="57">
        <f t="shared" si="124"/>
        <v>7.199845883294839E-3</v>
      </c>
      <c r="AD98" s="57">
        <f t="shared" ref="AD98:AI98" si="125">AD$62*AD78/100</f>
        <v>7.2723265301226506E-3</v>
      </c>
      <c r="AE98" s="57">
        <f t="shared" si="125"/>
        <v>6.8942183539684879E-3</v>
      </c>
      <c r="AF98" s="57">
        <f t="shared" si="125"/>
        <v>6.8854546397368079E-3</v>
      </c>
      <c r="AG98" s="57">
        <f t="shared" si="125"/>
        <v>7.151008829345027E-3</v>
      </c>
      <c r="AH98" s="57">
        <f t="shared" si="125"/>
        <v>6.775838836819632E-3</v>
      </c>
      <c r="AI98" s="57">
        <f t="shared" si="125"/>
        <v>6.595576115912466E-3</v>
      </c>
      <c r="AJ98" s="125">
        <f t="shared" ref="AJ98:AN98" si="126">AJ$62*AJ78/100</f>
        <v>1.7728374882519341E-3</v>
      </c>
      <c r="AK98" s="125">
        <f t="shared" si="126"/>
        <v>1.5798919932619605E-2</v>
      </c>
      <c r="AL98" s="125">
        <f t="shared" si="126"/>
        <v>1.6569408064071648E-2</v>
      </c>
      <c r="AM98" s="125">
        <f t="shared" si="126"/>
        <v>1.5429971285484028E-2</v>
      </c>
      <c r="AN98" s="125">
        <f t="shared" si="126"/>
        <v>1.5504604011684775E-2</v>
      </c>
      <c r="AP98" s="57">
        <f t="shared" ref="AP98:AU98" si="127">AP$62*AP78/100</f>
        <v>1.3519372030771602E-2</v>
      </c>
      <c r="AQ98" s="57">
        <f t="shared" si="127"/>
        <v>1.0711181457488526E-2</v>
      </c>
      <c r="AR98" s="57">
        <f t="shared" si="127"/>
        <v>8.9540154708032584E-3</v>
      </c>
      <c r="AS98" s="57">
        <f t="shared" si="127"/>
        <v>9.0251372655979611E-3</v>
      </c>
      <c r="AT98" s="284">
        <f t="shared" si="127"/>
        <v>8.5968827767684119E-3</v>
      </c>
      <c r="AU98" s="57">
        <f t="shared" si="127"/>
        <v>7.0291429009310315E-3</v>
      </c>
      <c r="BE98" s="61" t="str">
        <f t="shared" si="81"/>
        <v>Methylcyclopentane</v>
      </c>
      <c r="BF98" s="1" t="s">
        <v>314</v>
      </c>
      <c r="BG98" s="55">
        <f t="shared" si="82"/>
        <v>0.28590856128500292</v>
      </c>
    </row>
    <row r="99" spans="1:59">
      <c r="A99" s="66" t="s">
        <v>273</v>
      </c>
      <c r="B99" s="31">
        <v>7</v>
      </c>
      <c r="C99" s="61" t="s">
        <v>462</v>
      </c>
      <c r="D99" s="31" t="s">
        <v>12</v>
      </c>
      <c r="E99" s="57">
        <f t="shared" si="69"/>
        <v>1.4765700447256775E-2</v>
      </c>
      <c r="F99" s="57">
        <f t="shared" ref="F99:Y99" si="128">F$62*F79/100</f>
        <v>1.3440387143127301E-2</v>
      </c>
      <c r="G99" s="57">
        <f t="shared" si="128"/>
        <v>1.3148307857216093E-2</v>
      </c>
      <c r="H99" s="57">
        <f t="shared" si="128"/>
        <v>1.123852585613053E-2</v>
      </c>
      <c r="I99" s="57">
        <f t="shared" si="128"/>
        <v>1.0871690497454978E-2</v>
      </c>
      <c r="J99" s="57">
        <f t="shared" si="128"/>
        <v>2.1030035324084258E-2</v>
      </c>
      <c r="K99" s="57">
        <f t="shared" si="128"/>
        <v>2.2480779804832304E-2</v>
      </c>
      <c r="L99" s="57">
        <f t="shared" si="128"/>
        <v>2.0400072176783187E-2</v>
      </c>
      <c r="M99" s="57">
        <f t="shared" si="128"/>
        <v>2.2417947030681003E-2</v>
      </c>
      <c r="N99" s="57">
        <f t="shared" si="128"/>
        <v>2.2021094557360264E-2</v>
      </c>
      <c r="O99" s="57">
        <f t="shared" si="128"/>
        <v>2.1847787275979278E-2</v>
      </c>
      <c r="P99" s="57">
        <f t="shared" si="128"/>
        <v>3.6742882837658752E-2</v>
      </c>
      <c r="Q99" s="57">
        <f t="shared" si="128"/>
        <v>3.632969415549972E-2</v>
      </c>
      <c r="R99" s="57">
        <f t="shared" si="128"/>
        <v>3.5604971925807707E-2</v>
      </c>
      <c r="S99" s="57">
        <f t="shared" si="128"/>
        <v>3.5328669226031909E-2</v>
      </c>
      <c r="T99" s="57">
        <f t="shared" si="128"/>
        <v>3.542819242642252E-2</v>
      </c>
      <c r="U99" s="57">
        <f t="shared" si="128"/>
        <v>4.2581070749232258E-2</v>
      </c>
      <c r="V99" s="57">
        <f t="shared" si="128"/>
        <v>4.3968972078749127E-2</v>
      </c>
      <c r="W99" s="57">
        <f t="shared" si="128"/>
        <v>4.3565208892594146E-2</v>
      </c>
      <c r="X99" s="57">
        <f t="shared" si="128"/>
        <v>4.319404866254023E-2</v>
      </c>
      <c r="Y99" s="57">
        <f t="shared" si="128"/>
        <v>3.5377471571024659E-2</v>
      </c>
      <c r="Z99" s="57">
        <f t="shared" si="71"/>
        <v>3.5116797412585658E-2</v>
      </c>
      <c r="AA99" s="57">
        <f t="shared" ref="AA99:AC99" si="129">AA$62*AA79/100</f>
        <v>3.4821888851646061E-2</v>
      </c>
      <c r="AB99" s="57">
        <f t="shared" si="129"/>
        <v>2.4581725231497618E-2</v>
      </c>
      <c r="AC99" s="57">
        <f t="shared" si="129"/>
        <v>2.4153083898257339E-2</v>
      </c>
      <c r="AD99" s="57">
        <f t="shared" ref="AD99:AI99" si="130">AD$62*AD79/100</f>
        <v>2.4410616093703538E-2</v>
      </c>
      <c r="AE99" s="57">
        <f t="shared" si="130"/>
        <v>2.3202916267318206E-2</v>
      </c>
      <c r="AF99" s="57">
        <f t="shared" si="130"/>
        <v>2.3334269209827688E-2</v>
      </c>
      <c r="AG99" s="57">
        <f t="shared" si="130"/>
        <v>2.2771337611953445E-2</v>
      </c>
      <c r="AH99" s="57">
        <f t="shared" si="130"/>
        <v>2.2478847970368875E-2</v>
      </c>
      <c r="AI99" s="57">
        <f t="shared" si="130"/>
        <v>2.1855873185877006E-2</v>
      </c>
      <c r="AJ99" s="125">
        <f t="shared" ref="AJ99:AN99" si="131">AJ$62*AJ79/100</f>
        <v>9.6235894262764745E-4</v>
      </c>
      <c r="AK99" s="125">
        <f t="shared" si="131"/>
        <v>8.7882325983652224E-4</v>
      </c>
      <c r="AL99" s="125">
        <f t="shared" si="131"/>
        <v>8.8289249005039927E-4</v>
      </c>
      <c r="AM99" s="125">
        <f t="shared" si="131"/>
        <v>1.5421326859393727E-3</v>
      </c>
      <c r="AN99" s="125">
        <f t="shared" si="131"/>
        <v>1.5619835990852266E-3</v>
      </c>
      <c r="AP99" s="57">
        <f t="shared" ref="AP99:AU99" si="132">AP$62*AP79/100</f>
        <v>1.2686045829933729E-2</v>
      </c>
      <c r="AQ99" s="57">
        <f t="shared" si="132"/>
        <v>2.1695330332879337E-2</v>
      </c>
      <c r="AR99" s="57">
        <f t="shared" si="132"/>
        <v>3.5889541544736975E-2</v>
      </c>
      <c r="AS99" s="57">
        <f t="shared" si="132"/>
        <v>4.3328654254996019E-2</v>
      </c>
      <c r="AT99" s="284">
        <f t="shared" si="132"/>
        <v>3.5108113510361555E-2</v>
      </c>
      <c r="AU99" s="57">
        <f t="shared" si="132"/>
        <v>2.3349089640893807E-2</v>
      </c>
      <c r="BE99" s="61" t="str">
        <f t="shared" si="81"/>
        <v>2-Methylhexane</v>
      </c>
      <c r="BF99" s="1" t="s">
        <v>314</v>
      </c>
      <c r="BG99" s="55">
        <f t="shared" si="82"/>
        <v>1.1675988243440076</v>
      </c>
    </row>
    <row r="100" spans="1:59">
      <c r="A100" s="66" t="s">
        <v>274</v>
      </c>
      <c r="B100" s="31">
        <v>7</v>
      </c>
      <c r="C100" s="61" t="s">
        <v>462</v>
      </c>
      <c r="D100" s="31" t="s">
        <v>12</v>
      </c>
      <c r="E100" s="57">
        <f t="shared" si="69"/>
        <v>1.283411583331104E-2</v>
      </c>
      <c r="F100" s="57">
        <f t="shared" ref="F100:Y100" si="133">F$62*F80/100</f>
        <v>1.1663862070802593E-2</v>
      </c>
      <c r="G100" s="57">
        <f t="shared" si="133"/>
        <v>1.1365146244696549E-2</v>
      </c>
      <c r="H100" s="57">
        <f t="shared" si="133"/>
        <v>9.3365865998877168E-3</v>
      </c>
      <c r="I100" s="57">
        <f t="shared" si="133"/>
        <v>9.0129766836486002E-3</v>
      </c>
      <c r="J100" s="57">
        <f t="shared" si="133"/>
        <v>1.9081187773480206E-2</v>
      </c>
      <c r="K100" s="57">
        <f t="shared" si="133"/>
        <v>2.0494124032286436E-2</v>
      </c>
      <c r="L100" s="57">
        <f t="shared" si="133"/>
        <v>1.8468424535510446E-2</v>
      </c>
      <c r="M100" s="57">
        <f t="shared" si="133"/>
        <v>2.0400542052263403E-2</v>
      </c>
      <c r="N100" s="57">
        <f t="shared" si="133"/>
        <v>2.0009650589453646E-2</v>
      </c>
      <c r="O100" s="57">
        <f t="shared" si="133"/>
        <v>1.9844979483796384E-2</v>
      </c>
      <c r="P100" s="57">
        <f t="shared" si="133"/>
        <v>3.72959495270722E-2</v>
      </c>
      <c r="Q100" s="57">
        <f t="shared" si="133"/>
        <v>3.6916977789113049E-2</v>
      </c>
      <c r="R100" s="57">
        <f t="shared" si="133"/>
        <v>3.6207257919518246E-2</v>
      </c>
      <c r="S100" s="57">
        <f t="shared" si="133"/>
        <v>3.5885883998851682E-2</v>
      </c>
      <c r="T100" s="57">
        <f t="shared" si="133"/>
        <v>3.6009597384512877E-2</v>
      </c>
      <c r="U100" s="57">
        <f t="shared" si="133"/>
        <v>4.7163782408538787E-2</v>
      </c>
      <c r="V100" s="57">
        <f t="shared" si="133"/>
        <v>4.870816284973474E-2</v>
      </c>
      <c r="W100" s="57">
        <f t="shared" si="133"/>
        <v>4.8306828202046584E-2</v>
      </c>
      <c r="X100" s="57">
        <f t="shared" si="133"/>
        <v>4.7852151571588626E-2</v>
      </c>
      <c r="Y100" s="57">
        <f t="shared" si="133"/>
        <v>4.0816266107159327E-2</v>
      </c>
      <c r="Z100" s="57">
        <f t="shared" si="71"/>
        <v>4.0659007888357232E-2</v>
      </c>
      <c r="AA100" s="57">
        <f t="shared" ref="AA100:AC100" si="134">AA$62*AA80/100</f>
        <v>4.0443557385311815E-2</v>
      </c>
      <c r="AB100" s="57">
        <f t="shared" si="134"/>
        <v>2.8607244708754108E-2</v>
      </c>
      <c r="AC100" s="57">
        <f t="shared" si="134"/>
        <v>2.8192017090968257E-2</v>
      </c>
      <c r="AD100" s="57">
        <f t="shared" ref="AD100:AI100" si="135">AD$62*AD80/100</f>
        <v>2.8562427122931312E-2</v>
      </c>
      <c r="AE100" s="57">
        <f t="shared" si="135"/>
        <v>2.7186450237957994E-2</v>
      </c>
      <c r="AF100" s="57">
        <f t="shared" si="135"/>
        <v>2.7312607580054649E-2</v>
      </c>
      <c r="AG100" s="57">
        <f t="shared" si="135"/>
        <v>2.6748524447638165E-2</v>
      </c>
      <c r="AH100" s="57">
        <f t="shared" si="135"/>
        <v>2.6318605561846512E-2</v>
      </c>
      <c r="AI100" s="57">
        <f t="shared" si="135"/>
        <v>2.5549199397439069E-2</v>
      </c>
      <c r="AJ100" s="125">
        <f t="shared" ref="AJ100:AN100" si="136">AJ$62*AJ80/100</f>
        <v>5.614527203586313E-4</v>
      </c>
      <c r="AK100" s="125">
        <f t="shared" si="136"/>
        <v>4.9400931013335921E-4</v>
      </c>
      <c r="AL100" s="125">
        <f t="shared" si="136"/>
        <v>4.9243372225283514E-4</v>
      </c>
      <c r="AM100" s="125">
        <f t="shared" si="136"/>
        <v>8.1378686250342181E-4</v>
      </c>
      <c r="AN100" s="125">
        <f t="shared" si="136"/>
        <v>8.6991305765598756E-4</v>
      </c>
      <c r="AP100" s="57">
        <f t="shared" ref="AP100:AU100" si="137">AP$62*AP80/100</f>
        <v>1.0835825449323638E-2</v>
      </c>
      <c r="AQ100" s="57">
        <f t="shared" si="137"/>
        <v>1.9712225278908899E-2</v>
      </c>
      <c r="AR100" s="57">
        <f t="shared" si="137"/>
        <v>3.6465848803508429E-2</v>
      </c>
      <c r="AS100" s="57">
        <f t="shared" si="137"/>
        <v>4.800920895299441E-2</v>
      </c>
      <c r="AT100" s="284">
        <f t="shared" si="137"/>
        <v>4.0642115772253844E-2</v>
      </c>
      <c r="AU100" s="57">
        <f t="shared" si="137"/>
        <v>2.7309907089972427E-2</v>
      </c>
      <c r="BE100" s="61" t="str">
        <f t="shared" si="81"/>
        <v>3-Methylhexane</v>
      </c>
      <c r="BF100" s="1" t="s">
        <v>314</v>
      </c>
      <c r="BG100" s="55">
        <f t="shared" si="82"/>
        <v>1.3516444448241716</v>
      </c>
    </row>
    <row r="101" spans="1:59">
      <c r="A101" s="66" t="s">
        <v>177</v>
      </c>
      <c r="B101" s="31">
        <v>7</v>
      </c>
      <c r="C101" s="61" t="s">
        <v>462</v>
      </c>
      <c r="D101" s="31" t="s">
        <v>12</v>
      </c>
      <c r="E101" s="57">
        <f t="shared" si="69"/>
        <v>0.25102772826073272</v>
      </c>
      <c r="F101" s="57">
        <f t="shared" ref="F101:Y101" si="138">F$62*F81/100</f>
        <v>0.24382373721146294</v>
      </c>
      <c r="G101" s="57">
        <f t="shared" si="138"/>
        <v>0.23645153695958307</v>
      </c>
      <c r="H101" s="57">
        <f t="shared" si="138"/>
        <v>0.26023724225373274</v>
      </c>
      <c r="I101" s="57">
        <f t="shared" si="138"/>
        <v>0.25296689776779141</v>
      </c>
      <c r="J101" s="57">
        <f t="shared" si="138"/>
        <v>0.22478853959420469</v>
      </c>
      <c r="K101" s="57">
        <f t="shared" si="138"/>
        <v>0.22774034386611589</v>
      </c>
      <c r="L101" s="57">
        <f t="shared" si="138"/>
        <v>0.22883188224779424</v>
      </c>
      <c r="M101" s="57">
        <f t="shared" si="138"/>
        <v>0.22725208549616063</v>
      </c>
      <c r="N101" s="57">
        <f t="shared" si="138"/>
        <v>0.22717381653556187</v>
      </c>
      <c r="O101" s="57">
        <f t="shared" si="138"/>
        <v>0.22367457019485393</v>
      </c>
      <c r="P101" s="57">
        <f t="shared" si="138"/>
        <v>0.1706992045375732</v>
      </c>
      <c r="Q101" s="57">
        <f t="shared" si="138"/>
        <v>0.17191035454454925</v>
      </c>
      <c r="R101" s="57">
        <f t="shared" si="138"/>
        <v>0.16858968060279128</v>
      </c>
      <c r="S101" s="57">
        <f t="shared" si="138"/>
        <v>0.17217267928950611</v>
      </c>
      <c r="T101" s="57">
        <f t="shared" si="138"/>
        <v>0.17393752173087901</v>
      </c>
      <c r="U101" s="57">
        <f t="shared" si="138"/>
        <v>9.8658670960843867E-2</v>
      </c>
      <c r="V101" s="57">
        <f t="shared" si="138"/>
        <v>9.7908485956165428E-2</v>
      </c>
      <c r="W101" s="57">
        <f t="shared" si="138"/>
        <v>9.8424696754850383E-2</v>
      </c>
      <c r="X101" s="57">
        <f t="shared" si="138"/>
        <v>9.7919681775676254E-2</v>
      </c>
      <c r="Y101" s="57">
        <f t="shared" si="138"/>
        <v>3.86847484064822E-2</v>
      </c>
      <c r="Z101" s="57">
        <f t="shared" si="71"/>
        <v>3.9086647997621148E-2</v>
      </c>
      <c r="AA101" s="57">
        <f t="shared" ref="AA101:AC101" si="139">AA$62*AA81/100</f>
        <v>3.8604477206342705E-2</v>
      </c>
      <c r="AB101" s="57">
        <f t="shared" si="139"/>
        <v>2.0514228459037883E-2</v>
      </c>
      <c r="AC101" s="57">
        <f t="shared" si="139"/>
        <v>2.0772005328382345E-2</v>
      </c>
      <c r="AD101" s="57">
        <f t="shared" ref="AD101:AI101" si="140">AD$62*AD81/100</f>
        <v>2.1544204615591634E-2</v>
      </c>
      <c r="AE101" s="57">
        <f t="shared" si="140"/>
        <v>2.041008765927432E-2</v>
      </c>
      <c r="AF101" s="57">
        <f t="shared" si="140"/>
        <v>2.1061790647756498E-2</v>
      </c>
      <c r="AG101" s="57">
        <f t="shared" si="140"/>
        <v>2.0497686155675803E-2</v>
      </c>
      <c r="AH101" s="57">
        <f t="shared" si="140"/>
        <v>2.0415738028415616E-2</v>
      </c>
      <c r="AI101" s="57">
        <f t="shared" si="140"/>
        <v>1.993859676411958E-2</v>
      </c>
      <c r="AJ101" s="125">
        <f t="shared" ref="AJ101:AN101" si="141">AJ$62*AJ81/100</f>
        <v>0.30190477412633171</v>
      </c>
      <c r="AK101" s="125">
        <f t="shared" si="141"/>
        <v>0.2916161587770163</v>
      </c>
      <c r="AL101" s="125">
        <f t="shared" si="141"/>
        <v>0.29992564742207795</v>
      </c>
      <c r="AM101" s="125">
        <f t="shared" si="141"/>
        <v>0.29351160156590811</v>
      </c>
      <c r="AN101" s="125">
        <f t="shared" si="141"/>
        <v>0.29241582868764376</v>
      </c>
      <c r="AP101" s="57">
        <f t="shared" ref="AP101:AU101" si="142">AP$62*AP81/100</f>
        <v>0.24891437446890641</v>
      </c>
      <c r="AQ101" s="57">
        <f t="shared" si="142"/>
        <v>0.22659285997571196</v>
      </c>
      <c r="AR101" s="57">
        <f t="shared" si="142"/>
        <v>0.17145814468975057</v>
      </c>
      <c r="AS101" s="57">
        <f t="shared" si="142"/>
        <v>9.8227897699914954E-2</v>
      </c>
      <c r="AT101" s="284">
        <f t="shared" si="142"/>
        <v>3.8794009047862128E-2</v>
      </c>
      <c r="AU101" s="57">
        <f t="shared" si="142"/>
        <v>2.0643714192747506E-2</v>
      </c>
      <c r="BE101" s="61" t="str">
        <f t="shared" si="81"/>
        <v>n-Heptane</v>
      </c>
      <c r="BF101" s="1" t="s">
        <v>314</v>
      </c>
      <c r="BG101" s="55">
        <f t="shared" si="82"/>
        <v>1.2901815229264977</v>
      </c>
    </row>
    <row r="102" spans="1:59">
      <c r="A102" s="66" t="s">
        <v>175</v>
      </c>
      <c r="B102" s="31">
        <v>8</v>
      </c>
      <c r="C102" s="61" t="s">
        <v>461</v>
      </c>
      <c r="D102" s="31" t="s">
        <v>12</v>
      </c>
      <c r="E102" s="57">
        <f t="shared" si="69"/>
        <v>7.0928666727366918E-2</v>
      </c>
      <c r="F102" s="57">
        <f t="shared" ref="F102:Y102" si="143">F$62*F82/100</f>
        <v>6.8040438665584208E-2</v>
      </c>
      <c r="G102" s="57">
        <f t="shared" si="143"/>
        <v>6.5701130674192226E-2</v>
      </c>
      <c r="H102" s="57">
        <f t="shared" si="143"/>
        <v>0.10715338039735077</v>
      </c>
      <c r="I102" s="57">
        <f t="shared" si="143"/>
        <v>0.10491006987289307</v>
      </c>
      <c r="J102" s="57">
        <f t="shared" si="143"/>
        <v>7.8896446207228202E-2</v>
      </c>
      <c r="K102" s="57">
        <f t="shared" si="143"/>
        <v>7.824069941973838E-2</v>
      </c>
      <c r="L102" s="57">
        <f t="shared" si="143"/>
        <v>8.0698978921060913E-2</v>
      </c>
      <c r="M102" s="57">
        <f t="shared" si="143"/>
        <v>7.7316966302527435E-2</v>
      </c>
      <c r="N102" s="57">
        <f t="shared" si="143"/>
        <v>7.8524742929361679E-2</v>
      </c>
      <c r="O102" s="57">
        <f t="shared" si="143"/>
        <v>7.6697395760318129E-2</v>
      </c>
      <c r="P102" s="57">
        <f t="shared" si="143"/>
        <v>3.9860247698913616E-2</v>
      </c>
      <c r="Q102" s="57">
        <f t="shared" si="143"/>
        <v>4.0409254568633042E-2</v>
      </c>
      <c r="R102" s="57">
        <f t="shared" si="143"/>
        <v>3.9397537815742643E-2</v>
      </c>
      <c r="S102" s="57">
        <f t="shared" si="143"/>
        <v>4.1290110781461747E-2</v>
      </c>
      <c r="T102" s="57">
        <f t="shared" si="143"/>
        <v>4.1514235644249879E-2</v>
      </c>
      <c r="U102" s="57">
        <f t="shared" si="143"/>
        <v>1.4897430459926279E-2</v>
      </c>
      <c r="V102" s="57">
        <f t="shared" si="143"/>
        <v>1.1888047400265065E-2</v>
      </c>
      <c r="W102" s="57">
        <f t="shared" si="143"/>
        <v>1.1884203882606819E-2</v>
      </c>
      <c r="X102" s="57">
        <f t="shared" si="143"/>
        <v>1.1635170289327279E-2</v>
      </c>
      <c r="Y102" s="57">
        <f t="shared" si="143"/>
        <v>1.7546572924745484E-3</v>
      </c>
      <c r="Z102" s="57">
        <f t="shared" si="71"/>
        <v>1.7569621257261026E-3</v>
      </c>
      <c r="AA102" s="57">
        <f t="shared" ref="AA102:AC102" si="144">AA$62*AA82/100</f>
        <v>1.6860531744223475E-3</v>
      </c>
      <c r="AB102" s="57">
        <f t="shared" si="144"/>
        <v>4.2061553687991232E-4</v>
      </c>
      <c r="AC102" s="57">
        <f t="shared" si="144"/>
        <v>4.2914513420397017E-4</v>
      </c>
      <c r="AD102" s="57">
        <f t="shared" ref="AD102:AI102" si="145">AD$62*AD82/100</f>
        <v>4.3723776575918023E-4</v>
      </c>
      <c r="AE102" s="57">
        <f t="shared" si="145"/>
        <v>4.1193084352864615E-4</v>
      </c>
      <c r="AF102" s="57">
        <f t="shared" si="145"/>
        <v>4.3304879524696936E-4</v>
      </c>
      <c r="AG102" s="57">
        <f t="shared" si="145"/>
        <v>4.1976381385231803E-4</v>
      </c>
      <c r="AH102" s="57">
        <f t="shared" si="145"/>
        <v>3.9309932085640232E-4</v>
      </c>
      <c r="AI102" s="57">
        <f t="shared" si="145"/>
        <v>3.8788736043039745E-4</v>
      </c>
      <c r="AJ102" s="125">
        <f t="shared" ref="AJ102:AN102" si="146">AJ$62*AJ82/100</f>
        <v>0.15219622100973498</v>
      </c>
      <c r="AK102" s="125">
        <f t="shared" si="146"/>
        <v>0.14369781738836987</v>
      </c>
      <c r="AL102" s="125">
        <f t="shared" si="146"/>
        <v>0.14758470156290862</v>
      </c>
      <c r="AM102" s="125">
        <f t="shared" si="146"/>
        <v>0.14618160838368</v>
      </c>
      <c r="AN102" s="125">
        <f t="shared" si="146"/>
        <v>0.1449570552350071</v>
      </c>
      <c r="AP102" s="57">
        <f t="shared" ref="AP102:AU102" si="147">AP$62*AP82/100</f>
        <v>8.336963345309123E-2</v>
      </c>
      <c r="AQ102" s="57">
        <f t="shared" si="147"/>
        <v>7.8409369356209707E-2</v>
      </c>
      <c r="AR102" s="57">
        <f t="shared" si="147"/>
        <v>4.0491191142239494E-2</v>
      </c>
      <c r="AS102" s="57">
        <f t="shared" si="147"/>
        <v>1.2574320577672963E-2</v>
      </c>
      <c r="AT102" s="284">
        <f t="shared" si="147"/>
        <v>1.7328212333529633E-3</v>
      </c>
      <c r="AU102" s="57">
        <f t="shared" si="147"/>
        <v>4.1657618160843775E-4</v>
      </c>
      <c r="BE102" s="61" t="str">
        <f t="shared" si="81"/>
        <v>n-Octane</v>
      </c>
      <c r="BF102" s="1" t="s">
        <v>314</v>
      </c>
      <c r="BG102" s="55">
        <f t="shared" si="82"/>
        <v>5.762884508915949E-2</v>
      </c>
    </row>
    <row r="103" spans="1:59">
      <c r="A103" s="61" t="s">
        <v>464</v>
      </c>
      <c r="B103" s="31">
        <v>3</v>
      </c>
      <c r="C103" s="61"/>
      <c r="D103" s="31" t="s">
        <v>12</v>
      </c>
      <c r="E103" s="57">
        <f t="shared" si="69"/>
        <v>6.0972675353645042E-5</v>
      </c>
      <c r="F103" s="57">
        <f t="shared" ref="F103:Y103" si="148">F$62*F83/100</f>
        <v>2.5011384344403395E-5</v>
      </c>
      <c r="G103" s="57">
        <f t="shared" si="148"/>
        <v>2.4323192350165514E-5</v>
      </c>
      <c r="H103" s="57">
        <f t="shared" si="148"/>
        <v>1.7415830794796699E-5</v>
      </c>
      <c r="I103" s="57">
        <f t="shared" si="148"/>
        <v>2.4386605509974361E-5</v>
      </c>
      <c r="J103" s="57">
        <f t="shared" si="148"/>
        <v>2.9064347456341898E-5</v>
      </c>
      <c r="K103" s="57">
        <f t="shared" si="148"/>
        <v>3.0552505746783159E-5</v>
      </c>
      <c r="L103" s="57">
        <f t="shared" si="148"/>
        <v>2.700845558044407E-5</v>
      </c>
      <c r="M103" s="57">
        <f t="shared" si="148"/>
        <v>2.9488614263291033E-5</v>
      </c>
      <c r="N103" s="57">
        <f t="shared" si="148"/>
        <v>3.2620613874682162E-5</v>
      </c>
      <c r="O103" s="57">
        <f t="shared" si="148"/>
        <v>5.7298501718929883E-5</v>
      </c>
      <c r="P103" s="57">
        <f t="shared" si="148"/>
        <v>5.9264130646875751E-5</v>
      </c>
      <c r="Q103" s="57">
        <f t="shared" si="148"/>
        <v>5.3904357253098534E-5</v>
      </c>
      <c r="R103" s="57">
        <f t="shared" si="148"/>
        <v>5.5198115368841795E-5</v>
      </c>
      <c r="S103" s="57">
        <f t="shared" si="148"/>
        <v>5.4923612488029671E-5</v>
      </c>
      <c r="T103" s="57">
        <f t="shared" si="148"/>
        <v>1.5490340519910221E-4</v>
      </c>
      <c r="U103" s="57">
        <f t="shared" si="148"/>
        <v>1.3653783800690575E-4</v>
      </c>
      <c r="V103" s="57">
        <f t="shared" si="148"/>
        <v>1.4391905254204629E-4</v>
      </c>
      <c r="W103" s="57">
        <f t="shared" si="148"/>
        <v>1.6005352236603287E-4</v>
      </c>
      <c r="X103" s="57">
        <f t="shared" si="148"/>
        <v>3.0889937669964409E-4</v>
      </c>
      <c r="Y103" s="57">
        <f t="shared" si="148"/>
        <v>3.1287467673474391E-4</v>
      </c>
      <c r="Z103" s="57">
        <f t="shared" si="71"/>
        <v>3.2081211396006574E-4</v>
      </c>
      <c r="AA103" s="57">
        <f t="shared" ref="AA103:AC103" si="149">AA$62*AA83/100</f>
        <v>3.3103001695018215E-4</v>
      </c>
      <c r="AB103" s="57">
        <f t="shared" si="149"/>
        <v>3.207899366409757E-4</v>
      </c>
      <c r="AC103" s="57">
        <f t="shared" si="149"/>
        <v>3.1902540525072731E-4</v>
      </c>
      <c r="AD103" s="57">
        <f t="shared" ref="AD103:AI103" si="150">AD$62*AD83/100</f>
        <v>3.2721870713466007E-4</v>
      </c>
      <c r="AE103" s="57">
        <f t="shared" si="150"/>
        <v>3.2669476577852895E-4</v>
      </c>
      <c r="AF103" s="57">
        <f t="shared" si="150"/>
        <v>3.284996954330885E-4</v>
      </c>
      <c r="AG103" s="57">
        <f t="shared" si="150"/>
        <v>3.2754099779398369E-4</v>
      </c>
      <c r="AH103" s="57">
        <f t="shared" si="150"/>
        <v>3.2946284773061209E-4</v>
      </c>
      <c r="AI103" s="57">
        <f t="shared" si="150"/>
        <v>1.115921445480363E-4</v>
      </c>
      <c r="AJ103" s="125">
        <f t="shared" ref="AJ103:AN103" si="151">AJ$62*AJ83/100</f>
        <v>4.272693944399964E-5</v>
      </c>
      <c r="AK103" s="125">
        <f t="shared" si="151"/>
        <v>2.5724829925622027E-5</v>
      </c>
      <c r="AL103" s="125">
        <f t="shared" si="151"/>
        <v>0</v>
      </c>
      <c r="AM103" s="125">
        <f t="shared" si="151"/>
        <v>0</v>
      </c>
      <c r="AN103" s="125">
        <f t="shared" si="151"/>
        <v>0</v>
      </c>
      <c r="AP103" s="57">
        <f t="shared" ref="AP103:AU103" si="152">AP$62*AP83/100</f>
        <v>3.0216346733717798E-5</v>
      </c>
      <c r="AQ103" s="57">
        <f t="shared" si="152"/>
        <v>3.4356088062788223E-5</v>
      </c>
      <c r="AR103" s="57">
        <f t="shared" si="152"/>
        <v>7.5441552555457713E-5</v>
      </c>
      <c r="AS103" s="57">
        <f t="shared" si="152"/>
        <v>1.8731923153430825E-4</v>
      </c>
      <c r="AT103" s="284">
        <f t="shared" si="152"/>
        <v>3.2153952005183512E-4</v>
      </c>
      <c r="AU103" s="57">
        <f t="shared" si="152"/>
        <v>2.9858800283529777E-4</v>
      </c>
      <c r="BE103" s="61" t="str">
        <f t="shared" si="81"/>
        <v>Unidentified(&lt;C3)</v>
      </c>
      <c r="BF103" s="1" t="s">
        <v>314</v>
      </c>
      <c r="BG103" s="55">
        <f t="shared" si="82"/>
        <v>1.069351577326585E-2</v>
      </c>
    </row>
    <row r="104" spans="1:59">
      <c r="A104" s="61" t="s">
        <v>465</v>
      </c>
      <c r="B104" s="31">
        <v>7</v>
      </c>
      <c r="D104" s="31" t="s">
        <v>12</v>
      </c>
      <c r="E104" s="57">
        <f t="shared" si="69"/>
        <v>1.4571835708939235E-2</v>
      </c>
      <c r="F104" s="57">
        <f t="shared" ref="F104:Y104" si="153">F$62*F84/100</f>
        <v>1.3604953788196237E-2</v>
      </c>
      <c r="G104" s="57">
        <f t="shared" si="153"/>
        <v>1.3616125579285545E-2</v>
      </c>
      <c r="H104" s="57">
        <f t="shared" si="153"/>
        <v>1.2370620442411434E-2</v>
      </c>
      <c r="I104" s="57">
        <f t="shared" si="153"/>
        <v>1.228794499185977E-2</v>
      </c>
      <c r="J104" s="57">
        <f t="shared" si="153"/>
        <v>2.3073340107143778E-2</v>
      </c>
      <c r="K104" s="57">
        <f t="shared" si="153"/>
        <v>2.4842702278012236E-2</v>
      </c>
      <c r="L104" s="57">
        <f t="shared" si="153"/>
        <v>2.1263448707988911E-2</v>
      </c>
      <c r="M104" s="57">
        <f t="shared" si="153"/>
        <v>2.5156566077442058E-2</v>
      </c>
      <c r="N104" s="57">
        <f t="shared" si="153"/>
        <v>2.4844457160950805E-2</v>
      </c>
      <c r="O104" s="57">
        <f t="shared" si="153"/>
        <v>2.5261835353759338E-2</v>
      </c>
      <c r="P104" s="57">
        <f t="shared" si="153"/>
        <v>4.2828772866795727E-2</v>
      </c>
      <c r="Q104" s="57">
        <f t="shared" si="153"/>
        <v>4.2900052146359641E-2</v>
      </c>
      <c r="R104" s="57">
        <f t="shared" si="153"/>
        <v>4.2465628913431093E-2</v>
      </c>
      <c r="S104" s="57">
        <f t="shared" si="153"/>
        <v>4.2682296198078076E-2</v>
      </c>
      <c r="T104" s="57">
        <f t="shared" si="153"/>
        <v>4.2809335409755678E-2</v>
      </c>
      <c r="U104" s="57">
        <f t="shared" si="153"/>
        <v>5.836869423338429E-2</v>
      </c>
      <c r="V104" s="57">
        <f t="shared" si="153"/>
        <v>5.8640858067290795E-2</v>
      </c>
      <c r="W104" s="57">
        <f t="shared" si="153"/>
        <v>5.7917533767173894E-2</v>
      </c>
      <c r="X104" s="57">
        <f t="shared" si="153"/>
        <v>5.7855695656003146E-2</v>
      </c>
      <c r="Y104" s="57">
        <f t="shared" si="153"/>
        <v>5.8722121882225871E-2</v>
      </c>
      <c r="Z104" s="57">
        <f t="shared" si="71"/>
        <v>5.7378556724006262E-2</v>
      </c>
      <c r="AA104" s="57">
        <f t="shared" ref="AA104:AC104" si="154">AA$62*AA84/100</f>
        <v>5.7108604896346157E-2</v>
      </c>
      <c r="AB104" s="57">
        <f t="shared" si="154"/>
        <v>4.6604129445226669E-2</v>
      </c>
      <c r="AC104" s="57">
        <f t="shared" si="154"/>
        <v>4.5957422717809004E-2</v>
      </c>
      <c r="AD104" s="57">
        <f t="shared" ref="AD104:AI104" si="155">AD$62*AD84/100</f>
        <v>4.6046422106205985E-2</v>
      </c>
      <c r="AE104" s="57">
        <f t="shared" si="155"/>
        <v>4.3815356984276521E-2</v>
      </c>
      <c r="AF104" s="57">
        <f t="shared" si="155"/>
        <v>4.3892400103745247E-2</v>
      </c>
      <c r="AG104" s="57">
        <f t="shared" si="155"/>
        <v>4.3780719520852822E-2</v>
      </c>
      <c r="AH104" s="57">
        <f t="shared" si="155"/>
        <v>4.2772394758732533E-2</v>
      </c>
      <c r="AI104" s="57">
        <f t="shared" si="155"/>
        <v>4.1549469223055524E-2</v>
      </c>
      <c r="AJ104" s="125">
        <f t="shared" ref="AJ104:AN104" si="156">AJ$62*AJ84/100</f>
        <v>1.593428142111759E-2</v>
      </c>
      <c r="AK104" s="125">
        <f t="shared" si="156"/>
        <v>2.6528629338658264E-3</v>
      </c>
      <c r="AL104" s="125">
        <f t="shared" si="156"/>
        <v>3.2461796801686767E-3</v>
      </c>
      <c r="AM104" s="125">
        <f t="shared" si="156"/>
        <v>4.5657222967385516E-3</v>
      </c>
      <c r="AN104" s="125">
        <f t="shared" si="156"/>
        <v>4.3885279127588127E-3</v>
      </c>
      <c r="AP104" s="57">
        <f t="shared" ref="AP104:AU104" si="157">AP$62*AP84/100</f>
        <v>1.3289279918754702E-2</v>
      </c>
      <c r="AQ104" s="57">
        <f t="shared" si="157"/>
        <v>2.4066532565460794E-2</v>
      </c>
      <c r="AR104" s="57">
        <f t="shared" si="157"/>
        <v>4.2738630884660761E-2</v>
      </c>
      <c r="AS104" s="57">
        <f t="shared" si="157"/>
        <v>5.8196347315434993E-2</v>
      </c>
      <c r="AT104" s="284">
        <f t="shared" si="157"/>
        <v>5.7742168169711075E-2</v>
      </c>
      <c r="AU104" s="57">
        <f t="shared" si="157"/>
        <v>4.4302659077621265E-2</v>
      </c>
      <c r="BE104" s="61" t="str">
        <f t="shared" si="81"/>
        <v>Unidentified(C6-C7)</v>
      </c>
      <c r="BF104" s="1" t="s">
        <v>314</v>
      </c>
      <c r="BG104" s="55">
        <f t="shared" si="82"/>
        <v>1.9203449268252728</v>
      </c>
    </row>
    <row r="105" spans="1:59">
      <c r="A105" s="61" t="s">
        <v>466</v>
      </c>
      <c r="B105" s="31">
        <v>8</v>
      </c>
      <c r="D105" s="31" t="s">
        <v>12</v>
      </c>
      <c r="E105" s="57">
        <f t="shared" si="69"/>
        <v>2.7045311140696183E-2</v>
      </c>
      <c r="F105" s="57">
        <f t="shared" ref="F105:Y105" si="158">F$62*F85/100</f>
        <v>2.3570701548889784E-2</v>
      </c>
      <c r="G105" s="57">
        <f t="shared" si="158"/>
        <v>2.2808291446756144E-2</v>
      </c>
      <c r="H105" s="57">
        <f t="shared" si="158"/>
        <v>2.8122646847306636E-2</v>
      </c>
      <c r="I105" s="57">
        <f t="shared" si="158"/>
        <v>2.6996472454455439E-2</v>
      </c>
      <c r="J105" s="57">
        <f t="shared" si="158"/>
        <v>4.3946053686150267E-2</v>
      </c>
      <c r="K105" s="57">
        <f t="shared" si="158"/>
        <v>4.6295015348721248E-2</v>
      </c>
      <c r="L105" s="57">
        <f t="shared" si="158"/>
        <v>4.3964380881405057E-2</v>
      </c>
      <c r="M105" s="57">
        <f t="shared" si="158"/>
        <v>4.5749868854276433E-2</v>
      </c>
      <c r="N105" s="57">
        <f t="shared" si="158"/>
        <v>4.4960432694550204E-2</v>
      </c>
      <c r="O105" s="57">
        <f t="shared" si="158"/>
        <v>4.3928521089469201E-2</v>
      </c>
      <c r="P105" s="57">
        <f t="shared" si="158"/>
        <v>5.5010235892357068E-2</v>
      </c>
      <c r="Q105" s="57">
        <f t="shared" si="158"/>
        <v>5.385492954625816E-2</v>
      </c>
      <c r="R105" s="57">
        <f t="shared" si="158"/>
        <v>5.2099545904725014E-2</v>
      </c>
      <c r="S105" s="57">
        <f t="shared" si="158"/>
        <v>5.2072656463531736E-2</v>
      </c>
      <c r="T105" s="57">
        <f t="shared" si="158"/>
        <v>5.1712935469229213E-2</v>
      </c>
      <c r="U105" s="57">
        <f t="shared" si="158"/>
        <v>3.6058966528817925E-2</v>
      </c>
      <c r="V105" s="57">
        <f t="shared" si="158"/>
        <v>3.6252636488397189E-2</v>
      </c>
      <c r="W105" s="57">
        <f t="shared" si="158"/>
        <v>3.5644102735186062E-2</v>
      </c>
      <c r="X105" s="57">
        <f t="shared" si="158"/>
        <v>3.4693359271791964E-2</v>
      </c>
      <c r="Y105" s="57">
        <f t="shared" si="158"/>
        <v>1.3023415040893377E-2</v>
      </c>
      <c r="Z105" s="57">
        <f t="shared" si="71"/>
        <v>1.2921978680379255E-2</v>
      </c>
      <c r="AA105" s="57">
        <f t="shared" ref="AA105:AC105" si="159">AA$62*AA85/100</f>
        <v>1.2589042167301936E-2</v>
      </c>
      <c r="AB105" s="57">
        <f t="shared" si="159"/>
        <v>6.9689264747957412E-3</v>
      </c>
      <c r="AC105" s="57">
        <f t="shared" si="159"/>
        <v>7.1947709914714966E-3</v>
      </c>
      <c r="AD105" s="57">
        <f t="shared" ref="AD105:AI105" si="160">AD$62*AD85/100</f>
        <v>7.3733754402810327E-3</v>
      </c>
      <c r="AE105" s="57">
        <f t="shared" si="160"/>
        <v>7.124686498821621E-3</v>
      </c>
      <c r="AF105" s="57">
        <f t="shared" si="160"/>
        <v>7.2311464326984889E-3</v>
      </c>
      <c r="AG105" s="57">
        <f t="shared" si="160"/>
        <v>7.1194442925164372E-3</v>
      </c>
      <c r="AH105" s="57">
        <f t="shared" si="160"/>
        <v>7.1686641616343074E-3</v>
      </c>
      <c r="AI105" s="57">
        <f t="shared" si="160"/>
        <v>7.1416115617941667E-3</v>
      </c>
      <c r="AJ105" s="125">
        <f t="shared" ref="AJ105:AN105" si="161">AJ$62*AJ85/100</f>
        <v>6.0087171983592823E-3</v>
      </c>
      <c r="AK105" s="125">
        <f t="shared" si="161"/>
        <v>5.6464235009386641E-3</v>
      </c>
      <c r="AL105" s="125">
        <f t="shared" si="161"/>
        <v>5.7669152714728365E-3</v>
      </c>
      <c r="AM105" s="125">
        <f t="shared" si="161"/>
        <v>7.2279280753439678E-3</v>
      </c>
      <c r="AN105" s="125">
        <f t="shared" si="161"/>
        <v>7.2492984626792789E-3</v>
      </c>
      <c r="AP105" s="57">
        <f t="shared" ref="AP105:AU105" si="162">AP$62*AP85/100</f>
        <v>2.5692863881420447E-2</v>
      </c>
      <c r="AQ105" s="57">
        <f t="shared" si="162"/>
        <v>4.4803165154460409E-2</v>
      </c>
      <c r="AR105" s="57">
        <f t="shared" si="162"/>
        <v>5.2954633045683736E-2</v>
      </c>
      <c r="AS105" s="57">
        <f t="shared" si="162"/>
        <v>3.5662937924725628E-2</v>
      </c>
      <c r="AT105" s="284">
        <f t="shared" si="162"/>
        <v>1.2846461277789606E-2</v>
      </c>
      <c r="AU105" s="57">
        <f t="shared" si="162"/>
        <v>7.1653513995310145E-3</v>
      </c>
      <c r="BE105" s="61" t="str">
        <f t="shared" si="81"/>
        <v>Unidentified(C7-C8)</v>
      </c>
      <c r="BF105" s="1" t="s">
        <v>314</v>
      </c>
      <c r="BG105" s="55">
        <f t="shared" si="82"/>
        <v>0.42723779733995432</v>
      </c>
    </row>
    <row r="106" spans="1:59">
      <c r="A106" s="61" t="s">
        <v>467</v>
      </c>
      <c r="B106" s="31" t="s">
        <v>492</v>
      </c>
      <c r="D106" s="31" t="s">
        <v>12</v>
      </c>
      <c r="E106" s="57">
        <f t="shared" si="69"/>
        <v>4.6496780126431634E-3</v>
      </c>
      <c r="F106" s="57">
        <f t="shared" ref="F106:Y106" si="163">F$62*F86/100</f>
        <v>6.2948586364285574E-4</v>
      </c>
      <c r="G106" s="57">
        <f t="shared" si="163"/>
        <v>5.2344829445188023E-4</v>
      </c>
      <c r="H106" s="57">
        <f t="shared" si="163"/>
        <v>1.1000205168656778E-4</v>
      </c>
      <c r="I106" s="57">
        <f t="shared" si="163"/>
        <v>9.4640700434093608E-5</v>
      </c>
      <c r="J106" s="57">
        <f t="shared" si="163"/>
        <v>4.6850307542770757E-5</v>
      </c>
      <c r="K106" s="57">
        <f t="shared" si="163"/>
        <v>5.1733936572184533E-5</v>
      </c>
      <c r="L106" s="57">
        <f t="shared" si="163"/>
        <v>4.6713079752565193E-5</v>
      </c>
      <c r="M106" s="57">
        <f t="shared" si="163"/>
        <v>4.3479109678391648E-5</v>
      </c>
      <c r="N106" s="57">
        <f t="shared" si="163"/>
        <v>4.9161159906575522E-5</v>
      </c>
      <c r="O106" s="57">
        <f t="shared" si="163"/>
        <v>5.3334759657415688E-5</v>
      </c>
      <c r="P106" s="57">
        <f t="shared" si="163"/>
        <v>2.903860112053677E-4</v>
      </c>
      <c r="Q106" s="57">
        <f t="shared" si="163"/>
        <v>3.5765596605444658E-4</v>
      </c>
      <c r="R106" s="57">
        <f t="shared" si="163"/>
        <v>3.3099923671043365E-4</v>
      </c>
      <c r="S106" s="57">
        <f t="shared" si="163"/>
        <v>2.9989911825716395E-4</v>
      </c>
      <c r="T106" s="57">
        <f t="shared" si="163"/>
        <v>4.3368415418018283E-4</v>
      </c>
      <c r="U106" s="57">
        <f t="shared" si="163"/>
        <v>5.9771075540817687E-4</v>
      </c>
      <c r="V106" s="57">
        <f t="shared" si="163"/>
        <v>5.2510131261208318E-4</v>
      </c>
      <c r="W106" s="57">
        <f t="shared" si="163"/>
        <v>5.2584375757367926E-4</v>
      </c>
      <c r="X106" s="57">
        <f t="shared" si="163"/>
        <v>5.4336806460244884E-4</v>
      </c>
      <c r="Y106" s="57">
        <f t="shared" si="163"/>
        <v>6.4753249057891357E-4</v>
      </c>
      <c r="Z106" s="57">
        <f t="shared" si="71"/>
        <v>6.4746418510113954E-4</v>
      </c>
      <c r="AA106" s="57">
        <f t="shared" ref="AA106:AC106" si="164">AA$62*AA86/100</f>
        <v>6.5524867245957607E-4</v>
      </c>
      <c r="AB106" s="57">
        <f t="shared" si="164"/>
        <v>7.9649080178685074E-4</v>
      </c>
      <c r="AC106" s="57">
        <f t="shared" si="164"/>
        <v>8.4354648016762358E-4</v>
      </c>
      <c r="AD106" s="57">
        <f t="shared" ref="AD106:AI106" si="165">AD$62*AD86/100</f>
        <v>8.878865710825717E-4</v>
      </c>
      <c r="AE106" s="57">
        <f t="shared" si="165"/>
        <v>9.1640976684167379E-4</v>
      </c>
      <c r="AF106" s="57">
        <f t="shared" si="165"/>
        <v>8.9152001377834384E-4</v>
      </c>
      <c r="AG106" s="57">
        <f t="shared" si="165"/>
        <v>8.8246982639907014E-4</v>
      </c>
      <c r="AH106" s="57">
        <f t="shared" si="165"/>
        <v>9.6814216681513534E-4</v>
      </c>
      <c r="AI106" s="57">
        <f t="shared" si="165"/>
        <v>9.6946451717924297E-4</v>
      </c>
      <c r="AJ106" s="125">
        <f t="shared" ref="AJ106:AN106" si="166">AJ$62*AJ86/100</f>
        <v>4.6350629177362298E-4</v>
      </c>
      <c r="AK106" s="125">
        <f t="shared" si="166"/>
        <v>4.3662516628546993E-4</v>
      </c>
      <c r="AL106" s="125">
        <f t="shared" si="166"/>
        <v>4.1764027512033541E-4</v>
      </c>
      <c r="AM106" s="125">
        <f t="shared" si="166"/>
        <v>3.8326469485702627E-4</v>
      </c>
      <c r="AN106" s="125">
        <f t="shared" si="166"/>
        <v>3.4922533586239886E-4</v>
      </c>
      <c r="AP106" s="57">
        <f t="shared" ref="AP106:AU106" si="167">AP$62*AP86/100</f>
        <v>1.1749717794071011E-3</v>
      </c>
      <c r="AQ106" s="57">
        <f t="shared" si="167"/>
        <v>4.8549433592608397E-5</v>
      </c>
      <c r="AR106" s="57">
        <f t="shared" si="167"/>
        <v>3.4228966240902533E-4</v>
      </c>
      <c r="AS106" s="57">
        <f t="shared" si="167"/>
        <v>5.4795575320203713E-4</v>
      </c>
      <c r="AT106" s="284">
        <f t="shared" si="167"/>
        <v>6.5008497943114978E-4</v>
      </c>
      <c r="AU106" s="57">
        <f t="shared" si="167"/>
        <v>8.945239929590733E-4</v>
      </c>
      <c r="BE106" s="61" t="str">
        <f t="shared" si="81"/>
        <v>Unidentified (C8+)</v>
      </c>
      <c r="BF106" s="1" t="s">
        <v>314</v>
      </c>
      <c r="BG106" s="55">
        <f t="shared" si="82"/>
        <v>2.16200297257069E-2</v>
      </c>
    </row>
    <row r="107" spans="1:59" s="137" customFormat="1">
      <c r="A107" s="135" t="s">
        <v>468</v>
      </c>
      <c r="B107" s="136"/>
      <c r="C107" s="136"/>
      <c r="D107" s="136" t="s">
        <v>12</v>
      </c>
      <c r="E107" s="138">
        <f>SUM(E88:E106)</f>
        <v>2.9922591062301316</v>
      </c>
      <c r="F107" s="138">
        <f t="shared" ref="F107:Y107" si="168">SUM(F88:F106)</f>
        <v>2.8953130857194731</v>
      </c>
      <c r="G107" s="138">
        <f t="shared" si="168"/>
        <v>2.8127525883883595</v>
      </c>
      <c r="H107" s="138">
        <f t="shared" si="168"/>
        <v>2.9326155896097656</v>
      </c>
      <c r="I107" s="138">
        <f t="shared" si="168"/>
        <v>2.8505427815820825</v>
      </c>
      <c r="J107" s="138">
        <f t="shared" si="168"/>
        <v>2.8641460834557084</v>
      </c>
      <c r="K107" s="138">
        <f t="shared" si="168"/>
        <v>2.9452315187225526</v>
      </c>
      <c r="L107" s="138">
        <f t="shared" si="168"/>
        <v>2.8855749017414118</v>
      </c>
      <c r="M107" s="138">
        <f t="shared" si="168"/>
        <v>2.9403120172682842</v>
      </c>
      <c r="N107" s="138">
        <f t="shared" si="168"/>
        <v>2.9281183677100833</v>
      </c>
      <c r="O107" s="138">
        <f t="shared" si="168"/>
        <v>2.8946399077824574</v>
      </c>
      <c r="P107" s="138">
        <f t="shared" si="168"/>
        <v>2.9366102661182367</v>
      </c>
      <c r="Q107" s="138">
        <f t="shared" si="168"/>
        <v>2.9579423950868375</v>
      </c>
      <c r="R107" s="138">
        <f t="shared" si="168"/>
        <v>2.9156437623123397</v>
      </c>
      <c r="S107" s="138">
        <f t="shared" si="168"/>
        <v>2.9516630356354367</v>
      </c>
      <c r="T107" s="138">
        <f t="shared" si="168"/>
        <v>2.978674294151058</v>
      </c>
      <c r="U107" s="138">
        <f t="shared" si="168"/>
        <v>2.9678382116436568</v>
      </c>
      <c r="V107" s="138">
        <f t="shared" si="168"/>
        <v>2.9494712571132777</v>
      </c>
      <c r="W107" s="138">
        <f t="shared" si="168"/>
        <v>2.9596064619973754</v>
      </c>
      <c r="X107" s="138">
        <f t="shared" si="168"/>
        <v>2.9628848160725179</v>
      </c>
      <c r="Y107" s="138">
        <f t="shared" si="168"/>
        <v>2.9130953155525123</v>
      </c>
      <c r="Z107" s="138">
        <f>SUM(Z88:Z106)</f>
        <v>2.9238854535182974</v>
      </c>
      <c r="AA107" s="138">
        <f t="shared" ref="AA107:AC107" si="169">SUM(AA88:AA106)</f>
        <v>2.9560890768783383</v>
      </c>
      <c r="AB107" s="138">
        <f t="shared" si="169"/>
        <v>2.9382134293145374</v>
      </c>
      <c r="AC107" s="138">
        <f t="shared" si="169"/>
        <v>2.9458517669372126</v>
      </c>
      <c r="AD107" s="138">
        <f t="shared" ref="AD107" si="170">SUM(AD88:AD106)</f>
        <v>2.9955710684305155</v>
      </c>
      <c r="AE107" s="138">
        <f t="shared" ref="AE107" si="171">SUM(AE88:AE106)</f>
        <v>2.9485465796557517</v>
      </c>
      <c r="AF107" s="138">
        <f t="shared" ref="AF107" si="172">SUM(AF88:AF106)</f>
        <v>2.9425240254789746</v>
      </c>
      <c r="AG107" s="138">
        <f t="shared" ref="AG107" si="173">SUM(AG88:AG106)</f>
        <v>2.98901553337878</v>
      </c>
      <c r="AH107" s="138">
        <f t="shared" ref="AH107" si="174">SUM(AH88:AH106)</f>
        <v>2.972309483213214</v>
      </c>
      <c r="AI107" s="138">
        <f t="shared" ref="AI107:AU107" si="175">SUM(AI88:AI106)</f>
        <v>2.9273817217892377</v>
      </c>
      <c r="AJ107" s="138">
        <f t="shared" si="175"/>
        <v>3.0755623858936412</v>
      </c>
      <c r="AK107" s="138">
        <f t="shared" si="175"/>
        <v>2.9787015660735765</v>
      </c>
      <c r="AL107" s="138">
        <f t="shared" si="175"/>
        <v>3.080083840519662</v>
      </c>
      <c r="AM107" s="138">
        <f t="shared" si="175"/>
        <v>3.0132850161321785</v>
      </c>
      <c r="AN107" s="138">
        <f t="shared" si="175"/>
        <v>3.0049964973093934</v>
      </c>
      <c r="AO107" s="136"/>
      <c r="AP107" s="138">
        <f t="shared" si="175"/>
        <v>2.8966966049048337</v>
      </c>
      <c r="AQ107" s="138">
        <f t="shared" si="175"/>
        <v>2.9096704848508281</v>
      </c>
      <c r="AR107" s="138">
        <f t="shared" si="175"/>
        <v>2.9481065569154796</v>
      </c>
      <c r="AS107" s="138">
        <f t="shared" si="175"/>
        <v>2.9599501711734675</v>
      </c>
      <c r="AT107" s="284">
        <f t="shared" si="175"/>
        <v>2.9310232873683306</v>
      </c>
      <c r="AU107" s="138">
        <f t="shared" si="175"/>
        <v>2.9574264280685352</v>
      </c>
      <c r="BE107" s="135"/>
      <c r="BG107" s="300">
        <f>SUM(BG87:BG106)</f>
        <v>97.4777338419551</v>
      </c>
    </row>
    <row r="108" spans="1:59" s="137" customFormat="1">
      <c r="A108" s="135" t="s">
        <v>493</v>
      </c>
      <c r="B108" s="136"/>
      <c r="C108" s="136"/>
      <c r="D108" s="136"/>
      <c r="E108" s="136"/>
      <c r="F108" s="136"/>
      <c r="G108" s="136"/>
      <c r="H108" s="136"/>
      <c r="I108" s="136"/>
      <c r="J108" s="136"/>
      <c r="K108" s="136"/>
      <c r="Z108" s="138"/>
      <c r="AJ108" s="136"/>
      <c r="AK108" s="136"/>
      <c r="AL108" s="136"/>
      <c r="AM108" s="136"/>
      <c r="AN108" s="136"/>
      <c r="AO108" s="136"/>
      <c r="AP108" s="136"/>
      <c r="AQ108" s="136"/>
      <c r="AR108" s="136"/>
      <c r="AS108" s="136"/>
      <c r="AT108" s="283"/>
      <c r="BE108" s="135"/>
    </row>
    <row r="109" spans="1:59">
      <c r="B109" s="1"/>
      <c r="C109" s="61" t="s">
        <v>494</v>
      </c>
      <c r="D109" s="31" t="s">
        <v>495</v>
      </c>
      <c r="E109" s="57">
        <f>E103/E$64*100</f>
        <v>2.0379685511667817E-3</v>
      </c>
      <c r="F109" s="57">
        <f t="shared" ref="F109:AI109" si="176">F103/F$64*100</f>
        <v>8.6398960843970943E-4</v>
      </c>
      <c r="G109" s="57">
        <f t="shared" si="176"/>
        <v>8.6488331887814068E-4</v>
      </c>
      <c r="H109" s="57">
        <f t="shared" si="176"/>
        <v>5.9389031442603362E-4</v>
      </c>
      <c r="I109" s="57">
        <f t="shared" si="176"/>
        <v>8.5554350253659334E-4</v>
      </c>
      <c r="J109" s="57">
        <f t="shared" si="176"/>
        <v>1.0149083035402662E-3</v>
      </c>
      <c r="K109" s="57">
        <f t="shared" si="176"/>
        <v>1.0375145561478526E-3</v>
      </c>
      <c r="L109" s="57">
        <f t="shared" si="176"/>
        <v>9.3609876832179226E-4</v>
      </c>
      <c r="M109" s="57">
        <f t="shared" si="176"/>
        <v>1.003068415157326E-3</v>
      </c>
      <c r="N109" s="57">
        <f>N103/N$64*100</f>
        <v>1.1142310055072019E-3</v>
      </c>
      <c r="O109" s="57">
        <f t="shared" si="176"/>
        <v>1.979816119089831E-3</v>
      </c>
      <c r="P109" s="57">
        <f t="shared" si="176"/>
        <v>2.0190046346695253E-3</v>
      </c>
      <c r="Q109" s="57">
        <f t="shared" si="176"/>
        <v>1.8231920826369584E-3</v>
      </c>
      <c r="R109" s="57">
        <f t="shared" si="176"/>
        <v>1.8940707698354568E-3</v>
      </c>
      <c r="S109" s="57">
        <f t="shared" si="176"/>
        <v>1.8616805808250138E-3</v>
      </c>
      <c r="T109" s="57">
        <f t="shared" si="176"/>
        <v>5.2030375701646514E-3</v>
      </c>
      <c r="U109" s="57">
        <f t="shared" si="176"/>
        <v>4.6056820256729645E-3</v>
      </c>
      <c r="V109" s="57">
        <f t="shared" si="176"/>
        <v>4.8846505317083396E-3</v>
      </c>
      <c r="W109" s="57">
        <f t="shared" si="176"/>
        <v>5.4137432901371959E-3</v>
      </c>
      <c r="X109" s="57">
        <f t="shared" si="176"/>
        <v>1.0437064713895869E-2</v>
      </c>
      <c r="Y109" s="57">
        <f t="shared" si="176"/>
        <v>1.0759813331024277E-2</v>
      </c>
      <c r="Z109" s="57">
        <f t="shared" si="176"/>
        <v>1.0992211636230322E-2</v>
      </c>
      <c r="AA109" s="57">
        <f t="shared" si="176"/>
        <v>1.1219100575381681E-2</v>
      </c>
      <c r="AB109" s="57">
        <f t="shared" si="176"/>
        <v>1.0943055447187423E-2</v>
      </c>
      <c r="AC109" s="57">
        <f t="shared" si="176"/>
        <v>1.0854879587051464E-2</v>
      </c>
      <c r="AD109" s="57">
        <f t="shared" si="176"/>
        <v>1.0948868117219278E-2</v>
      </c>
      <c r="AE109" s="57">
        <f t="shared" si="176"/>
        <v>1.1106167941192733E-2</v>
      </c>
      <c r="AF109" s="57">
        <f t="shared" si="176"/>
        <v>1.1190316567385932E-2</v>
      </c>
      <c r="AG109" s="57">
        <f t="shared" si="176"/>
        <v>1.0984397697274696E-2</v>
      </c>
      <c r="AH109" s="57">
        <f t="shared" si="176"/>
        <v>1.111117124251506E-2</v>
      </c>
      <c r="AI109" s="57">
        <f t="shared" si="176"/>
        <v>3.8212690316265724E-3</v>
      </c>
      <c r="AJ109" s="125">
        <f t="shared" ref="AJ109:AN109" si="177">AJ103/$Z64*100</f>
        <v>1.4639832490717737E-3</v>
      </c>
      <c r="AK109" s="125">
        <f t="shared" si="177"/>
        <v>8.8142798399335886E-4</v>
      </c>
      <c r="AL109" s="125">
        <f t="shared" si="177"/>
        <v>0</v>
      </c>
      <c r="AM109" s="125">
        <f t="shared" si="177"/>
        <v>0</v>
      </c>
      <c r="AN109" s="125">
        <f t="shared" si="177"/>
        <v>0</v>
      </c>
      <c r="AP109" s="57">
        <f t="shared" ref="AP109:AP113" si="178">AVERAGE(E109:I109)</f>
        <v>1.0432550590894517E-3</v>
      </c>
      <c r="AQ109" s="57">
        <f>AVERAGE(J109:O109)</f>
        <v>1.1809395279607116E-3</v>
      </c>
      <c r="AR109" s="57">
        <f>AVERAGE(P109:T109)</f>
        <v>2.5601971276263211E-3</v>
      </c>
      <c r="AS109" s="57">
        <f>AVERAGE(U109:X109)</f>
        <v>6.3352851403535929E-3</v>
      </c>
      <c r="AT109" s="297">
        <f>AVERAGE(Y109:AA109)</f>
        <v>1.099037518087876E-2</v>
      </c>
      <c r="AU109" s="55">
        <f>AVERAGE(AB109:AI109)</f>
        <v>1.0120015703931645E-2</v>
      </c>
    </row>
    <row r="110" spans="1:59">
      <c r="B110" s="1"/>
      <c r="C110" s="61" t="s">
        <v>301</v>
      </c>
      <c r="D110" s="31" t="s">
        <v>495</v>
      </c>
      <c r="E110" s="57">
        <f>E88/E$64*100</f>
        <v>3.6795456254496588E-2</v>
      </c>
      <c r="F110" s="57">
        <f t="shared" ref="F110:Y110" si="179">F88/F$64*100</f>
        <v>3.6726374198497863E-2</v>
      </c>
      <c r="G110" s="57">
        <f t="shared" si="179"/>
        <v>3.9332817598688764E-2</v>
      </c>
      <c r="H110" s="57">
        <f t="shared" si="179"/>
        <v>4.0115297152629292E-2</v>
      </c>
      <c r="I110" s="57">
        <f t="shared" si="179"/>
        <v>4.3038723860624045E-2</v>
      </c>
      <c r="J110" s="57">
        <f t="shared" si="179"/>
        <v>0.13873129801242615</v>
      </c>
      <c r="K110" s="57">
        <f t="shared" si="179"/>
        <v>0.14799334898156385</v>
      </c>
      <c r="L110" s="57">
        <f t="shared" si="179"/>
        <v>0.11793828402698615</v>
      </c>
      <c r="M110" s="57">
        <f t="shared" si="179"/>
        <v>0.15252938775850028</v>
      </c>
      <c r="N110" s="57">
        <f t="shared" si="179"/>
        <v>0.15921910329869132</v>
      </c>
      <c r="O110" s="57">
        <f t="shared" si="179"/>
        <v>0.16805858662936002</v>
      </c>
      <c r="P110" s="57">
        <f t="shared" si="179"/>
        <v>0.48099577927364739</v>
      </c>
      <c r="Q110" s="57">
        <f t="shared" si="179"/>
        <v>0.4965785271086689</v>
      </c>
      <c r="R110" s="57">
        <f t="shared" si="179"/>
        <v>0.52024311776048349</v>
      </c>
      <c r="S110" s="57">
        <f t="shared" si="179"/>
        <v>0.54520226795861282</v>
      </c>
      <c r="T110" s="57">
        <f t="shared" si="179"/>
        <v>0.56193250727293842</v>
      </c>
      <c r="U110" s="57">
        <f t="shared" si="179"/>
        <v>1.4465222692033775</v>
      </c>
      <c r="V110" s="57">
        <f t="shared" si="179"/>
        <v>1.3366409688076042</v>
      </c>
      <c r="W110" s="57">
        <f t="shared" si="179"/>
        <v>1.3581208371424585</v>
      </c>
      <c r="X110" s="57">
        <f t="shared" si="179"/>
        <v>1.3878652324898717</v>
      </c>
      <c r="Y110" s="57">
        <f t="shared" si="179"/>
        <v>2.5866782705722824</v>
      </c>
      <c r="Z110" s="57">
        <f>Z88/Z$64*100</f>
        <v>2.6048176852042482</v>
      </c>
      <c r="AA110" s="57">
        <f t="shared" ref="AA110:AI110" si="180">AA88/AA$64*100</f>
        <v>2.6598506948959164</v>
      </c>
      <c r="AB110" s="57">
        <f t="shared" si="180"/>
        <v>3.4439291533325131</v>
      </c>
      <c r="AC110" s="57">
        <f t="shared" si="180"/>
        <v>3.4696009934239296</v>
      </c>
      <c r="AD110" s="57">
        <f t="shared" si="180"/>
        <v>3.4691629478595809</v>
      </c>
      <c r="AE110" s="57">
        <f t="shared" si="180"/>
        <v>3.5352545837949494</v>
      </c>
      <c r="AF110" s="57">
        <f t="shared" si="180"/>
        <v>3.5239079699774969</v>
      </c>
      <c r="AG110" s="57">
        <f t="shared" si="180"/>
        <v>3.5787850527071763</v>
      </c>
      <c r="AH110" s="57">
        <f t="shared" si="180"/>
        <v>3.6035097003304775</v>
      </c>
      <c r="AI110" s="57">
        <f t="shared" si="180"/>
        <v>3.6381936529786998</v>
      </c>
      <c r="AJ110" s="125">
        <f t="shared" ref="AJ110:AN110" si="181">AJ88/AJ$64*100</f>
        <v>2.4302975335524809E-3</v>
      </c>
      <c r="AK110" s="125">
        <f t="shared" si="181"/>
        <v>2.5610155157914836E-3</v>
      </c>
      <c r="AL110" s="125">
        <f t="shared" si="181"/>
        <v>2.4045592491383568E-3</v>
      </c>
      <c r="AM110" s="125">
        <f t="shared" si="181"/>
        <v>5.3096029997801017E-3</v>
      </c>
      <c r="AN110" s="125">
        <f t="shared" si="181"/>
        <v>5.3769873231347687E-3</v>
      </c>
      <c r="AP110" s="57">
        <f t="shared" si="178"/>
        <v>3.9201733812987312E-2</v>
      </c>
      <c r="AQ110" s="57">
        <f t="shared" ref="AQ110:AQ132" si="182">AVERAGE(J110:O110)</f>
        <v>0.14741166811792131</v>
      </c>
      <c r="AR110" s="57">
        <f t="shared" ref="AR110:AR113" si="183">AVERAGE(P110:T110)</f>
        <v>0.52099043987487026</v>
      </c>
      <c r="AS110" s="57">
        <f t="shared" ref="AS110:AS132" si="184">AVERAGE(U110:X110)</f>
        <v>1.3822873269108278</v>
      </c>
      <c r="AT110" s="297">
        <f t="shared" ref="AT110:AT132" si="185">AVERAGE(Y110:AA110)</f>
        <v>2.617115550224149</v>
      </c>
      <c r="AU110" s="55">
        <f>AVERAGE(AB110:AI110)</f>
        <v>3.5327930068006026</v>
      </c>
    </row>
    <row r="111" spans="1:59">
      <c r="B111" s="1"/>
      <c r="C111" s="61" t="s">
        <v>302</v>
      </c>
      <c r="D111" s="31" t="s">
        <v>495</v>
      </c>
      <c r="E111" s="57">
        <f>SUM(E89:E90)/E$64*100</f>
        <v>0.19254744989984679</v>
      </c>
      <c r="F111" s="57">
        <f t="shared" ref="F111:Y111" si="186">SUM(F89:F90)/F$64*100</f>
        <v>0.14567032265842</v>
      </c>
      <c r="G111" s="57">
        <f t="shared" si="186"/>
        <v>0.15302962009657872</v>
      </c>
      <c r="H111" s="57">
        <f t="shared" si="186"/>
        <v>0.162391011521651</v>
      </c>
      <c r="I111" s="57">
        <f t="shared" si="186"/>
        <v>0.171837149088333</v>
      </c>
      <c r="J111" s="57">
        <f t="shared" si="186"/>
        <v>0.508847425839144</v>
      </c>
      <c r="K111" s="57">
        <f t="shared" si="186"/>
        <v>0.54260293953091399</v>
      </c>
      <c r="L111" s="57">
        <f t="shared" si="186"/>
        <v>0.43382257239952232</v>
      </c>
      <c r="M111" s="57">
        <f t="shared" si="186"/>
        <v>0.55402008165523109</v>
      </c>
      <c r="N111" s="57">
        <f t="shared" si="186"/>
        <v>0.5772668402426423</v>
      </c>
      <c r="O111" s="57">
        <f t="shared" si="186"/>
        <v>0.60493910905862402</v>
      </c>
      <c r="P111" s="57">
        <f t="shared" si="186"/>
        <v>1.5459743596276532</v>
      </c>
      <c r="Q111" s="57">
        <f t="shared" si="186"/>
        <v>1.5869623310090453</v>
      </c>
      <c r="R111" s="57">
        <f t="shared" si="186"/>
        <v>1.650774921138451</v>
      </c>
      <c r="S111" s="57">
        <f t="shared" si="186"/>
        <v>1.7258404073896827</v>
      </c>
      <c r="T111" s="57">
        <f t="shared" si="186"/>
        <v>1.7715502123015137</v>
      </c>
      <c r="U111" s="57">
        <f t="shared" si="186"/>
        <v>3.8453723204862871</v>
      </c>
      <c r="V111" s="57">
        <f t="shared" si="186"/>
        <v>3.6308725322083935</v>
      </c>
      <c r="W111" s="57">
        <f t="shared" si="186"/>
        <v>3.677951921851339</v>
      </c>
      <c r="X111" s="57">
        <f t="shared" si="186"/>
        <v>3.7379248357774659</v>
      </c>
      <c r="Y111" s="57">
        <f t="shared" si="186"/>
        <v>5.9605788725769546</v>
      </c>
      <c r="Z111" s="57">
        <f>SUM(Z89:Z90)/Z$64*100</f>
        <v>5.9924629521579051</v>
      </c>
      <c r="AA111" s="57">
        <f t="shared" ref="AA111:AI111" si="187">SUM(AA89:AA90)/AA$64*100</f>
        <v>6.0901623701199954</v>
      </c>
      <c r="AB111" s="57">
        <f t="shared" si="187"/>
        <v>7.4704976719366449</v>
      </c>
      <c r="AC111" s="57">
        <f t="shared" si="187"/>
        <v>7.5610450434019469</v>
      </c>
      <c r="AD111" s="57">
        <f t="shared" si="187"/>
        <v>7.5501639559764007</v>
      </c>
      <c r="AE111" s="57">
        <f t="shared" si="187"/>
        <v>7.7163800083019911</v>
      </c>
      <c r="AF111" s="57">
        <f t="shared" si="187"/>
        <v>7.7078455214778714</v>
      </c>
      <c r="AG111" s="57">
        <f t="shared" si="187"/>
        <v>7.780348817033131</v>
      </c>
      <c r="AH111" s="57">
        <f t="shared" si="187"/>
        <v>7.8633612449533281</v>
      </c>
      <c r="AI111" s="57">
        <f t="shared" si="187"/>
        <v>7.9145574317397296</v>
      </c>
      <c r="AJ111" s="125">
        <f t="shared" ref="AJ111:AN111" si="188">SUM(AJ89:AJ90)/AJ$64*100</f>
        <v>9.6095302166309959E-3</v>
      </c>
      <c r="AK111" s="125">
        <f t="shared" si="188"/>
        <v>1.1438817633352234E-2</v>
      </c>
      <c r="AL111" s="125">
        <f t="shared" si="188"/>
        <v>1.1454016320396419E-2</v>
      </c>
      <c r="AM111" s="125">
        <f t="shared" si="188"/>
        <v>2.5467554531497193E-2</v>
      </c>
      <c r="AN111" s="125">
        <f t="shared" si="188"/>
        <v>2.582996347806165E-2</v>
      </c>
      <c r="AP111" s="57">
        <f t="shared" si="178"/>
        <v>0.16509511065296592</v>
      </c>
      <c r="AQ111" s="57">
        <f t="shared" si="182"/>
        <v>0.53691649478767955</v>
      </c>
      <c r="AR111" s="57">
        <f t="shared" si="183"/>
        <v>1.656220446293269</v>
      </c>
      <c r="AS111" s="57">
        <f t="shared" si="184"/>
        <v>3.7230304025808714</v>
      </c>
      <c r="AT111" s="297">
        <f t="shared" si="185"/>
        <v>6.014401398284952</v>
      </c>
      <c r="AU111" s="55">
        <f>AVERAGE(AB111:AI111)</f>
        <v>7.6955249618526311</v>
      </c>
    </row>
    <row r="112" spans="1:59">
      <c r="B112" s="1"/>
      <c r="C112" s="61" t="s">
        <v>496</v>
      </c>
      <c r="D112" s="31" t="s">
        <v>495</v>
      </c>
      <c r="E112" s="57">
        <f t="shared" ref="E112" si="189">E111+E110+E109</f>
        <v>0.23138087470551016</v>
      </c>
      <c r="F112" s="57">
        <f t="shared" ref="F112" si="190">F111+F110+F109</f>
        <v>0.18326068646535756</v>
      </c>
      <c r="G112" s="57">
        <f t="shared" ref="G112" si="191">G111+G110+G109</f>
        <v>0.19322732101414561</v>
      </c>
      <c r="H112" s="57">
        <f t="shared" ref="H112" si="192">H111+H110+H109</f>
        <v>0.20310019898870632</v>
      </c>
      <c r="I112" s="57">
        <f t="shared" ref="I112" si="193">I111+I110+I109</f>
        <v>0.21573141645149363</v>
      </c>
      <c r="J112" s="57">
        <f t="shared" ref="J112" si="194">J111+J110+J109</f>
        <v>0.64859363215511034</v>
      </c>
      <c r="K112" s="57">
        <f t="shared" ref="K112" si="195">K111+K110+K109</f>
        <v>0.69163380306862576</v>
      </c>
      <c r="L112" s="57">
        <f t="shared" ref="L112" si="196">L111+L110+L109</f>
        <v>0.55269695519483031</v>
      </c>
      <c r="M112" s="57">
        <f t="shared" ref="M112" si="197">M111+M110+M109</f>
        <v>0.70755253782888861</v>
      </c>
      <c r="N112" s="57">
        <f t="shared" ref="N112" si="198">N111+N110+N109</f>
        <v>0.73760017454684079</v>
      </c>
      <c r="O112" s="284">
        <f t="shared" ref="O112" si="199">O111+O110+O109</f>
        <v>0.77497751180707386</v>
      </c>
      <c r="P112" s="57">
        <f t="shared" ref="P112" si="200">P111+P110+P109</f>
        <v>2.0289891435359699</v>
      </c>
      <c r="Q112" s="57">
        <f t="shared" ref="Q112" si="201">Q111+Q110+Q109</f>
        <v>2.0853640502003508</v>
      </c>
      <c r="R112" s="57">
        <f t="shared" ref="R112" si="202">R111+R110+R109</f>
        <v>2.1729121096687698</v>
      </c>
      <c r="S112" s="57">
        <f t="shared" ref="S112" si="203">S111+S110+S109</f>
        <v>2.2729043559291204</v>
      </c>
      <c r="T112" s="57">
        <f t="shared" ref="T112" si="204">T111+T110+T109</f>
        <v>2.3386857571446167</v>
      </c>
      <c r="U112" s="57">
        <f t="shared" ref="U112" si="205">U111+U110+U109</f>
        <v>5.2965002717153373</v>
      </c>
      <c r="V112" s="57">
        <f t="shared" ref="V112" si="206">V111+V110+V109</f>
        <v>4.972398151547706</v>
      </c>
      <c r="W112" s="57">
        <f t="shared" ref="W112" si="207">W111+W110+W109</f>
        <v>5.0414865022839344</v>
      </c>
      <c r="X112" s="57">
        <f t="shared" ref="X112" si="208">X111+X110+X109</f>
        <v>5.1362271329812339</v>
      </c>
      <c r="Y112" s="57">
        <f t="shared" ref="Y112" si="209">Y111+Y110+Y109</f>
        <v>8.5580169564802606</v>
      </c>
      <c r="Z112" s="57">
        <f t="shared" ref="Z112" si="210">Z111+Z110+Z109</f>
        <v>8.608272848998384</v>
      </c>
      <c r="AA112" s="57">
        <f t="shared" ref="AA112" si="211">AA111+AA110+AA109</f>
        <v>8.7612321655912933</v>
      </c>
      <c r="AB112" s="57">
        <f t="shared" ref="AB112" si="212">AB111+AB110+AB109</f>
        <v>10.925369880716346</v>
      </c>
      <c r="AC112" s="57">
        <f t="shared" ref="AC112" si="213">AC111+AC110+AC109</f>
        <v>11.041500916412929</v>
      </c>
      <c r="AD112" s="57">
        <f t="shared" ref="AD112" si="214">AD111+AD110+AD109</f>
        <v>11.030275771953201</v>
      </c>
      <c r="AE112" s="57">
        <f t="shared" ref="AE112" si="215">AE111+AE110+AE109</f>
        <v>11.262740760038135</v>
      </c>
      <c r="AF112" s="57">
        <f t="shared" ref="AF112" si="216">AF111+AF110+AF109</f>
        <v>11.242943808022755</v>
      </c>
      <c r="AG112" s="57">
        <f t="shared" ref="AG112" si="217">AG111+AG110+AG109</f>
        <v>11.370118267437583</v>
      </c>
      <c r="AH112" s="57">
        <f t="shared" ref="AH112" si="218">AH111+AH110+AH109</f>
        <v>11.47798211652632</v>
      </c>
      <c r="AI112" s="57">
        <f t="shared" ref="AI112:AN112" si="219">AI111+AI110+AI109</f>
        <v>11.556572353750056</v>
      </c>
      <c r="AJ112" s="125">
        <f t="shared" si="219"/>
        <v>1.3503810999255251E-2</v>
      </c>
      <c r="AK112" s="125">
        <f t="shared" si="219"/>
        <v>1.4881261133137078E-2</v>
      </c>
      <c r="AL112" s="125">
        <f t="shared" si="219"/>
        <v>1.3858575569534775E-2</v>
      </c>
      <c r="AM112" s="125">
        <f t="shared" si="219"/>
        <v>3.0777157531277296E-2</v>
      </c>
      <c r="AN112" s="125">
        <f t="shared" si="219"/>
        <v>3.1206950801196419E-2</v>
      </c>
      <c r="AP112" s="57">
        <f t="shared" si="178"/>
        <v>0.20534009952504267</v>
      </c>
      <c r="AQ112" s="57">
        <f t="shared" si="182"/>
        <v>0.68550910243356167</v>
      </c>
      <c r="AR112" s="57">
        <f t="shared" si="183"/>
        <v>2.1797710832957655</v>
      </c>
      <c r="AS112" s="57">
        <f t="shared" si="184"/>
        <v>5.1116530146320525</v>
      </c>
      <c r="AT112" s="297">
        <f t="shared" si="185"/>
        <v>8.6425073236899781</v>
      </c>
      <c r="AU112" s="55">
        <f>AVERAGE(AB112:AI112)</f>
        <v>11.238437984357164</v>
      </c>
    </row>
    <row r="113" spans="1:57">
      <c r="B113" s="1"/>
      <c r="C113" s="61" t="s">
        <v>497</v>
      </c>
      <c r="D113" s="31" t="s">
        <v>495</v>
      </c>
      <c r="E113" s="57">
        <f>(SUM(E91:E102,E104:E106))/E$64*100</f>
        <v>99.782763495209778</v>
      </c>
      <c r="F113" s="57">
        <f t="shared" ref="F113:Y113" si="220">(SUM(F91:F102,F104:F106))/F$64*100</f>
        <v>99.832011750898957</v>
      </c>
      <c r="G113" s="57">
        <f t="shared" si="220"/>
        <v>99.822541941767327</v>
      </c>
      <c r="H113" s="57">
        <f t="shared" si="220"/>
        <v>99.800856840165721</v>
      </c>
      <c r="I113" s="57">
        <f t="shared" si="220"/>
        <v>99.788484196404497</v>
      </c>
      <c r="J113" s="57">
        <f t="shared" si="220"/>
        <v>99.365543861141731</v>
      </c>
      <c r="K113" s="57">
        <f t="shared" si="220"/>
        <v>99.323749459622647</v>
      </c>
      <c r="L113" s="57">
        <f t="shared" si="220"/>
        <v>99.45980110768032</v>
      </c>
      <c r="M113" s="57">
        <f t="shared" si="220"/>
        <v>99.308477001437168</v>
      </c>
      <c r="N113" s="57">
        <f t="shared" si="220"/>
        <v>99.278919613571404</v>
      </c>
      <c r="O113" s="284">
        <f t="shared" si="220"/>
        <v>99.242554822639491</v>
      </c>
      <c r="P113" s="57">
        <f t="shared" si="220"/>
        <v>98.015163580796454</v>
      </c>
      <c r="Q113" s="57">
        <f t="shared" si="220"/>
        <v>97.960298868979152</v>
      </c>
      <c r="R113" s="57">
        <f t="shared" si="220"/>
        <v>97.874627349734283</v>
      </c>
      <c r="S113" s="57">
        <f t="shared" si="220"/>
        <v>97.776118380496371</v>
      </c>
      <c r="T113" s="57">
        <f t="shared" si="220"/>
        <v>97.711756916025578</v>
      </c>
      <c r="U113" s="57">
        <f t="shared" si="220"/>
        <v>94.814350361361505</v>
      </c>
      <c r="V113" s="57">
        <f t="shared" si="220"/>
        <v>95.13343279885936</v>
      </c>
      <c r="W113" s="57">
        <f t="shared" si="220"/>
        <v>95.065961232870308</v>
      </c>
      <c r="X113" s="57">
        <f t="shared" si="220"/>
        <v>94.973461968906676</v>
      </c>
      <c r="Y113" s="57">
        <f t="shared" si="220"/>
        <v>91.623826259294404</v>
      </c>
      <c r="Z113" s="57">
        <f>(SUM(Z91:Z102,Z104:Z106))/Z$64*100</f>
        <v>91.574875812180736</v>
      </c>
      <c r="AA113" s="57">
        <f t="shared" ref="AA113:AI113" si="221">(SUM(AA91:AA102,AA104:AA106))/AA$64*100</f>
        <v>91.425031813836085</v>
      </c>
      <c r="AB113" s="57">
        <f t="shared" si="221"/>
        <v>89.305431650458203</v>
      </c>
      <c r="AC113" s="57">
        <f t="shared" si="221"/>
        <v>89.191476411129671</v>
      </c>
      <c r="AD113" s="57">
        <f t="shared" si="221"/>
        <v>89.202723897304637</v>
      </c>
      <c r="AE113" s="57">
        <f t="shared" si="221"/>
        <v>88.974719176145527</v>
      </c>
      <c r="AF113" s="57">
        <f t="shared" si="221"/>
        <v>88.993908189167342</v>
      </c>
      <c r="AG113" s="57">
        <f t="shared" si="221"/>
        <v>88.869349655949321</v>
      </c>
      <c r="AH113" s="57">
        <f t="shared" si="221"/>
        <v>88.763486325879967</v>
      </c>
      <c r="AI113" s="57">
        <f t="shared" si="221"/>
        <v>88.686264295093039</v>
      </c>
      <c r="AJ113" s="125">
        <f t="shared" ref="AJ113:AN113" si="222">(SUM(AJ91:AJ102,AJ104:AJ106))/AJ$64*100</f>
        <v>99.991609741966272</v>
      </c>
      <c r="AK113" s="125">
        <f t="shared" si="222"/>
        <v>99.982138213021614</v>
      </c>
      <c r="AL113" s="125">
        <f t="shared" si="222"/>
        <v>99.983391677631644</v>
      </c>
      <c r="AM113" s="125">
        <f t="shared" si="222"/>
        <v>99.966045260557152</v>
      </c>
      <c r="AN113" s="125">
        <f t="shared" si="222"/>
        <v>99.96579404558905</v>
      </c>
      <c r="AP113" s="57">
        <f t="shared" si="178"/>
        <v>99.80533164488925</v>
      </c>
      <c r="AQ113" s="57">
        <f t="shared" si="182"/>
        <v>99.329840977682125</v>
      </c>
      <c r="AR113" s="57">
        <f t="shared" si="183"/>
        <v>97.867593019206367</v>
      </c>
      <c r="AS113" s="57">
        <f t="shared" si="184"/>
        <v>94.996801590499473</v>
      </c>
      <c r="AT113" s="297">
        <f t="shared" si="185"/>
        <v>91.541244628437084</v>
      </c>
      <c r="AU113" s="55">
        <f>AVERAGE(AB113:AI113)</f>
        <v>88.998419950140956</v>
      </c>
    </row>
    <row r="114" spans="1:57" s="137" customFormat="1">
      <c r="A114" s="135"/>
      <c r="C114" s="135" t="s">
        <v>11</v>
      </c>
      <c r="D114" s="136" t="s">
        <v>495</v>
      </c>
      <c r="E114" s="138">
        <f t="shared" ref="E114:AI114" si="223">SUM(E112:E113)</f>
        <v>100.01414436991529</v>
      </c>
      <c r="F114" s="138">
        <f t="shared" si="223"/>
        <v>100.01527243736432</v>
      </c>
      <c r="G114" s="138">
        <f t="shared" si="223"/>
        <v>100.01576926278148</v>
      </c>
      <c r="H114" s="138">
        <f t="shared" si="223"/>
        <v>100.00395703915443</v>
      </c>
      <c r="I114" s="138">
        <f t="shared" si="223"/>
        <v>100.00421561285599</v>
      </c>
      <c r="J114" s="138">
        <f t="shared" si="223"/>
        <v>100.01413749329684</v>
      </c>
      <c r="K114" s="138">
        <f t="shared" si="223"/>
        <v>100.01538326269127</v>
      </c>
      <c r="L114" s="138">
        <f t="shared" si="223"/>
        <v>100.01249806287515</v>
      </c>
      <c r="M114" s="138">
        <f t="shared" si="223"/>
        <v>100.01602953926606</v>
      </c>
      <c r="N114" s="138">
        <f t="shared" si="223"/>
        <v>100.01651978811825</v>
      </c>
      <c r="O114" s="138">
        <f t="shared" si="223"/>
        <v>100.01753233444657</v>
      </c>
      <c r="P114" s="138">
        <f t="shared" si="223"/>
        <v>100.04415272433242</v>
      </c>
      <c r="Q114" s="138">
        <f t="shared" si="223"/>
        <v>100.04566291917951</v>
      </c>
      <c r="R114" s="138">
        <f t="shared" si="223"/>
        <v>100.04753945940305</v>
      </c>
      <c r="S114" s="138">
        <f t="shared" si="223"/>
        <v>100.04902273642548</v>
      </c>
      <c r="T114" s="138">
        <f t="shared" si="223"/>
        <v>100.0504426731702</v>
      </c>
      <c r="U114" s="138">
        <f t="shared" si="223"/>
        <v>100.11085063307684</v>
      </c>
      <c r="V114" s="138">
        <f t="shared" si="223"/>
        <v>100.10583095040707</v>
      </c>
      <c r="W114" s="138">
        <f t="shared" si="223"/>
        <v>100.10744773515424</v>
      </c>
      <c r="X114" s="138">
        <f t="shared" si="223"/>
        <v>100.10968910188791</v>
      </c>
      <c r="Y114" s="138">
        <f t="shared" si="223"/>
        <v>100.18184321577466</v>
      </c>
      <c r="Z114" s="138">
        <f t="shared" si="223"/>
        <v>100.18314866117912</v>
      </c>
      <c r="AA114" s="138">
        <f t="shared" si="223"/>
        <v>100.18626397942738</v>
      </c>
      <c r="AB114" s="138">
        <f t="shared" si="223"/>
        <v>100.23080153117455</v>
      </c>
      <c r="AC114" s="138">
        <f t="shared" si="223"/>
        <v>100.2329773275426</v>
      </c>
      <c r="AD114" s="138">
        <f t="shared" si="223"/>
        <v>100.23299966925784</v>
      </c>
      <c r="AE114" s="138">
        <f t="shared" si="223"/>
        <v>100.23745993618365</v>
      </c>
      <c r="AF114" s="138">
        <f t="shared" si="223"/>
        <v>100.2368519971901</v>
      </c>
      <c r="AG114" s="138">
        <f t="shared" si="223"/>
        <v>100.23946792338691</v>
      </c>
      <c r="AH114" s="138">
        <f t="shared" si="223"/>
        <v>100.24146844240629</v>
      </c>
      <c r="AI114" s="138">
        <f t="shared" si="223"/>
        <v>100.2428366488431</v>
      </c>
      <c r="AJ114" s="136"/>
      <c r="AK114" s="136"/>
      <c r="AL114" s="136"/>
      <c r="AM114" s="136"/>
      <c r="AN114" s="136"/>
      <c r="AO114" s="136"/>
      <c r="AP114" s="136"/>
      <c r="AQ114" s="136"/>
      <c r="AR114" s="136"/>
      <c r="AS114" s="136"/>
      <c r="AT114" s="283"/>
      <c r="BE114" s="135"/>
    </row>
    <row r="115" spans="1:57">
      <c r="B115" s="1"/>
      <c r="C115" s="61" t="s">
        <v>498</v>
      </c>
      <c r="D115" s="31" t="s">
        <v>495</v>
      </c>
      <c r="E115" s="57">
        <f>SUM(E112:E113)-100</f>
        <v>1.4144369915285893E-2</v>
      </c>
      <c r="F115" s="57">
        <f t="shared" ref="F115:Y115" si="224">SUM(F112:F113)-100</f>
        <v>1.5272437364316716E-2</v>
      </c>
      <c r="G115" s="57">
        <f t="shared" si="224"/>
        <v>1.5769262781475391E-2</v>
      </c>
      <c r="H115" s="57">
        <f t="shared" si="224"/>
        <v>3.9570391544287986E-3</v>
      </c>
      <c r="I115" s="57">
        <f t="shared" si="224"/>
        <v>4.2156128559867057E-3</v>
      </c>
      <c r="J115" s="57">
        <f t="shared" si="224"/>
        <v>1.4137493296843218E-2</v>
      </c>
      <c r="K115" s="57">
        <f t="shared" si="224"/>
        <v>1.5383262691273103E-2</v>
      </c>
      <c r="L115" s="57">
        <f t="shared" si="224"/>
        <v>1.2498062875152982E-2</v>
      </c>
      <c r="M115" s="57">
        <f t="shared" si="224"/>
        <v>1.6029539266057213E-2</v>
      </c>
      <c r="N115" s="57">
        <f t="shared" si="224"/>
        <v>1.651978811824506E-2</v>
      </c>
      <c r="O115" s="57">
        <f t="shared" si="224"/>
        <v>1.7532334446570985E-2</v>
      </c>
      <c r="P115" s="57">
        <f t="shared" si="224"/>
        <v>4.4152724332420235E-2</v>
      </c>
      <c r="Q115" s="57">
        <f t="shared" si="224"/>
        <v>4.5662919179505934E-2</v>
      </c>
      <c r="R115" s="57">
        <f t="shared" si="224"/>
        <v>4.7539459403054707E-2</v>
      </c>
      <c r="S115" s="57">
        <f t="shared" si="224"/>
        <v>4.9022736425484936E-2</v>
      </c>
      <c r="T115" s="57">
        <f t="shared" si="224"/>
        <v>5.0442673170195462E-2</v>
      </c>
      <c r="U115" s="57">
        <f t="shared" si="224"/>
        <v>0.1108506330768364</v>
      </c>
      <c r="V115" s="57">
        <f t="shared" si="224"/>
        <v>0.1058309504070678</v>
      </c>
      <c r="W115" s="57">
        <f t="shared" si="224"/>
        <v>0.10744773515423844</v>
      </c>
      <c r="X115" s="57">
        <f t="shared" si="224"/>
        <v>0.10968910188790915</v>
      </c>
      <c r="Y115" s="57">
        <f t="shared" si="224"/>
        <v>0.18184321577466278</v>
      </c>
      <c r="Z115" s="57">
        <f>SUM(Z112:Z113)-100</f>
        <v>0.18314866117911777</v>
      </c>
      <c r="AA115" s="57">
        <f t="shared" ref="AA115:AI115" si="225">SUM(AA112:AA113)-100</f>
        <v>0.18626397942738038</v>
      </c>
      <c r="AB115" s="57">
        <f t="shared" si="225"/>
        <v>0.23080153117454927</v>
      </c>
      <c r="AC115" s="57">
        <f t="shared" si="225"/>
        <v>0.23297732754259926</v>
      </c>
      <c r="AD115" s="57">
        <f t="shared" si="225"/>
        <v>0.23299966925783622</v>
      </c>
      <c r="AE115" s="57">
        <f t="shared" si="225"/>
        <v>0.23745993618365446</v>
      </c>
      <c r="AF115" s="57">
        <f t="shared" si="225"/>
        <v>0.23685199719010086</v>
      </c>
      <c r="AG115" s="57">
        <f t="shared" si="225"/>
        <v>0.23946792338691125</v>
      </c>
      <c r="AH115" s="57">
        <f t="shared" si="225"/>
        <v>0.24146844240628695</v>
      </c>
      <c r="AI115" s="57">
        <f t="shared" si="225"/>
        <v>0.2428366488430953</v>
      </c>
      <c r="AP115" s="57">
        <f>AVERAGE(E115:I115)</f>
        <v>1.06717444142987E-2</v>
      </c>
      <c r="AQ115" s="57">
        <f t="shared" si="182"/>
        <v>1.5350080115690426E-2</v>
      </c>
      <c r="AR115" s="57">
        <f>AVERAGE(P115:T115)</f>
        <v>4.7364102502132258E-2</v>
      </c>
      <c r="AS115" s="57">
        <f t="shared" si="184"/>
        <v>0.10845460513151295</v>
      </c>
      <c r="AT115" s="297">
        <f t="shared" si="185"/>
        <v>0.18375195212705364</v>
      </c>
      <c r="AU115" s="55">
        <f>AVERAGE(AB115:AI115)</f>
        <v>0.2368579344981292</v>
      </c>
    </row>
    <row r="116" spans="1:57">
      <c r="C116" s="61" t="s">
        <v>499</v>
      </c>
      <c r="D116" s="31" t="s">
        <v>495</v>
      </c>
      <c r="E116" s="34">
        <f>100*((E$64*$E$15/100)-E97)/(E$64*$E$15/100)</f>
        <v>1.7939525567059693</v>
      </c>
      <c r="F116" s="34">
        <f t="shared" ref="F116:Y116" si="226">100*((F$64*$E$15/100)-F97)/(F$64*$E$15/100)</f>
        <v>1.2069861838737299</v>
      </c>
      <c r="G116" s="34">
        <f t="shared" si="226"/>
        <v>1.2267225597451392</v>
      </c>
      <c r="H116" s="34">
        <f t="shared" si="226"/>
        <v>2.5083052691940129</v>
      </c>
      <c r="I116" s="34">
        <f t="shared" si="226"/>
        <v>2.5607720488445067</v>
      </c>
      <c r="J116" s="34">
        <f t="shared" si="226"/>
        <v>6.0707918986794658</v>
      </c>
      <c r="K116" s="34">
        <f t="shared" si="226"/>
        <v>6.3635614072388424</v>
      </c>
      <c r="L116" s="34">
        <f t="shared" si="226"/>
        <v>5.4874954186631797</v>
      </c>
      <c r="M116" s="34">
        <f t="shared" si="226"/>
        <v>6.3332516152078941</v>
      </c>
      <c r="N116" s="34">
        <f t="shared" si="226"/>
        <v>6.3821164630962679</v>
      </c>
      <c r="O116" s="278">
        <f t="shared" si="226"/>
        <v>6.4445064493288919</v>
      </c>
      <c r="P116" s="34">
        <f t="shared" si="226"/>
        <v>14.570571200107675</v>
      </c>
      <c r="Q116" s="34">
        <f t="shared" si="226"/>
        <v>14.476543732781387</v>
      </c>
      <c r="R116" s="34">
        <f t="shared" si="226"/>
        <v>14.656018626292214</v>
      </c>
      <c r="S116" s="34">
        <f t="shared" si="226"/>
        <v>14.715909455155524</v>
      </c>
      <c r="T116" s="34">
        <f t="shared" si="226"/>
        <v>14.709725269457406</v>
      </c>
      <c r="U116" s="34">
        <f t="shared" si="226"/>
        <v>31.160841409729962</v>
      </c>
      <c r="V116" s="34">
        <f t="shared" si="226"/>
        <v>29.687824217899824</v>
      </c>
      <c r="W116" s="34">
        <f t="shared" si="226"/>
        <v>29.641253087455791</v>
      </c>
      <c r="X116" s="34">
        <f t="shared" si="226"/>
        <v>29.786932893389785</v>
      </c>
      <c r="Y116" s="34">
        <f t="shared" si="226"/>
        <v>50.590288971282362</v>
      </c>
      <c r="Z116" s="34">
        <f>100*((Z$64*$E$15/100)-Z97)/(Z$64*$E$15/100)</f>
        <v>50.426471355451696</v>
      </c>
      <c r="AA116" s="34">
        <f t="shared" ref="AA116:AI116" si="227">100*((AA$64*$E$15/100)-AA97)/(AA$64*$E$15/100)</f>
        <v>50.893671341221442</v>
      </c>
      <c r="AB116" s="34">
        <f t="shared" si="227"/>
        <v>61.153527348289813</v>
      </c>
      <c r="AC116" s="34">
        <f t="shared" si="227"/>
        <v>60.730940289414825</v>
      </c>
      <c r="AD116" s="34">
        <f t="shared" si="227"/>
        <v>60.076078135870254</v>
      </c>
      <c r="AE116" s="34">
        <f t="shared" si="227"/>
        <v>60.633255574706702</v>
      </c>
      <c r="AF116" s="34">
        <f t="shared" si="227"/>
        <v>59.941645466301203</v>
      </c>
      <c r="AG116" s="34">
        <f t="shared" si="227"/>
        <v>60.396383997870394</v>
      </c>
      <c r="AH116" s="34">
        <f t="shared" si="227"/>
        <v>60.362483897181036</v>
      </c>
      <c r="AI116" s="34">
        <f t="shared" si="227"/>
        <v>60.49177319980474</v>
      </c>
      <c r="AP116" s="57">
        <f t="shared" ref="AP116:AP132" si="228">AVERAGE(E116:I116)</f>
        <v>1.8593477236726716</v>
      </c>
      <c r="AQ116" s="57">
        <f t="shared" si="182"/>
        <v>6.1802872087024232</v>
      </c>
      <c r="AR116" s="57">
        <f t="shared" ref="AR116:AR132" si="229">AVERAGE(P116:T116)</f>
        <v>14.625753656758841</v>
      </c>
      <c r="AS116" s="57">
        <f t="shared" si="184"/>
        <v>30.069212902118842</v>
      </c>
      <c r="AT116" s="297">
        <f t="shared" si="185"/>
        <v>50.636810555985164</v>
      </c>
      <c r="AU116" s="55">
        <f>AVERAGE(AB116:AI116)</f>
        <v>60.473260988679876</v>
      </c>
    </row>
    <row r="117" spans="1:57">
      <c r="C117" s="61" t="s">
        <v>500</v>
      </c>
      <c r="D117" s="31" t="s">
        <v>495</v>
      </c>
      <c r="E117" s="34">
        <f>((E$64*$E$19/100)-E101)/(E$64*$E$19/100)*100</f>
        <v>14.264218796268768</v>
      </c>
      <c r="F117" s="34">
        <f t="shared" ref="F117:Y117" si="230">((F$64*$E$19/100)-F101)/(F$64*$E$19/100)*100</f>
        <v>13.935319721476471</v>
      </c>
      <c r="G117" s="34">
        <f t="shared" si="230"/>
        <v>14.087318394179544</v>
      </c>
      <c r="H117" s="34">
        <f t="shared" si="230"/>
        <v>9.3203821961639957</v>
      </c>
      <c r="I117" s="34">
        <f t="shared" si="230"/>
        <v>9.3155911523600956</v>
      </c>
      <c r="J117" s="34">
        <f t="shared" si="230"/>
        <v>19.791834797055277</v>
      </c>
      <c r="K117" s="34">
        <f t="shared" si="230"/>
        <v>20.974814655731766</v>
      </c>
      <c r="L117" s="34">
        <f t="shared" si="230"/>
        <v>18.956788407007789</v>
      </c>
      <c r="M117" s="34">
        <f t="shared" si="230"/>
        <v>21.011793050390612</v>
      </c>
      <c r="N117" s="34">
        <f t="shared" si="230"/>
        <v>20.709789468213422</v>
      </c>
      <c r="O117" s="278">
        <f t="shared" si="230"/>
        <v>21.027408729139658</v>
      </c>
      <c r="P117" s="34">
        <f t="shared" si="230"/>
        <v>40.57693042168016</v>
      </c>
      <c r="Q117" s="34">
        <f t="shared" si="230"/>
        <v>40.586002000285468</v>
      </c>
      <c r="R117" s="34">
        <f t="shared" si="230"/>
        <v>40.887255012160182</v>
      </c>
      <c r="S117" s="34">
        <f t="shared" si="230"/>
        <v>40.366747223649966</v>
      </c>
      <c r="T117" s="34">
        <f t="shared" si="230"/>
        <v>40.300944258006218</v>
      </c>
      <c r="U117" s="34">
        <f t="shared" si="230"/>
        <v>65.994091876082919</v>
      </c>
      <c r="V117" s="34">
        <f t="shared" si="230"/>
        <v>66.044218648590657</v>
      </c>
      <c r="W117" s="34">
        <f t="shared" si="230"/>
        <v>65.981536461285486</v>
      </c>
      <c r="X117" s="34">
        <f t="shared" si="230"/>
        <v>66.192774946336215</v>
      </c>
      <c r="Y117" s="34">
        <f t="shared" si="230"/>
        <v>86.405842830547414</v>
      </c>
      <c r="Z117" s="34">
        <f>((Z$64*$E$19/100)-Z101)/(Z$64*$E$19/100)*100</f>
        <v>86.315121778505727</v>
      </c>
      <c r="AA117" s="34">
        <f t="shared" ref="AA117:AI117" si="231">((AA$64*$E$19/100)-AA101)/(AA$64*$E$19/100)*100</f>
        <v>86.630765913887302</v>
      </c>
      <c r="AB117" s="34">
        <f t="shared" si="231"/>
        <v>92.849255861935973</v>
      </c>
      <c r="AC117" s="34">
        <f t="shared" si="231"/>
        <v>92.778018800740341</v>
      </c>
      <c r="AD117" s="34">
        <f t="shared" si="231"/>
        <v>92.633863670821086</v>
      </c>
      <c r="AE117" s="34">
        <f t="shared" si="231"/>
        <v>92.910018255690801</v>
      </c>
      <c r="AF117" s="34">
        <f t="shared" si="231"/>
        <v>92.668701880398871</v>
      </c>
      <c r="AG117" s="34">
        <f t="shared" si="231"/>
        <v>92.975852754396556</v>
      </c>
      <c r="AH117" s="34">
        <f t="shared" si="231"/>
        <v>92.964472511665605</v>
      </c>
      <c r="AI117" s="34">
        <f t="shared" si="231"/>
        <v>93.023352697048807</v>
      </c>
      <c r="AP117" s="57">
        <f t="shared" si="228"/>
        <v>12.184566052089775</v>
      </c>
      <c r="AQ117" s="57">
        <f t="shared" si="182"/>
        <v>20.412071517923085</v>
      </c>
      <c r="AR117" s="57">
        <f t="shared" si="229"/>
        <v>40.543575783156392</v>
      </c>
      <c r="AS117" s="57">
        <f t="shared" si="184"/>
        <v>66.053155483073823</v>
      </c>
      <c r="AT117" s="297">
        <f t="shared" si="185"/>
        <v>86.450576840980148</v>
      </c>
      <c r="AU117" s="55">
        <f>AVERAGE(AB117:AI117)</f>
        <v>92.850442054087253</v>
      </c>
    </row>
    <row r="118" spans="1:57">
      <c r="C118" s="61" t="s">
        <v>501</v>
      </c>
      <c r="D118" s="31" t="s">
        <v>495</v>
      </c>
      <c r="E118" s="34">
        <f>((E$64*$E$20/100)-E102)/(E$64*$E$20/100)*100</f>
        <v>49.564854287811364</v>
      </c>
      <c r="F118" s="34">
        <f t="shared" ref="F118:AI118" si="232">((F$64*$E$20/100)-F102)/(F$64*$E$20/100)*100</f>
        <v>49.998025877636344</v>
      </c>
      <c r="G118" s="34">
        <f t="shared" si="232"/>
        <v>50.299695769405403</v>
      </c>
      <c r="H118" s="34">
        <f t="shared" si="232"/>
        <v>22.26489682062936</v>
      </c>
      <c r="I118" s="34">
        <f t="shared" si="232"/>
        <v>21.700826520753296</v>
      </c>
      <c r="J118" s="34">
        <f t="shared" si="232"/>
        <v>41.389837245619624</v>
      </c>
      <c r="K118" s="34">
        <f t="shared" si="232"/>
        <v>43.476461068318663</v>
      </c>
      <c r="L118" s="34">
        <f t="shared" si="232"/>
        <v>40.49695103385681</v>
      </c>
      <c r="M118" s="34">
        <f t="shared" si="232"/>
        <v>44.049979094761618</v>
      </c>
      <c r="N118" s="34">
        <f t="shared" si="232"/>
        <v>42.939064171125459</v>
      </c>
      <c r="O118" s="278">
        <f t="shared" si="232"/>
        <v>43.621766394981726</v>
      </c>
      <c r="P118" s="34">
        <f t="shared" si="232"/>
        <v>71.110857708725888</v>
      </c>
      <c r="Q118" s="34">
        <f t="shared" si="232"/>
        <v>70.923732857936301</v>
      </c>
      <c r="R118" s="34">
        <f t="shared" si="232"/>
        <v>71.239906732505887</v>
      </c>
      <c r="S118" s="34">
        <f t="shared" si="232"/>
        <v>70.225712375110348</v>
      </c>
      <c r="T118" s="34">
        <f t="shared" si="232"/>
        <v>70.335140197501048</v>
      </c>
      <c r="U118" s="34">
        <f t="shared" si="232"/>
        <v>89.309412973554515</v>
      </c>
      <c r="V118" s="34">
        <f t="shared" si="232"/>
        <v>91.416290887175379</v>
      </c>
      <c r="W118" s="34">
        <f t="shared" si="232"/>
        <v>91.448313469783045</v>
      </c>
      <c r="X118" s="34">
        <f t="shared" si="232"/>
        <v>91.636590819638258</v>
      </c>
      <c r="Y118" s="34">
        <f t="shared" si="232"/>
        <v>98.716263511143836</v>
      </c>
      <c r="Z118" s="34">
        <f t="shared" si="232"/>
        <v>98.719304218376521</v>
      </c>
      <c r="AA118" s="34">
        <f t="shared" si="232"/>
        <v>98.784342624637361</v>
      </c>
      <c r="AB118" s="34">
        <f t="shared" si="232"/>
        <v>99.694752277849261</v>
      </c>
      <c r="AC118" s="34">
        <f t="shared" si="232"/>
        <v>99.689362994585139</v>
      </c>
      <c r="AD118" s="34">
        <f t="shared" si="232"/>
        <v>99.68875812450537</v>
      </c>
      <c r="AE118" s="34">
        <f t="shared" si="232"/>
        <v>99.702082765289575</v>
      </c>
      <c r="AF118" s="34">
        <f t="shared" si="232"/>
        <v>99.686170696385261</v>
      </c>
      <c r="AG118" s="34">
        <f t="shared" si="232"/>
        <v>99.700522061575711</v>
      </c>
      <c r="AH118" s="34">
        <f t="shared" si="232"/>
        <v>99.717963742308896</v>
      </c>
      <c r="AI118" s="34">
        <f t="shared" si="232"/>
        <v>99.717428162356526</v>
      </c>
      <c r="AP118" s="57">
        <f t="shared" si="228"/>
        <v>38.765659855247158</v>
      </c>
      <c r="AQ118" s="57">
        <f t="shared" si="182"/>
        <v>42.662343168110652</v>
      </c>
      <c r="AR118" s="57">
        <f t="shared" si="229"/>
        <v>70.767069974355906</v>
      </c>
      <c r="AS118" s="57">
        <f t="shared" si="184"/>
        <v>90.952652037537803</v>
      </c>
      <c r="AT118" s="297">
        <f t="shared" si="185"/>
        <v>98.739970118052568</v>
      </c>
      <c r="AU118" s="55">
        <f>AVERAGE(AB118:AI118)</f>
        <v>99.699630103106969</v>
      </c>
    </row>
    <row r="119" spans="1:57">
      <c r="C119" s="61"/>
      <c r="AP119" s="57"/>
      <c r="AQ119" s="57"/>
      <c r="AR119" s="57"/>
      <c r="AS119" s="57"/>
      <c r="AT119" s="297"/>
      <c r="AU119" s="55"/>
    </row>
    <row r="120" spans="1:57">
      <c r="C120" s="61" t="s">
        <v>502</v>
      </c>
      <c r="D120" s="31" t="s">
        <v>314</v>
      </c>
      <c r="E120" s="34">
        <f>100*(E93)/((E$64*$E$15/100)-E97)</f>
        <v>1.9171989136581999</v>
      </c>
      <c r="F120" s="34">
        <f t="shared" ref="F120:Y120" si="233">100*(F93)/((F$64*$E$15/100)-F97)</f>
        <v>3.0192706952690731</v>
      </c>
      <c r="G120" s="34">
        <f t="shared" si="233"/>
        <v>3.1048663740980396</v>
      </c>
      <c r="H120" s="34">
        <f t="shared" si="233"/>
        <v>1.3571491039730168</v>
      </c>
      <c r="I120" s="34">
        <f t="shared" si="233"/>
        <v>1.3638732755971961</v>
      </c>
      <c r="J120" s="34">
        <f t="shared" si="233"/>
        <v>1.6677055047225668</v>
      </c>
      <c r="K120" s="34">
        <f t="shared" si="233"/>
        <v>1.6751581778842641</v>
      </c>
      <c r="L120" s="34">
        <f t="shared" si="233"/>
        <v>1.6092597732567637</v>
      </c>
      <c r="M120" s="34">
        <f t="shared" si="233"/>
        <v>1.7292868233955621</v>
      </c>
      <c r="N120" s="34">
        <f t="shared" si="233"/>
        <v>1.7539923981712944</v>
      </c>
      <c r="O120" s="34">
        <f t="shared" si="233"/>
        <v>1.7959699358129133</v>
      </c>
      <c r="P120" s="34">
        <f t="shared" si="233"/>
        <v>2.2707889874146789</v>
      </c>
      <c r="Q120" s="34">
        <f t="shared" si="233"/>
        <v>2.3296765488904474</v>
      </c>
      <c r="R120" s="34">
        <f t="shared" si="233"/>
        <v>2.3900933345311248</v>
      </c>
      <c r="S120" s="34">
        <f t="shared" si="233"/>
        <v>2.4524193296315224</v>
      </c>
      <c r="T120" s="34">
        <f t="shared" si="233"/>
        <v>2.4628334277193256</v>
      </c>
      <c r="U120" s="34">
        <f t="shared" si="233"/>
        <v>3.5118233552146534</v>
      </c>
      <c r="V120" s="34">
        <f t="shared" si="233"/>
        <v>3.3051054508603737</v>
      </c>
      <c r="W120" s="34">
        <f t="shared" si="233"/>
        <v>3.3442083294310168</v>
      </c>
      <c r="X120" s="34">
        <f t="shared" si="233"/>
        <v>3.3857153935898436</v>
      </c>
      <c r="Y120" s="34">
        <f t="shared" si="233"/>
        <v>4.8182648344907211</v>
      </c>
      <c r="Z120" s="34">
        <f>100*(Z93)/((Z$64*$E$15/100)-Z97)</f>
        <v>4.8190123059676351</v>
      </c>
      <c r="AA120" s="34">
        <f t="shared" ref="AA120:AI120" si="234">100*(AA93)/((AA$64*$E$15/100)-AA97)</f>
        <v>4.87779250073946</v>
      </c>
      <c r="AB120" s="34">
        <f t="shared" si="234"/>
        <v>6.0167928541871945</v>
      </c>
      <c r="AC120" s="34">
        <f t="shared" si="234"/>
        <v>5.9469455138792817</v>
      </c>
      <c r="AD120" s="34">
        <f t="shared" si="234"/>
        <v>5.8753344526618303</v>
      </c>
      <c r="AE120" s="34">
        <f t="shared" si="234"/>
        <v>5.9486068333853801</v>
      </c>
      <c r="AF120" s="34">
        <f t="shared" si="234"/>
        <v>5.8586919544846356</v>
      </c>
      <c r="AG120" s="34">
        <f t="shared" si="234"/>
        <v>5.9200814758978924</v>
      </c>
      <c r="AH120" s="34">
        <f t="shared" si="234"/>
        <v>5.919539217484914</v>
      </c>
      <c r="AI120" s="34">
        <f t="shared" si="234"/>
        <v>5.9379391054342099</v>
      </c>
      <c r="AP120" s="57">
        <f t="shared" si="228"/>
        <v>2.1524716725191051</v>
      </c>
      <c r="AQ120" s="57">
        <f t="shared" si="182"/>
        <v>1.7052287688738936</v>
      </c>
      <c r="AR120" s="57">
        <f t="shared" si="229"/>
        <v>2.3811623256374199</v>
      </c>
      <c r="AS120" s="57">
        <f t="shared" si="184"/>
        <v>3.3867131322739716</v>
      </c>
      <c r="AT120" s="297">
        <f t="shared" si="185"/>
        <v>4.8383565470659384</v>
      </c>
      <c r="AU120" s="55">
        <f>AVERAGE(AB120:AI120)</f>
        <v>5.9279914259269173</v>
      </c>
    </row>
    <row r="121" spans="1:57">
      <c r="C121" s="61" t="s">
        <v>503</v>
      </c>
      <c r="D121" s="31" t="s">
        <v>314</v>
      </c>
      <c r="E121" s="34">
        <f>100*(E94)/((E$64*$E$15/100)-E97)</f>
        <v>11.295293848815851</v>
      </c>
      <c r="F121" s="34">
        <f t="shared" ref="F121:Y121" si="235">100*(F94)/((F$64*$E$15/100)-F97)</f>
        <v>16.911894640218044</v>
      </c>
      <c r="G121" s="34">
        <f t="shared" si="235"/>
        <v>17.136470048262172</v>
      </c>
      <c r="H121" s="34">
        <f t="shared" si="235"/>
        <v>6.8839005509928981</v>
      </c>
      <c r="I121" s="34">
        <f t="shared" si="235"/>
        <v>7.0181270832634004</v>
      </c>
      <c r="J121" s="34">
        <f t="shared" si="235"/>
        <v>7.5733472720883084</v>
      </c>
      <c r="K121" s="34">
        <f t="shared" si="235"/>
        <v>7.683248072696637</v>
      </c>
      <c r="L121" s="34">
        <f t="shared" si="235"/>
        <v>7.3068359786699046</v>
      </c>
      <c r="M121" s="34">
        <f t="shared" si="235"/>
        <v>7.7687588375756125</v>
      </c>
      <c r="N121" s="34">
        <f t="shared" si="235"/>
        <v>7.8757059477690756</v>
      </c>
      <c r="O121" s="34">
        <f t="shared" si="235"/>
        <v>8.0196618241566267</v>
      </c>
      <c r="P121" s="34">
        <f t="shared" si="235"/>
        <v>8.6116964053762111</v>
      </c>
      <c r="Q121" s="34">
        <f t="shared" si="235"/>
        <v>8.7848940050476081</v>
      </c>
      <c r="R121" s="34">
        <f t="shared" si="235"/>
        <v>8.8948676047107895</v>
      </c>
      <c r="S121" s="34">
        <f t="shared" si="235"/>
        <v>8.984683132963724</v>
      </c>
      <c r="T121" s="34">
        <f t="shared" si="235"/>
        <v>9.0219118617443659</v>
      </c>
      <c r="U121" s="34">
        <f t="shared" si="235"/>
        <v>9.9044478830743508</v>
      </c>
      <c r="V121" s="34">
        <f t="shared" si="235"/>
        <v>9.890532505407819</v>
      </c>
      <c r="W121" s="34">
        <f t="shared" si="235"/>
        <v>9.9572816376331801</v>
      </c>
      <c r="X121" s="34">
        <f t="shared" si="235"/>
        <v>10.023806963197121</v>
      </c>
      <c r="Y121" s="34">
        <f t="shared" si="235"/>
        <v>10.989970556548506</v>
      </c>
      <c r="Z121" s="34">
        <f>100*(Z94)/((Z$64*$E$15/100)-Z97)</f>
        <v>11.056870822996002</v>
      </c>
      <c r="AA121" s="34">
        <f t="shared" ref="AA121:AI121" si="236">100*(AA94)/((AA$64*$E$15/100)-AA97)</f>
        <v>11.101011770378275</v>
      </c>
      <c r="AB121" s="34">
        <f t="shared" si="236"/>
        <v>11.556965394415275</v>
      </c>
      <c r="AC121" s="34">
        <f t="shared" si="236"/>
        <v>11.576990152608579</v>
      </c>
      <c r="AD121" s="34">
        <f t="shared" si="236"/>
        <v>11.586718089664215</v>
      </c>
      <c r="AE121" s="34">
        <f t="shared" si="236"/>
        <v>11.608562788228998</v>
      </c>
      <c r="AF121" s="34">
        <f t="shared" si="236"/>
        <v>11.588880677139205</v>
      </c>
      <c r="AG121" s="34">
        <f t="shared" si="236"/>
        <v>11.615200960493249</v>
      </c>
      <c r="AH121" s="34">
        <f t="shared" si="236"/>
        <v>11.619985277941401</v>
      </c>
      <c r="AI121" s="34">
        <f t="shared" si="236"/>
        <v>11.631766866298081</v>
      </c>
      <c r="AP121" s="57">
        <f t="shared" si="228"/>
        <v>11.849137234310472</v>
      </c>
      <c r="AQ121" s="57">
        <f t="shared" si="182"/>
        <v>7.7045929888260281</v>
      </c>
      <c r="AR121" s="57">
        <f t="shared" si="229"/>
        <v>8.859610601968539</v>
      </c>
      <c r="AS121" s="57">
        <f t="shared" si="184"/>
        <v>9.9440172473281176</v>
      </c>
      <c r="AT121" s="297">
        <f t="shared" si="185"/>
        <v>11.049284383307594</v>
      </c>
      <c r="AU121" s="55">
        <f>AVERAGE(AB121:AI121)</f>
        <v>11.598133775848625</v>
      </c>
    </row>
    <row r="122" spans="1:57">
      <c r="A122" s="1"/>
      <c r="C122" s="66" t="s">
        <v>504</v>
      </c>
      <c r="D122" s="31" t="s">
        <v>314</v>
      </c>
      <c r="E122" s="34">
        <f>(E95)/((E$64*$E$15/100)-E97)*100</f>
        <v>107.07253503793959</v>
      </c>
      <c r="F122" s="34">
        <f t="shared" ref="F122:Y122" si="237">(F95)/((F$64*$E$15/100)-F97)*100</f>
        <v>156.56823114839227</v>
      </c>
      <c r="G122" s="34">
        <f t="shared" si="237"/>
        <v>156.07995678868062</v>
      </c>
      <c r="H122" s="34">
        <f t="shared" si="237"/>
        <v>59.916647561576831</v>
      </c>
      <c r="I122" s="34">
        <f t="shared" si="237"/>
        <v>59.286683828686002</v>
      </c>
      <c r="J122" s="34">
        <f t="shared" si="237"/>
        <v>56.646603002575745</v>
      </c>
      <c r="K122" s="34">
        <f t="shared" si="237"/>
        <v>57.096628677906658</v>
      </c>
      <c r="L122" s="34">
        <f t="shared" si="237"/>
        <v>58.072883283678387</v>
      </c>
      <c r="M122" s="34">
        <f t="shared" si="237"/>
        <v>57.314273509882895</v>
      </c>
      <c r="N122" s="34">
        <f t="shared" si="237"/>
        <v>56.758424938785069</v>
      </c>
      <c r="O122" s="34">
        <f t="shared" si="237"/>
        <v>56.920663148901021</v>
      </c>
      <c r="P122" s="34">
        <f t="shared" si="237"/>
        <v>54.935951328471212</v>
      </c>
      <c r="Q122" s="34">
        <f t="shared" si="237"/>
        <v>55.043582944784738</v>
      </c>
      <c r="R122" s="34">
        <f t="shared" si="237"/>
        <v>54.936250010168443</v>
      </c>
      <c r="S122" s="34">
        <f t="shared" si="237"/>
        <v>54.357593908287903</v>
      </c>
      <c r="T122" s="34">
        <f t="shared" si="237"/>
        <v>54.234386164880021</v>
      </c>
      <c r="U122" s="34">
        <f t="shared" si="237"/>
        <v>51.707886034168482</v>
      </c>
      <c r="V122" s="34">
        <f t="shared" si="237"/>
        <v>52.629444514285517</v>
      </c>
      <c r="W122" s="34">
        <f t="shared" si="237"/>
        <v>52.635420262507694</v>
      </c>
      <c r="X122" s="34">
        <f t="shared" si="237"/>
        <v>52.568621002866003</v>
      </c>
      <c r="Y122" s="34">
        <f t="shared" si="237"/>
        <v>50.57114708463839</v>
      </c>
      <c r="Z122" s="34">
        <f>(Z95)/((Z$64*$E$15/100)-Z97)*100</f>
        <v>50.59119366299366</v>
      </c>
      <c r="AA122" s="34">
        <f t="shared" ref="AA122:AI122" si="238">(AA95)/((AA$64*$E$15/100)-AA97)*100</f>
        <v>50.501044197234101</v>
      </c>
      <c r="AB122" s="34">
        <f t="shared" si="238"/>
        <v>49.166452181466354</v>
      </c>
      <c r="AC122" s="34">
        <f t="shared" si="238"/>
        <v>49.08066897049963</v>
      </c>
      <c r="AD122" s="34">
        <f t="shared" si="238"/>
        <v>49.161204740929364</v>
      </c>
      <c r="AE122" s="34">
        <f t="shared" si="238"/>
        <v>48.941112318777172</v>
      </c>
      <c r="AF122" s="34">
        <f t="shared" si="238"/>
        <v>48.979810036219078</v>
      </c>
      <c r="AG122" s="34">
        <f t="shared" si="238"/>
        <v>48.88937559426401</v>
      </c>
      <c r="AH122" s="34">
        <f t="shared" si="238"/>
        <v>48.817138880667287</v>
      </c>
      <c r="AI122" s="34">
        <f t="shared" si="238"/>
        <v>48.751891960996772</v>
      </c>
      <c r="AP122" s="57">
        <f t="shared" si="228"/>
        <v>107.78481087305506</v>
      </c>
      <c r="AQ122" s="57">
        <f t="shared" si="182"/>
        <v>57.134912760288302</v>
      </c>
      <c r="AR122" s="57">
        <f t="shared" si="229"/>
        <v>54.701552871318462</v>
      </c>
      <c r="AS122" s="57">
        <f t="shared" si="184"/>
        <v>52.38534295345692</v>
      </c>
      <c r="AT122" s="297">
        <f t="shared" si="185"/>
        <v>50.554461648288715</v>
      </c>
      <c r="AU122" s="55">
        <f>AVERAGE(AB122:AI122)</f>
        <v>48.973456835477457</v>
      </c>
    </row>
    <row r="123" spans="1:57">
      <c r="C123" s="66" t="s">
        <v>505</v>
      </c>
      <c r="D123" s="31" t="s">
        <v>314</v>
      </c>
      <c r="E123" s="34">
        <f>100*(E96)/((E$64*$E$15/100)-E97)</f>
        <v>83.194356704889032</v>
      </c>
      <c r="F123" s="34">
        <f t="shared" ref="F123:Y123" si="239">100*(F96)/((F$64*$E$15/100)-F97)</f>
        <v>122.60906746809054</v>
      </c>
      <c r="G123" s="34">
        <f t="shared" si="239"/>
        <v>121.44313936413664</v>
      </c>
      <c r="H123" s="34">
        <f t="shared" si="239"/>
        <v>49.085124150520194</v>
      </c>
      <c r="I123" s="34">
        <f t="shared" si="239"/>
        <v>48.056022010426844</v>
      </c>
      <c r="J123" s="34">
        <f t="shared" si="239"/>
        <v>37.970645555723273</v>
      </c>
      <c r="K123" s="34">
        <f t="shared" si="239"/>
        <v>37.881047237104525</v>
      </c>
      <c r="L123" s="34">
        <f t="shared" si="239"/>
        <v>39.587387231598328</v>
      </c>
      <c r="M123" s="34">
        <f t="shared" si="239"/>
        <v>38.024653331504915</v>
      </c>
      <c r="N123" s="34">
        <f t="shared" si="239"/>
        <v>37.379251754687097</v>
      </c>
      <c r="O123" s="34">
        <f t="shared" si="239"/>
        <v>37.259021813049038</v>
      </c>
      <c r="P123" s="34">
        <f t="shared" si="239"/>
        <v>34.084369345362845</v>
      </c>
      <c r="Q123" s="34">
        <f t="shared" si="239"/>
        <v>34.0442612057698</v>
      </c>
      <c r="R123" s="34">
        <f t="shared" si="239"/>
        <v>33.889245537197333</v>
      </c>
      <c r="S123" s="34">
        <f t="shared" si="239"/>
        <v>33.358595391867524</v>
      </c>
      <c r="T123" s="34">
        <f t="shared" si="239"/>
        <v>33.229589080275368</v>
      </c>
      <c r="U123" s="34">
        <f t="shared" si="239"/>
        <v>32.183161880890147</v>
      </c>
      <c r="V123" s="34">
        <f t="shared" si="239"/>
        <v>32.618181295184961</v>
      </c>
      <c r="W123" s="34">
        <f t="shared" si="239"/>
        <v>32.573323398030418</v>
      </c>
      <c r="X123" s="34">
        <f t="shared" si="239"/>
        <v>32.504572091631886</v>
      </c>
      <c r="Y123" s="34">
        <f t="shared" si="239"/>
        <v>31.990983331786911</v>
      </c>
      <c r="Z123" s="34">
        <f>100*(Z96)/((Z$64*$E$15/100)-Z97)</f>
        <v>31.964353104736961</v>
      </c>
      <c r="AA123" s="34">
        <f t="shared" ref="AA123:AI123" si="240">100*(AA96)/((AA$64*$E$15/100)-AA97)</f>
        <v>31.891705589683113</v>
      </c>
      <c r="AB123" s="34">
        <f t="shared" si="240"/>
        <v>31.095722478786573</v>
      </c>
      <c r="AC123" s="34">
        <f t="shared" si="240"/>
        <v>31.004397417882345</v>
      </c>
      <c r="AD123" s="34">
        <f t="shared" si="240"/>
        <v>31.004973735249941</v>
      </c>
      <c r="AE123" s="34">
        <f t="shared" si="240"/>
        <v>30.883766795666766</v>
      </c>
      <c r="AF123" s="34">
        <f t="shared" si="240"/>
        <v>30.874682344620279</v>
      </c>
      <c r="AG123" s="34">
        <f t="shared" si="240"/>
        <v>30.877846351657389</v>
      </c>
      <c r="AH123" s="34">
        <f t="shared" si="240"/>
        <v>30.765487359041341</v>
      </c>
      <c r="AI123" s="34">
        <f t="shared" si="240"/>
        <v>30.711237027106204</v>
      </c>
      <c r="AP123" s="57">
        <f t="shared" si="228"/>
        <v>84.877541939612655</v>
      </c>
      <c r="AQ123" s="57">
        <f t="shared" si="182"/>
        <v>38.017001153944527</v>
      </c>
      <c r="AR123" s="57">
        <f t="shared" si="229"/>
        <v>33.72121211209457</v>
      </c>
      <c r="AS123" s="57">
        <f t="shared" si="184"/>
        <v>32.469809666434358</v>
      </c>
      <c r="AT123" s="297">
        <f t="shared" si="185"/>
        <v>31.949014008735663</v>
      </c>
      <c r="AU123" s="55">
        <f>AVERAGE(AB123:AI123)</f>
        <v>30.902264188751353</v>
      </c>
    </row>
    <row r="124" spans="1:57" s="86" customFormat="1">
      <c r="A124" s="83"/>
      <c r="B124" s="84"/>
      <c r="C124" s="83" t="s">
        <v>506</v>
      </c>
      <c r="D124" s="84" t="s">
        <v>314</v>
      </c>
      <c r="E124" s="141">
        <f>SUM(E120:E123)</f>
        <v>203.47938450530268</v>
      </c>
      <c r="F124" s="141">
        <f t="shared" ref="F124:Y124" si="241">SUM(F120:F123)</f>
        <v>299.10846395196995</v>
      </c>
      <c r="G124" s="141">
        <f t="shared" si="241"/>
        <v>297.76443257517747</v>
      </c>
      <c r="H124" s="141">
        <f t="shared" si="241"/>
        <v>117.24282136706293</v>
      </c>
      <c r="I124" s="141">
        <f t="shared" si="241"/>
        <v>115.72470619797345</v>
      </c>
      <c r="J124" s="141">
        <f t="shared" si="241"/>
        <v>103.8583013351099</v>
      </c>
      <c r="K124" s="141">
        <f t="shared" si="241"/>
        <v>104.33608216559209</v>
      </c>
      <c r="L124" s="141">
        <f t="shared" si="241"/>
        <v>106.57636626720338</v>
      </c>
      <c r="M124" s="141">
        <f t="shared" si="241"/>
        <v>104.83697250235898</v>
      </c>
      <c r="N124" s="141">
        <f t="shared" si="241"/>
        <v>103.76737503941254</v>
      </c>
      <c r="O124" s="141">
        <f t="shared" si="241"/>
        <v>103.99531672191961</v>
      </c>
      <c r="P124" s="141">
        <f t="shared" si="241"/>
        <v>99.902806066624947</v>
      </c>
      <c r="Q124" s="141">
        <f t="shared" si="241"/>
        <v>100.2024147044926</v>
      </c>
      <c r="R124" s="141">
        <f t="shared" si="241"/>
        <v>100.11045648660769</v>
      </c>
      <c r="S124" s="141">
        <f t="shared" si="241"/>
        <v>99.153291762750669</v>
      </c>
      <c r="T124" s="141">
        <f t="shared" si="241"/>
        <v>98.948720534619071</v>
      </c>
      <c r="U124" s="141">
        <f t="shared" si="241"/>
        <v>97.307319153347635</v>
      </c>
      <c r="V124" s="141">
        <f t="shared" si="241"/>
        <v>98.443263765738664</v>
      </c>
      <c r="W124" s="141">
        <f t="shared" si="241"/>
        <v>98.510233627602304</v>
      </c>
      <c r="X124" s="141">
        <f t="shared" si="241"/>
        <v>98.482715451284847</v>
      </c>
      <c r="Y124" s="141">
        <f t="shared" si="241"/>
        <v>98.370365807464523</v>
      </c>
      <c r="Z124" s="141">
        <f>SUM(Z120:Z123)</f>
        <v>98.431429896694254</v>
      </c>
      <c r="AA124" s="141">
        <f t="shared" ref="AA124:AI124" si="242">SUM(AA120:AA123)</f>
        <v>98.371554058034945</v>
      </c>
      <c r="AB124" s="141">
        <f t="shared" si="242"/>
        <v>97.835932908855398</v>
      </c>
      <c r="AC124" s="141">
        <f t="shared" si="242"/>
        <v>97.609002054869833</v>
      </c>
      <c r="AD124" s="141">
        <f t="shared" si="242"/>
        <v>97.628231018505346</v>
      </c>
      <c r="AE124" s="141">
        <f t="shared" si="242"/>
        <v>97.382048736058323</v>
      </c>
      <c r="AF124" s="141">
        <f t="shared" si="242"/>
        <v>97.302065012463203</v>
      </c>
      <c r="AG124" s="141">
        <f t="shared" si="242"/>
        <v>97.302504382312549</v>
      </c>
      <c r="AH124" s="141">
        <f t="shared" si="242"/>
        <v>97.122150735134937</v>
      </c>
      <c r="AI124" s="141">
        <f t="shared" si="242"/>
        <v>97.03283495983527</v>
      </c>
      <c r="AJ124" s="84"/>
      <c r="AK124" s="84"/>
      <c r="AL124" s="84"/>
      <c r="AM124" s="84"/>
      <c r="AN124" s="84"/>
      <c r="AO124" s="84"/>
      <c r="AP124" s="57">
        <f t="shared" si="228"/>
        <v>206.66396171949728</v>
      </c>
      <c r="AQ124" s="57">
        <f t="shared" si="182"/>
        <v>104.56173567193275</v>
      </c>
      <c r="AR124" s="57">
        <f t="shared" si="229"/>
        <v>99.663537911018992</v>
      </c>
      <c r="AS124" s="57">
        <f t="shared" si="184"/>
        <v>98.185882999493359</v>
      </c>
      <c r="AT124" s="297">
        <f t="shared" si="185"/>
        <v>98.391116587397917</v>
      </c>
      <c r="AU124" s="55">
        <f>AVERAGE(AB124:AI124)</f>
        <v>97.401846226004352</v>
      </c>
      <c r="BE124" s="83"/>
    </row>
    <row r="125" spans="1:57">
      <c r="AP125" s="57"/>
      <c r="AQ125" s="57"/>
      <c r="AR125" s="57"/>
      <c r="AS125" s="57"/>
      <c r="AT125" s="297"/>
      <c r="AU125" s="55"/>
    </row>
    <row r="126" spans="1:57">
      <c r="C126" s="66" t="s">
        <v>507</v>
      </c>
      <c r="D126" s="31" t="s">
        <v>314</v>
      </c>
      <c r="E126" s="34">
        <f>100*(E99)/((E$64*$E$19/100)-E101)</f>
        <v>35.354644558640608</v>
      </c>
      <c r="F126" s="34">
        <f t="shared" ref="F126:Y126" si="243">100*(F99)/((F$64*$E$19/100)-F101)</f>
        <v>34.044253627637431</v>
      </c>
      <c r="G126" s="34">
        <f t="shared" si="243"/>
        <v>33.912254859463857</v>
      </c>
      <c r="H126" s="34">
        <f t="shared" si="243"/>
        <v>42.016111837942937</v>
      </c>
      <c r="I126" s="34">
        <f t="shared" si="243"/>
        <v>41.836523799615783</v>
      </c>
      <c r="J126" s="34">
        <f t="shared" si="243"/>
        <v>37.913891325565608</v>
      </c>
      <c r="K126" s="34">
        <f t="shared" si="243"/>
        <v>37.191080073670001</v>
      </c>
      <c r="L126" s="34">
        <f t="shared" si="243"/>
        <v>38.112466138077373</v>
      </c>
      <c r="M126" s="34">
        <f t="shared" si="243"/>
        <v>37.084045212731127</v>
      </c>
      <c r="N126" s="34">
        <f t="shared" si="243"/>
        <v>37.112867791741138</v>
      </c>
      <c r="O126" s="34">
        <f t="shared" si="243"/>
        <v>36.68440495806432</v>
      </c>
      <c r="P126" s="34">
        <f t="shared" si="243"/>
        <v>31.522280007455524</v>
      </c>
      <c r="Q126" s="34">
        <f t="shared" si="243"/>
        <v>30.936573535890389</v>
      </c>
      <c r="R126" s="34">
        <f t="shared" si="243"/>
        <v>30.533235807483742</v>
      </c>
      <c r="S126" s="34">
        <f t="shared" si="243"/>
        <v>30.312920797623629</v>
      </c>
      <c r="T126" s="34">
        <f t="shared" si="243"/>
        <v>30.172268029485426</v>
      </c>
      <c r="U126" s="34">
        <f t="shared" si="243"/>
        <v>22.239787711013669</v>
      </c>
      <c r="V126" s="34">
        <f t="shared" si="243"/>
        <v>23.088988093768307</v>
      </c>
      <c r="W126" s="34">
        <f t="shared" si="243"/>
        <v>22.820648702312134</v>
      </c>
      <c r="X126" s="34">
        <f t="shared" si="243"/>
        <v>22.529567594205314</v>
      </c>
      <c r="Y126" s="34">
        <f t="shared" si="243"/>
        <v>14.387859555580333</v>
      </c>
      <c r="Z126" s="34">
        <f>100*(Z99)/((Z$64*$E$19/100)-Z101)</f>
        <v>14.244280719785964</v>
      </c>
      <c r="AA126" s="34">
        <f t="shared" ref="AA126:AI126" si="244">100*(AA99)/((AA$64*$E$19/100)-AA101)</f>
        <v>13.920313718173869</v>
      </c>
      <c r="AB126" s="34">
        <f t="shared" si="244"/>
        <v>9.2284759224207935</v>
      </c>
      <c r="AC126" s="34">
        <f t="shared" si="244"/>
        <v>9.0511846284224173</v>
      </c>
      <c r="AD126" s="34">
        <f t="shared" si="244"/>
        <v>9.0098642868221912</v>
      </c>
      <c r="AE126" s="34">
        <f t="shared" si="244"/>
        <v>8.6752155497417807</v>
      </c>
      <c r="AF126" s="34">
        <f t="shared" si="244"/>
        <v>8.7648949046939464</v>
      </c>
      <c r="AG126" s="34">
        <f t="shared" si="244"/>
        <v>8.3928051343728285</v>
      </c>
      <c r="AH126" s="34">
        <f t="shared" si="244"/>
        <v>8.3327551483654236</v>
      </c>
      <c r="AI126" s="34">
        <f t="shared" si="244"/>
        <v>8.2210701104362975</v>
      </c>
      <c r="AP126" s="57">
        <f t="shared" si="228"/>
        <v>37.432757736660122</v>
      </c>
      <c r="AQ126" s="57">
        <f t="shared" si="182"/>
        <v>37.349792583308265</v>
      </c>
      <c r="AR126" s="57">
        <f t="shared" si="229"/>
        <v>30.695455635587741</v>
      </c>
      <c r="AS126" s="57">
        <f t="shared" si="184"/>
        <v>22.669748025324857</v>
      </c>
      <c r="AT126" s="297">
        <f t="shared" si="185"/>
        <v>14.184151331180056</v>
      </c>
      <c r="AU126" s="55">
        <f>AVERAGE(AB126:AI126)</f>
        <v>8.7095332106594601</v>
      </c>
    </row>
    <row r="127" spans="1:57">
      <c r="C127" s="66" t="s">
        <v>508</v>
      </c>
      <c r="D127" s="31" t="s">
        <v>314</v>
      </c>
      <c r="E127" s="34">
        <f>100*(E100)/((E$64*$E$19/100)-E101)</f>
        <v>30.729703960331385</v>
      </c>
      <c r="F127" s="34">
        <f t="shared" ref="F127:Y127" si="245">100*(F100)/((F$64*$E$19/100)-F101)</f>
        <v>29.544348268214375</v>
      </c>
      <c r="G127" s="34">
        <f t="shared" si="245"/>
        <v>29.313105545646462</v>
      </c>
      <c r="H127" s="34">
        <f t="shared" si="245"/>
        <v>34.905562507695983</v>
      </c>
      <c r="I127" s="34">
        <f t="shared" si="245"/>
        <v>34.683806866937374</v>
      </c>
      <c r="J127" s="34">
        <f t="shared" si="245"/>
        <v>34.400421514172685</v>
      </c>
      <c r="K127" s="34">
        <f t="shared" si="245"/>
        <v>33.904455919302805</v>
      </c>
      <c r="L127" s="34">
        <f t="shared" si="245"/>
        <v>34.503662469113429</v>
      </c>
      <c r="M127" s="34">
        <f t="shared" si="245"/>
        <v>33.746828948920793</v>
      </c>
      <c r="N127" s="34">
        <f t="shared" si="245"/>
        <v>33.722915768377128</v>
      </c>
      <c r="O127" s="34">
        <f t="shared" si="245"/>
        <v>33.32151007202782</v>
      </c>
      <c r="P127" s="34">
        <f t="shared" si="245"/>
        <v>31.996764361977064</v>
      </c>
      <c r="Q127" s="34">
        <f t="shared" si="245"/>
        <v>31.436675277455787</v>
      </c>
      <c r="R127" s="34">
        <f t="shared" si="245"/>
        <v>31.049729411462099</v>
      </c>
      <c r="S127" s="34">
        <f t="shared" si="245"/>
        <v>30.79102562426413</v>
      </c>
      <c r="T127" s="34">
        <f t="shared" si="245"/>
        <v>30.667419066773203</v>
      </c>
      <c r="U127" s="34">
        <f t="shared" si="245"/>
        <v>24.633305127331859</v>
      </c>
      <c r="V127" s="34">
        <f t="shared" si="245"/>
        <v>25.577632110494573</v>
      </c>
      <c r="W127" s="34">
        <f t="shared" si="245"/>
        <v>25.304438664340953</v>
      </c>
      <c r="X127" s="34">
        <f t="shared" si="245"/>
        <v>24.959185738363754</v>
      </c>
      <c r="Y127" s="34">
        <f t="shared" si="245"/>
        <v>16.59979298277457</v>
      </c>
      <c r="Z127" s="34">
        <f>100*(Z100)/((Z$64*$E$19/100)-Z101)</f>
        <v>16.492344542278374</v>
      </c>
      <c r="AA127" s="34">
        <f t="shared" ref="AA127:AI127" si="246">100*(AA100)/((AA$64*$E$19/100)-AA101)</f>
        <v>16.167618278291506</v>
      </c>
      <c r="AB127" s="34">
        <f t="shared" si="246"/>
        <v>10.73973720376879</v>
      </c>
      <c r="AC127" s="34">
        <f t="shared" si="246"/>
        <v>10.564744146663802</v>
      </c>
      <c r="AD127" s="34">
        <f t="shared" si="246"/>
        <v>10.542281730703202</v>
      </c>
      <c r="AE127" s="34">
        <f t="shared" si="246"/>
        <v>10.16459798110859</v>
      </c>
      <c r="AF127" s="34">
        <f t="shared" si="246"/>
        <v>10.259251440859417</v>
      </c>
      <c r="AG127" s="34">
        <f t="shared" si="246"/>
        <v>9.8586722109459917</v>
      </c>
      <c r="AH127" s="34">
        <f t="shared" si="246"/>
        <v>9.7561270169343377</v>
      </c>
      <c r="AI127" s="34">
        <f t="shared" si="246"/>
        <v>9.6103119617105861</v>
      </c>
      <c r="AP127" s="57">
        <f t="shared" si="228"/>
        <v>31.835305429765118</v>
      </c>
      <c r="AQ127" s="57">
        <f t="shared" si="182"/>
        <v>33.933299115319116</v>
      </c>
      <c r="AR127" s="57">
        <f t="shared" si="229"/>
        <v>31.188322748386451</v>
      </c>
      <c r="AS127" s="57">
        <f t="shared" si="184"/>
        <v>25.118640410132784</v>
      </c>
      <c r="AT127" s="297">
        <f t="shared" si="185"/>
        <v>16.419918601114819</v>
      </c>
      <c r="AU127" s="55">
        <f>AVERAGE(AB127:AI127)</f>
        <v>10.186965461586841</v>
      </c>
    </row>
    <row r="128" spans="1:57" s="86" customFormat="1">
      <c r="A128" s="83"/>
      <c r="B128" s="84"/>
      <c r="C128" s="83" t="s">
        <v>509</v>
      </c>
      <c r="D128" s="84" t="s">
        <v>314</v>
      </c>
      <c r="E128" s="141">
        <f>SUM(E126:E127)</f>
        <v>66.084348518971993</v>
      </c>
      <c r="F128" s="141">
        <f t="shared" ref="F128:Y128" si="247">SUM(F126:F127)</f>
        <v>63.588601895851809</v>
      </c>
      <c r="G128" s="141">
        <f t="shared" si="247"/>
        <v>63.225360405110322</v>
      </c>
      <c r="H128" s="141">
        <f t="shared" si="247"/>
        <v>76.92167434563892</v>
      </c>
      <c r="I128" s="141">
        <f t="shared" si="247"/>
        <v>76.52033066655315</v>
      </c>
      <c r="J128" s="141">
        <f t="shared" si="247"/>
        <v>72.314312839738292</v>
      </c>
      <c r="K128" s="141">
        <f t="shared" si="247"/>
        <v>71.095535992972799</v>
      </c>
      <c r="L128" s="141">
        <f t="shared" si="247"/>
        <v>72.616128607190802</v>
      </c>
      <c r="M128" s="141">
        <f t="shared" si="247"/>
        <v>70.83087416165192</v>
      </c>
      <c r="N128" s="141">
        <f t="shared" si="247"/>
        <v>70.835783560118273</v>
      </c>
      <c r="O128" s="141">
        <f t="shared" si="247"/>
        <v>70.00591503009214</v>
      </c>
      <c r="P128" s="141">
        <f t="shared" si="247"/>
        <v>63.519044369432592</v>
      </c>
      <c r="Q128" s="141">
        <f t="shared" si="247"/>
        <v>62.37324881334618</v>
      </c>
      <c r="R128" s="141">
        <f t="shared" si="247"/>
        <v>61.582965218945844</v>
      </c>
      <c r="S128" s="141">
        <f t="shared" si="247"/>
        <v>61.103946421887755</v>
      </c>
      <c r="T128" s="141">
        <f t="shared" si="247"/>
        <v>60.839687096258629</v>
      </c>
      <c r="U128" s="141">
        <f t="shared" si="247"/>
        <v>46.873092838345528</v>
      </c>
      <c r="V128" s="141">
        <f t="shared" si="247"/>
        <v>48.666620204262884</v>
      </c>
      <c r="W128" s="141">
        <f t="shared" si="247"/>
        <v>48.125087366653091</v>
      </c>
      <c r="X128" s="141">
        <f t="shared" si="247"/>
        <v>47.488753332569068</v>
      </c>
      <c r="Y128" s="141">
        <f t="shared" si="247"/>
        <v>30.987652538354901</v>
      </c>
      <c r="Z128" s="141">
        <f>SUM(Z126:Z127)</f>
        <v>30.736625262064337</v>
      </c>
      <c r="AA128" s="141">
        <f t="shared" ref="AA128:AI128" si="248">SUM(AA126:AA127)</f>
        <v>30.087931996465375</v>
      </c>
      <c r="AB128" s="141">
        <f t="shared" si="248"/>
        <v>19.968213126189582</v>
      </c>
      <c r="AC128" s="141">
        <f t="shared" si="248"/>
        <v>19.615928775086218</v>
      </c>
      <c r="AD128" s="141">
        <f t="shared" si="248"/>
        <v>19.552146017525395</v>
      </c>
      <c r="AE128" s="141">
        <f t="shared" si="248"/>
        <v>18.839813530850371</v>
      </c>
      <c r="AF128" s="141">
        <f t="shared" si="248"/>
        <v>19.024146345553362</v>
      </c>
      <c r="AG128" s="141">
        <f t="shared" si="248"/>
        <v>18.251477345318818</v>
      </c>
      <c r="AH128" s="141">
        <f t="shared" si="248"/>
        <v>18.088882165299761</v>
      </c>
      <c r="AI128" s="141">
        <f t="shared" si="248"/>
        <v>17.831382072146884</v>
      </c>
      <c r="AJ128" s="84"/>
      <c r="AK128" s="84"/>
      <c r="AL128" s="84"/>
      <c r="AM128" s="84"/>
      <c r="AN128" s="84"/>
      <c r="AO128" s="84"/>
      <c r="AP128" s="57">
        <f t="shared" si="228"/>
        <v>69.268063166425236</v>
      </c>
      <c r="AQ128" s="57">
        <f t="shared" si="182"/>
        <v>71.283091698627359</v>
      </c>
      <c r="AR128" s="57">
        <f t="shared" si="229"/>
        <v>61.883778383974196</v>
      </c>
      <c r="AS128" s="57">
        <f t="shared" si="184"/>
        <v>47.788388435457641</v>
      </c>
      <c r="AT128" s="297">
        <f t="shared" si="185"/>
        <v>30.604069932294873</v>
      </c>
      <c r="AU128" s="55">
        <f>AVERAGE(AB128:AI128)</f>
        <v>18.896498672246299</v>
      </c>
      <c r="BE128" s="83"/>
    </row>
    <row r="129" spans="1:57">
      <c r="C129" s="61" t="s">
        <v>465</v>
      </c>
      <c r="D129" s="84" t="s">
        <v>314</v>
      </c>
      <c r="E129" s="34">
        <f>100*(E104)/((E$64*$E$15/100-E97))</f>
        <v>32.197375584613752</v>
      </c>
      <c r="F129" s="34">
        <f t="shared" ref="F129:Y129" si="249">100*(F104)/((F$64*$E$15/100-F97))</f>
        <v>46.176445099369744</v>
      </c>
      <c r="G129" s="34">
        <f t="shared" si="249"/>
        <v>46.805735826358521</v>
      </c>
      <c r="H129" s="34">
        <f t="shared" si="249"/>
        <v>19.944725886853156</v>
      </c>
      <c r="I129" s="34">
        <f t="shared" si="249"/>
        <v>19.964296749344225</v>
      </c>
      <c r="J129" s="34">
        <f t="shared" si="249"/>
        <v>15.739331598340016</v>
      </c>
      <c r="K129" s="34">
        <f t="shared" si="249"/>
        <v>15.721750281919753</v>
      </c>
      <c r="L129" s="34">
        <f t="shared" si="249"/>
        <v>15.927088408765618</v>
      </c>
      <c r="M129" s="34">
        <f t="shared" si="249"/>
        <v>16.023439374681622</v>
      </c>
      <c r="N129" s="34">
        <f t="shared" si="249"/>
        <v>15.768951997768101</v>
      </c>
      <c r="O129" s="34">
        <f t="shared" si="249"/>
        <v>16.062449009359529</v>
      </c>
      <c r="P129" s="34">
        <f t="shared" si="249"/>
        <v>11.875704590532525</v>
      </c>
      <c r="Q129" s="34">
        <f t="shared" si="249"/>
        <v>11.886566438193535</v>
      </c>
      <c r="R129" s="34">
        <f t="shared" si="249"/>
        <v>11.790940248692396</v>
      </c>
      <c r="S129" s="34">
        <f t="shared" si="249"/>
        <v>11.659010060383551</v>
      </c>
      <c r="T129" s="34">
        <f t="shared" si="249"/>
        <v>11.592706898050945</v>
      </c>
      <c r="U129" s="34">
        <f t="shared" si="249"/>
        <v>7.4931886320447099</v>
      </c>
      <c r="V129" s="34">
        <f t="shared" si="249"/>
        <v>7.9504569029001235</v>
      </c>
      <c r="W129" s="34">
        <f t="shared" si="249"/>
        <v>7.8379205630638387</v>
      </c>
      <c r="X129" s="34">
        <f t="shared" si="249"/>
        <v>7.7828132864285058</v>
      </c>
      <c r="Y129" s="34">
        <f t="shared" si="249"/>
        <v>4.73395186281215</v>
      </c>
      <c r="Z129" s="34">
        <f>100*(Z104)/((Z$64*$E$15/100-Z97))</f>
        <v>4.6236004549115579</v>
      </c>
      <c r="AA129" s="34">
        <f t="shared" ref="AA129:AI129" si="250">100*(AA104)/((AA$64*$E$15/100-AA97))</f>
        <v>4.5100709033796775</v>
      </c>
      <c r="AB129" s="34">
        <f t="shared" si="250"/>
        <v>3.0830153425479638</v>
      </c>
      <c r="AC129" s="34">
        <f t="shared" si="250"/>
        <v>3.0535169554803652</v>
      </c>
      <c r="AD129" s="34">
        <f t="shared" si="250"/>
        <v>3.0414476906635279</v>
      </c>
      <c r="AE129" s="34">
        <f t="shared" si="250"/>
        <v>2.9133486518558636</v>
      </c>
      <c r="AF129" s="34">
        <f t="shared" si="250"/>
        <v>2.9581691564944679</v>
      </c>
      <c r="AG129" s="34">
        <f t="shared" si="250"/>
        <v>2.8829524025579554</v>
      </c>
      <c r="AH129" s="34">
        <f t="shared" si="250"/>
        <v>2.8340322708247441</v>
      </c>
      <c r="AI129" s="34">
        <f t="shared" si="250"/>
        <v>2.7893183914092994</v>
      </c>
      <c r="AP129" s="57">
        <f t="shared" si="228"/>
        <v>33.017715829307875</v>
      </c>
      <c r="AQ129" s="57">
        <f t="shared" si="182"/>
        <v>15.873835111805773</v>
      </c>
      <c r="AR129" s="57">
        <f t="shared" si="229"/>
        <v>11.760985647170591</v>
      </c>
      <c r="AS129" s="57">
        <f t="shared" si="184"/>
        <v>7.7660948461092945</v>
      </c>
      <c r="AT129" s="297">
        <f t="shared" si="185"/>
        <v>4.6225410737011288</v>
      </c>
      <c r="AU129" s="55">
        <f>AVERAGE(AB129:AI129)</f>
        <v>2.9444751077292728</v>
      </c>
    </row>
    <row r="130" spans="1:57">
      <c r="AP130" s="57"/>
      <c r="AQ130" s="57"/>
      <c r="AR130" s="57"/>
      <c r="AS130" s="57"/>
      <c r="AT130" s="297"/>
      <c r="AU130" s="55"/>
    </row>
    <row r="131" spans="1:57" s="86" customFormat="1">
      <c r="A131" s="83"/>
      <c r="B131" s="84"/>
      <c r="C131" s="83" t="s">
        <v>466</v>
      </c>
      <c r="D131" s="84" t="s">
        <v>314</v>
      </c>
      <c r="E131" s="141">
        <f>100*(E105)/((E$64*$E$20/100)-E102)</f>
        <v>38.799812949719573</v>
      </c>
      <c r="F131" s="141">
        <f t="shared" ref="F131:Y131" si="251">100*(F105)/((F$64*$E$20/100)-F102)</f>
        <v>34.644930783294939</v>
      </c>
      <c r="G131" s="141">
        <f t="shared" si="251"/>
        <v>34.30153846759562</v>
      </c>
      <c r="H131" s="141">
        <f t="shared" si="251"/>
        <v>91.631924781730575</v>
      </c>
      <c r="I131" s="141">
        <f t="shared" si="251"/>
        <v>92.847613677821457</v>
      </c>
      <c r="J131" s="141">
        <f t="shared" si="251"/>
        <v>78.875413541716</v>
      </c>
      <c r="K131" s="141">
        <f t="shared" si="251"/>
        <v>76.926622981125632</v>
      </c>
      <c r="L131" s="141">
        <f t="shared" si="251"/>
        <v>80.047876380173591</v>
      </c>
      <c r="M131" s="141">
        <f t="shared" si="251"/>
        <v>75.15702742253788</v>
      </c>
      <c r="N131" s="141">
        <f t="shared" si="251"/>
        <v>76.086967246012634</v>
      </c>
      <c r="O131" s="141">
        <f t="shared" si="251"/>
        <v>74.024278263152908</v>
      </c>
      <c r="P131" s="141">
        <f t="shared" si="251"/>
        <v>56.066345007605889</v>
      </c>
      <c r="Q131" s="141">
        <f t="shared" si="251"/>
        <v>54.637609268543564</v>
      </c>
      <c r="R131" s="141">
        <f t="shared" si="251"/>
        <v>53.386543674201064</v>
      </c>
      <c r="S131" s="141">
        <f t="shared" si="251"/>
        <v>53.469843317941738</v>
      </c>
      <c r="T131" s="141">
        <f t="shared" si="251"/>
        <v>52.5378247653749</v>
      </c>
      <c r="U131" s="141">
        <f t="shared" si="251"/>
        <v>28.973851308996743</v>
      </c>
      <c r="V131" s="141">
        <f t="shared" si="251"/>
        <v>28.633897346704408</v>
      </c>
      <c r="W131" s="141">
        <f t="shared" si="251"/>
        <v>28.047468277460794</v>
      </c>
      <c r="X131" s="141">
        <f t="shared" si="251"/>
        <v>27.213727465544324</v>
      </c>
      <c r="Y131" s="141">
        <f t="shared" si="251"/>
        <v>9.6520542155573956</v>
      </c>
      <c r="Z131" s="141">
        <f>100*(Z105)/((Z$64*$E$20/100)-Z102)</f>
        <v>9.5413650863427364</v>
      </c>
      <c r="AA131" s="141">
        <f t="shared" ref="AA131:AH131" si="252">100*(AA105)/((AA$64*$E$20/100)-AA102)</f>
        <v>9.1884973875818847</v>
      </c>
      <c r="AB131" s="141">
        <f t="shared" si="252"/>
        <v>5.072951438230092</v>
      </c>
      <c r="AC131" s="141">
        <f t="shared" si="252"/>
        <v>5.2241682118318788</v>
      </c>
      <c r="AD131" s="141">
        <f t="shared" si="252"/>
        <v>5.2650259910781125</v>
      </c>
      <c r="AE131" s="141">
        <f t="shared" si="252"/>
        <v>5.1681230503406654</v>
      </c>
      <c r="AF131" s="141">
        <f t="shared" si="252"/>
        <v>5.2568901399273686</v>
      </c>
      <c r="AG131" s="141">
        <f t="shared" si="252"/>
        <v>5.0945813506905049</v>
      </c>
      <c r="AH131" s="141">
        <f t="shared" si="252"/>
        <v>5.1578354571292691</v>
      </c>
      <c r="AI131" s="141">
        <f>100*(AI105)/((AI$64*$E$20/100)-AI102)</f>
        <v>5.2173311623462046</v>
      </c>
      <c r="AJ131" s="84"/>
      <c r="AK131" s="84"/>
      <c r="AL131" s="84"/>
      <c r="AM131" s="84"/>
      <c r="AN131" s="84"/>
      <c r="AO131" s="84"/>
      <c r="AP131" s="57">
        <f t="shared" si="228"/>
        <v>58.445164132032438</v>
      </c>
      <c r="AQ131" s="57">
        <f t="shared" si="182"/>
        <v>76.853030972453112</v>
      </c>
      <c r="AR131" s="57">
        <f t="shared" si="229"/>
        <v>54.019633206733445</v>
      </c>
      <c r="AS131" s="57">
        <f t="shared" si="184"/>
        <v>28.217236099676565</v>
      </c>
      <c r="AT131" s="297">
        <f t="shared" si="185"/>
        <v>9.4606388964940056</v>
      </c>
      <c r="AU131" s="55">
        <f>AVERAGE(AB131:AI131)</f>
        <v>5.1821133501967616</v>
      </c>
      <c r="BE131" s="83"/>
    </row>
    <row r="132" spans="1:57">
      <c r="C132" s="61" t="str">
        <f>A98</f>
        <v>Methylcyclopentane</v>
      </c>
      <c r="D132" s="31" t="s">
        <v>495</v>
      </c>
      <c r="E132" s="34">
        <f>100*(E98)/((E64*$E$16/100))</f>
        <v>85.891646881100627</v>
      </c>
      <c r="F132" s="34">
        <f t="shared" ref="F132:AI132" si="253">100*(F98)/((F64*$E$16/100))</f>
        <v>84.714686861313254</v>
      </c>
      <c r="G132" s="34">
        <f t="shared" si="253"/>
        <v>82.952842366152339</v>
      </c>
      <c r="H132" s="34">
        <f t="shared" si="253"/>
        <v>81.369914564439227</v>
      </c>
      <c r="I132" s="34">
        <f t="shared" si="253"/>
        <v>79.806657170395667</v>
      </c>
      <c r="J132" s="34">
        <f t="shared" si="253"/>
        <v>66.938476736446518</v>
      </c>
      <c r="K132" s="34">
        <f t="shared" si="253"/>
        <v>66.137793587926723</v>
      </c>
      <c r="L132" s="34">
        <f t="shared" si="253"/>
        <v>69.320512970076834</v>
      </c>
      <c r="M132" s="34">
        <f t="shared" si="253"/>
        <v>65.175756046138261</v>
      </c>
      <c r="N132" s="34">
        <f t="shared" si="253"/>
        <v>62.841638657506778</v>
      </c>
      <c r="O132" s="34">
        <f t="shared" si="253"/>
        <v>62.151509762184418</v>
      </c>
      <c r="P132" s="34">
        <f t="shared" si="253"/>
        <v>55.695382331686034</v>
      </c>
      <c r="Q132" s="34">
        <f t="shared" si="253"/>
        <v>54.880909474903326</v>
      </c>
      <c r="R132" s="34">
        <f t="shared" si="253"/>
        <v>54.407128481210499</v>
      </c>
      <c r="S132" s="34">
        <f t="shared" si="253"/>
        <v>52.813310437497179</v>
      </c>
      <c r="T132" s="34">
        <f t="shared" si="253"/>
        <v>52.195498232482898</v>
      </c>
      <c r="U132" s="34">
        <f t="shared" si="253"/>
        <v>54.160128929682713</v>
      </c>
      <c r="V132" s="34">
        <f t="shared" si="253"/>
        <v>54.688228727356567</v>
      </c>
      <c r="W132" s="34">
        <f t="shared" si="253"/>
        <v>54.240902064063036</v>
      </c>
      <c r="X132" s="34">
        <f t="shared" si="253"/>
        <v>53.881515682441062</v>
      </c>
      <c r="Y132" s="34">
        <f t="shared" si="253"/>
        <v>53.132040113685207</v>
      </c>
      <c r="Z132" s="34">
        <f t="shared" si="253"/>
        <v>52.119553400484065</v>
      </c>
      <c r="AA132" s="34">
        <f t="shared" si="253"/>
        <v>51.402323209268367</v>
      </c>
      <c r="AB132" s="34">
        <f t="shared" si="253"/>
        <v>45.226201351712376</v>
      </c>
      <c r="AC132" s="34">
        <f t="shared" si="253"/>
        <v>43.53354380499254</v>
      </c>
      <c r="AD132" s="34">
        <f t="shared" si="253"/>
        <v>43.24197798533659</v>
      </c>
      <c r="AE132" s="34">
        <f t="shared" si="253"/>
        <v>41.649344895773766</v>
      </c>
      <c r="AF132" s="34">
        <f t="shared" si="253"/>
        <v>41.681285387172956</v>
      </c>
      <c r="AG132" s="34">
        <f t="shared" si="253"/>
        <v>42.616617393406472</v>
      </c>
      <c r="AH132" s="34">
        <f t="shared" si="253"/>
        <v>40.608555486736513</v>
      </c>
      <c r="AI132" s="34">
        <f t="shared" si="253"/>
        <v>40.13541963299766</v>
      </c>
      <c r="AP132" s="57">
        <f t="shared" si="228"/>
        <v>82.947149568680231</v>
      </c>
      <c r="AQ132" s="57">
        <f t="shared" si="182"/>
        <v>65.42761462671325</v>
      </c>
      <c r="AR132" s="57">
        <f t="shared" si="229"/>
        <v>53.998445791555994</v>
      </c>
      <c r="AS132" s="57">
        <f t="shared" si="184"/>
        <v>54.24269385088585</v>
      </c>
      <c r="AT132" s="297">
        <f t="shared" si="185"/>
        <v>52.21797224114588</v>
      </c>
      <c r="AU132" s="55">
        <f>AVERAGE(AB132:AI132)</f>
        <v>42.336618242266105</v>
      </c>
    </row>
    <row r="133" spans="1:57">
      <c r="C133" s="61"/>
      <c r="AP133" s="57"/>
      <c r="AQ133" s="57"/>
      <c r="AR133" s="57"/>
      <c r="AS133" s="57"/>
      <c r="AT133" s="297"/>
      <c r="AV133" s="55"/>
    </row>
    <row r="134" spans="1:57">
      <c r="Z134" s="134"/>
    </row>
    <row r="135" spans="1:57">
      <c r="L135" s="31"/>
      <c r="M135" s="31"/>
    </row>
    <row r="137" spans="1:57">
      <c r="E137" s="57"/>
    </row>
    <row r="142" spans="1:57">
      <c r="E142" s="57"/>
    </row>
  </sheetData>
  <mergeCells count="17">
    <mergeCell ref="A54:C54"/>
    <mergeCell ref="A1:E1"/>
    <mergeCell ref="A2:C2"/>
    <mergeCell ref="A3:C3"/>
    <mergeCell ref="A4:C4"/>
    <mergeCell ref="A53:C53"/>
    <mergeCell ref="E21:E24"/>
    <mergeCell ref="A61:C61"/>
    <mergeCell ref="A62:C62"/>
    <mergeCell ref="A63:C63"/>
    <mergeCell ref="A64:C64"/>
    <mergeCell ref="A55:C55"/>
    <mergeCell ref="A56:C56"/>
    <mergeCell ref="A57:C57"/>
    <mergeCell ref="A58:C58"/>
    <mergeCell ref="A59:C59"/>
    <mergeCell ref="A60:C60"/>
  </mergeCells>
  <conditionalFormatting sqref="Z68:Z86">
    <cfRule type="duplicateValues" dxfId="1" priority="1"/>
    <cfRule type="duplicateValues" dxfId="0" priority="2"/>
  </conditionalFormatting>
  <pageMargins left="0.7" right="0.7" top="0.75" bottom="0.75" header="0.3" footer="0.3"/>
  <ignoredErrors>
    <ignoredError sqref="AP53 AQ53:AU53" formulaRange="1"/>
  </ignoredErrors>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F3B74-BA5E-492D-B07C-F7BF06AF1439}">
  <sheetPr codeName="Sheet7"/>
  <dimension ref="A1:AY159"/>
  <sheetViews>
    <sheetView topLeftCell="Z31" zoomScale="80" zoomScaleNormal="80" workbookViewId="0">
      <selection activeCell="T41" sqref="T41"/>
    </sheetView>
  </sheetViews>
  <sheetFormatPr defaultColWidth="9.140625" defaultRowHeight="15"/>
  <cols>
    <col min="1" max="1" width="19.7109375" style="61" bestFit="1" customWidth="1"/>
    <col min="2" max="2" width="14.85546875" style="31" bestFit="1" customWidth="1"/>
    <col min="3" max="3" width="29.7109375" style="31" bestFit="1" customWidth="1"/>
    <col min="4" max="4" width="13.140625" style="31" customWidth="1"/>
    <col min="5" max="5" width="15.85546875" style="31" bestFit="1" customWidth="1"/>
    <col min="6" max="11" width="13.140625" style="31" bestFit="1" customWidth="1"/>
    <col min="12" max="27" width="13.28515625" style="1" bestFit="1" customWidth="1"/>
    <col min="28" max="28" width="19" style="1" bestFit="1" customWidth="1"/>
    <col min="29" max="35" width="13.28515625" style="1" bestFit="1" customWidth="1"/>
    <col min="36" max="43" width="13.28515625" style="31" bestFit="1" customWidth="1"/>
    <col min="44" max="44" width="13.140625" style="31" bestFit="1" customWidth="1"/>
    <col min="45" max="45" width="14.5703125" style="31" customWidth="1"/>
    <col min="46" max="16384" width="9.140625" style="1"/>
  </cols>
  <sheetData>
    <row r="1" spans="1:9">
      <c r="A1" s="341" t="s">
        <v>456</v>
      </c>
      <c r="B1" s="341"/>
      <c r="C1" s="341"/>
      <c r="D1" s="341"/>
      <c r="E1" s="341"/>
    </row>
    <row r="2" spans="1:9">
      <c r="A2" s="342" t="s">
        <v>457</v>
      </c>
      <c r="B2" s="342"/>
      <c r="C2" s="342"/>
      <c r="D2" s="62" t="s">
        <v>314</v>
      </c>
      <c r="E2" s="156">
        <v>83.67495952464084</v>
      </c>
      <c r="H2" s="1"/>
    </row>
    <row r="3" spans="1:9">
      <c r="A3" s="342" t="s">
        <v>458</v>
      </c>
      <c r="B3" s="342"/>
      <c r="C3" s="342"/>
      <c r="D3" s="62" t="s">
        <v>314</v>
      </c>
      <c r="E3" s="156">
        <v>16.32504047535916</v>
      </c>
    </row>
    <row r="4" spans="1:9">
      <c r="A4" s="342" t="s">
        <v>459</v>
      </c>
      <c r="B4" s="342"/>
      <c r="C4" s="342"/>
      <c r="D4" s="62" t="s">
        <v>314</v>
      </c>
      <c r="E4" s="62">
        <v>88.5</v>
      </c>
    </row>
    <row r="5" spans="1:9">
      <c r="A5" s="64"/>
      <c r="B5" s="64"/>
      <c r="C5" s="64" t="s">
        <v>256</v>
      </c>
      <c r="D5" s="62" t="s">
        <v>460</v>
      </c>
      <c r="E5" s="62"/>
      <c r="H5" s="31" t="s">
        <v>457</v>
      </c>
      <c r="I5" s="31" t="s">
        <v>458</v>
      </c>
    </row>
    <row r="6" spans="1:9">
      <c r="A6" s="63" t="s">
        <v>264</v>
      </c>
      <c r="B6" s="65">
        <v>3</v>
      </c>
      <c r="C6" s="63" t="s">
        <v>461</v>
      </c>
      <c r="D6" s="65" t="s">
        <v>314</v>
      </c>
      <c r="E6" s="65"/>
      <c r="H6" s="122">
        <v>0.81699999999999995</v>
      </c>
      <c r="I6" s="122">
        <f>1-H6</f>
        <v>0.18300000000000005</v>
      </c>
    </row>
    <row r="7" spans="1:9">
      <c r="A7" s="63" t="s">
        <v>265</v>
      </c>
      <c r="B7" s="65">
        <v>4</v>
      </c>
      <c r="C7" s="63" t="s">
        <v>462</v>
      </c>
      <c r="D7" s="65" t="s">
        <v>314</v>
      </c>
      <c r="E7" s="65"/>
      <c r="H7" s="122">
        <v>0.8276</v>
      </c>
      <c r="I7" s="122">
        <f t="shared" ref="I7:I24" si="0">1-H7</f>
        <v>0.1724</v>
      </c>
    </row>
    <row r="8" spans="1:9">
      <c r="A8" s="63" t="s">
        <v>266</v>
      </c>
      <c r="B8" s="65">
        <v>4</v>
      </c>
      <c r="C8" s="63" t="s">
        <v>461</v>
      </c>
      <c r="D8" s="65" t="s">
        <v>314</v>
      </c>
      <c r="E8" s="65"/>
      <c r="H8" s="122">
        <v>0.8276</v>
      </c>
      <c r="I8" s="122">
        <f t="shared" si="0"/>
        <v>0.1724</v>
      </c>
    </row>
    <row r="9" spans="1:9">
      <c r="A9" s="63" t="s">
        <v>267</v>
      </c>
      <c r="B9" s="65">
        <v>5</v>
      </c>
      <c r="C9" s="63" t="s">
        <v>462</v>
      </c>
      <c r="D9" s="65" t="s">
        <v>314</v>
      </c>
      <c r="E9" s="65"/>
      <c r="H9" s="122">
        <v>0.83160000000000001</v>
      </c>
      <c r="I9" s="122">
        <f t="shared" si="0"/>
        <v>0.16839999999999999</v>
      </c>
    </row>
    <row r="10" spans="1:9">
      <c r="A10" s="63" t="s">
        <v>268</v>
      </c>
      <c r="B10" s="65">
        <v>5</v>
      </c>
      <c r="C10" s="63" t="s">
        <v>461</v>
      </c>
      <c r="D10" s="65" t="s">
        <v>314</v>
      </c>
      <c r="E10" s="65"/>
      <c r="H10" s="122">
        <v>0.83160000000000001</v>
      </c>
      <c r="I10" s="122">
        <f t="shared" si="0"/>
        <v>0.16839999999999999</v>
      </c>
    </row>
    <row r="11" spans="1:9">
      <c r="A11" s="63" t="s">
        <v>269</v>
      </c>
      <c r="B11" s="65">
        <v>6</v>
      </c>
      <c r="C11" s="63" t="s">
        <v>462</v>
      </c>
      <c r="D11" s="65" t="s">
        <v>314</v>
      </c>
      <c r="E11" s="65"/>
      <c r="H11" s="122">
        <v>0.83589999999999998</v>
      </c>
      <c r="I11" s="122">
        <f t="shared" si="0"/>
        <v>0.16410000000000002</v>
      </c>
    </row>
    <row r="12" spans="1:9">
      <c r="A12" s="63" t="s">
        <v>270</v>
      </c>
      <c r="B12" s="65">
        <v>6</v>
      </c>
      <c r="C12" s="63" t="s">
        <v>462</v>
      </c>
      <c r="D12" s="65" t="s">
        <v>314</v>
      </c>
      <c r="E12" s="65"/>
      <c r="H12" s="122">
        <v>0.83589999999999998</v>
      </c>
      <c r="I12" s="122">
        <f t="shared" si="0"/>
        <v>0.16410000000000002</v>
      </c>
    </row>
    <row r="13" spans="1:9">
      <c r="A13" s="63" t="s">
        <v>169</v>
      </c>
      <c r="B13" s="65">
        <v>6</v>
      </c>
      <c r="C13" s="63" t="s">
        <v>462</v>
      </c>
      <c r="D13" s="65" t="s">
        <v>314</v>
      </c>
      <c r="E13" s="132">
        <f>AVERAGEIF('Raw Data'!C:C,5,'Raw Data'!BJ:BJ)</f>
        <v>0.42656852055833344</v>
      </c>
      <c r="H13" s="122">
        <v>0.83589999999999998</v>
      </c>
      <c r="I13" s="122">
        <f t="shared" si="0"/>
        <v>0.16410000000000002</v>
      </c>
    </row>
    <row r="14" spans="1:9">
      <c r="A14" s="63" t="s">
        <v>171</v>
      </c>
      <c r="B14" s="65">
        <v>6</v>
      </c>
      <c r="C14" s="63" t="s">
        <v>462</v>
      </c>
      <c r="D14" s="65" t="s">
        <v>314</v>
      </c>
      <c r="E14" s="65"/>
      <c r="H14" s="122">
        <v>0.83589999999999998</v>
      </c>
      <c r="I14" s="122">
        <f t="shared" si="0"/>
        <v>0.16410000000000002</v>
      </c>
    </row>
    <row r="15" spans="1:9">
      <c r="A15" s="63" t="s">
        <v>174</v>
      </c>
      <c r="B15" s="65">
        <v>6</v>
      </c>
      <c r="C15" s="63" t="s">
        <v>461</v>
      </c>
      <c r="D15" s="65" t="s">
        <v>314</v>
      </c>
      <c r="E15" s="132">
        <f>AVERAGEIF('Raw Data'!C:C,5,'Raw Data'!AU:AU)</f>
        <v>84.322809007444448</v>
      </c>
      <c r="H15" s="122">
        <v>0.83589999999999998</v>
      </c>
      <c r="I15" s="122">
        <f t="shared" si="0"/>
        <v>0.16410000000000002</v>
      </c>
    </row>
    <row r="16" spans="1:9">
      <c r="A16" s="63" t="s">
        <v>272</v>
      </c>
      <c r="B16" s="65">
        <v>6</v>
      </c>
      <c r="C16" s="63" t="s">
        <v>463</v>
      </c>
      <c r="D16" s="65" t="s">
        <v>314</v>
      </c>
      <c r="E16" s="132">
        <f>AVERAGEIF('Raw Data'!C:C,5,'Raw Data'!CN:CN)</f>
        <v>0.56272851096111109</v>
      </c>
      <c r="H16" s="122">
        <v>0.85629999999999995</v>
      </c>
      <c r="I16" s="122">
        <f t="shared" si="0"/>
        <v>0.14370000000000005</v>
      </c>
    </row>
    <row r="17" spans="1:35">
      <c r="A17" s="63" t="s">
        <v>273</v>
      </c>
      <c r="B17" s="65">
        <v>7</v>
      </c>
      <c r="C17" s="63" t="s">
        <v>462</v>
      </c>
      <c r="D17" s="65" t="s">
        <v>314</v>
      </c>
      <c r="H17" s="122">
        <v>0.84050000000000002</v>
      </c>
      <c r="I17" s="122">
        <f t="shared" si="0"/>
        <v>0.15949999999999998</v>
      </c>
    </row>
    <row r="18" spans="1:35">
      <c r="A18" s="63" t="s">
        <v>274</v>
      </c>
      <c r="B18" s="65">
        <v>7</v>
      </c>
      <c r="C18" s="63" t="s">
        <v>462</v>
      </c>
      <c r="D18" s="65" t="s">
        <v>314</v>
      </c>
      <c r="E18" s="65"/>
      <c r="H18" s="122">
        <v>0.84050000000000002</v>
      </c>
      <c r="I18" s="122">
        <f t="shared" si="0"/>
        <v>0.15949999999999998</v>
      </c>
    </row>
    <row r="19" spans="1:35">
      <c r="A19" s="63" t="s">
        <v>177</v>
      </c>
      <c r="B19" s="65">
        <v>7</v>
      </c>
      <c r="C19" s="63" t="s">
        <v>462</v>
      </c>
      <c r="D19" s="65" t="s">
        <v>314</v>
      </c>
      <c r="E19" s="132">
        <f>AVERAGEIF('Raw Data'!C:C,5,'Raw Data'!AV:AV)</f>
        <v>9.7863740921027755</v>
      </c>
      <c r="H19" s="122">
        <v>0.84050000000000002</v>
      </c>
      <c r="I19" s="122">
        <f t="shared" si="0"/>
        <v>0.15949999999999998</v>
      </c>
    </row>
    <row r="20" spans="1:35" s="31" customFormat="1">
      <c r="A20" s="63" t="s">
        <v>175</v>
      </c>
      <c r="B20" s="65">
        <v>8</v>
      </c>
      <c r="C20" s="63" t="s">
        <v>461</v>
      </c>
      <c r="D20" s="65" t="s">
        <v>314</v>
      </c>
      <c r="E20" s="132">
        <f>AVERAGEIF('Raw Data'!C:C,5,'Raw Data'!AW:AW)</f>
        <v>4.700572364858334</v>
      </c>
      <c r="H20" s="122">
        <v>0.84209999999999996</v>
      </c>
      <c r="I20" s="122">
        <f t="shared" si="0"/>
        <v>0.15790000000000004</v>
      </c>
      <c r="L20" s="1"/>
      <c r="M20" s="1"/>
      <c r="N20" s="1"/>
      <c r="O20" s="1"/>
      <c r="P20" s="1"/>
      <c r="Q20" s="1"/>
      <c r="R20" s="1"/>
      <c r="S20" s="1"/>
      <c r="T20" s="1"/>
      <c r="U20" s="1"/>
      <c r="V20" s="1"/>
      <c r="W20" s="1"/>
      <c r="X20" s="1"/>
      <c r="Y20" s="1"/>
      <c r="Z20" s="1"/>
      <c r="AA20" s="1"/>
      <c r="AB20" s="1"/>
      <c r="AC20" s="1"/>
      <c r="AD20" s="1"/>
      <c r="AE20" s="1"/>
      <c r="AF20" s="1"/>
      <c r="AG20" s="1"/>
      <c r="AH20" s="1"/>
      <c r="AI20" s="1"/>
    </row>
    <row r="21" spans="1:35" s="31" customFormat="1">
      <c r="A21" s="63" t="s">
        <v>464</v>
      </c>
      <c r="B21" s="65"/>
      <c r="C21" s="65"/>
      <c r="D21" s="65" t="s">
        <v>314</v>
      </c>
      <c r="E21" s="345">
        <v>0.2</v>
      </c>
      <c r="H21" s="31">
        <v>0.79879999999999995</v>
      </c>
      <c r="I21" s="122">
        <f t="shared" si="0"/>
        <v>0.20120000000000005</v>
      </c>
      <c r="L21" s="1"/>
      <c r="M21" s="1"/>
      <c r="N21" s="1"/>
      <c r="O21" s="1"/>
      <c r="P21" s="1"/>
      <c r="Q21" s="1"/>
      <c r="R21" s="1"/>
      <c r="S21" s="1"/>
      <c r="T21" s="1"/>
      <c r="U21" s="1"/>
      <c r="V21" s="1"/>
      <c r="W21" s="1"/>
      <c r="X21" s="1"/>
      <c r="Y21" s="1"/>
      <c r="Z21" s="1"/>
      <c r="AA21" s="1"/>
      <c r="AB21" s="1"/>
      <c r="AC21" s="1"/>
      <c r="AD21" s="1"/>
      <c r="AE21" s="1"/>
      <c r="AF21" s="1"/>
      <c r="AG21" s="1"/>
      <c r="AH21" s="1"/>
      <c r="AI21" s="1"/>
    </row>
    <row r="22" spans="1:35" s="31" customFormat="1">
      <c r="A22" s="63" t="s">
        <v>465</v>
      </c>
      <c r="B22" s="65"/>
      <c r="C22" s="65"/>
      <c r="D22" s="65" t="s">
        <v>314</v>
      </c>
      <c r="E22" s="324"/>
      <c r="H22" s="122">
        <v>0.84050000000000002</v>
      </c>
      <c r="I22" s="122">
        <f t="shared" si="0"/>
        <v>0.15949999999999998</v>
      </c>
      <c r="L22" s="1"/>
      <c r="M22" s="1"/>
      <c r="N22" s="1"/>
      <c r="O22" s="1"/>
      <c r="P22" s="1"/>
      <c r="Q22" s="1"/>
      <c r="R22" s="1"/>
      <c r="S22" s="1"/>
      <c r="T22" s="1"/>
      <c r="U22" s="1"/>
      <c r="V22" s="1"/>
      <c r="W22" s="1"/>
      <c r="X22" s="1"/>
      <c r="Y22" s="1"/>
      <c r="Z22" s="1"/>
      <c r="AA22" s="1"/>
      <c r="AB22" s="1"/>
      <c r="AC22" s="1"/>
      <c r="AD22" s="1"/>
      <c r="AE22" s="1"/>
      <c r="AF22" s="1"/>
      <c r="AG22" s="1"/>
      <c r="AH22" s="1"/>
      <c r="AI22" s="1"/>
    </row>
    <row r="23" spans="1:35" s="31" customFormat="1">
      <c r="A23" s="63" t="s">
        <v>466</v>
      </c>
      <c r="B23" s="65"/>
      <c r="C23" s="65"/>
      <c r="D23" s="65" t="s">
        <v>314</v>
      </c>
      <c r="E23" s="324"/>
      <c r="H23" s="122">
        <v>0.84050000000000002</v>
      </c>
      <c r="I23" s="122">
        <f t="shared" si="0"/>
        <v>0.15949999999999998</v>
      </c>
      <c r="L23" s="1"/>
      <c r="M23" s="1"/>
      <c r="N23" s="1"/>
      <c r="O23" s="1"/>
      <c r="P23" s="1"/>
      <c r="Q23" s="1"/>
      <c r="R23" s="1"/>
      <c r="S23" s="1"/>
      <c r="T23" s="1"/>
      <c r="U23" s="1"/>
      <c r="V23" s="1"/>
      <c r="W23" s="1"/>
      <c r="X23" s="1"/>
      <c r="Y23" s="1"/>
      <c r="Z23" s="1"/>
      <c r="AA23" s="1"/>
      <c r="AB23" s="1"/>
      <c r="AC23" s="1"/>
      <c r="AD23" s="1"/>
      <c r="AE23" s="1"/>
      <c r="AF23" s="1"/>
      <c r="AG23" s="1"/>
      <c r="AH23" s="1"/>
      <c r="AI23" s="1"/>
    </row>
    <row r="24" spans="1:35" s="31" customFormat="1">
      <c r="A24" s="63" t="s">
        <v>467</v>
      </c>
      <c r="B24" s="65"/>
      <c r="C24" s="65"/>
      <c r="D24" s="65" t="s">
        <v>314</v>
      </c>
      <c r="E24" s="346"/>
      <c r="H24" s="31">
        <v>0.84260000000000002</v>
      </c>
      <c r="I24" s="122">
        <f t="shared" si="0"/>
        <v>0.15739999999999998</v>
      </c>
      <c r="L24" s="1"/>
      <c r="M24" s="1"/>
      <c r="N24" s="1"/>
      <c r="O24" s="1"/>
      <c r="P24" s="1"/>
      <c r="Q24" s="1"/>
      <c r="R24" s="1"/>
      <c r="S24" s="1"/>
      <c r="T24" s="1"/>
      <c r="U24" s="1"/>
      <c r="V24" s="1"/>
      <c r="W24" s="1"/>
      <c r="X24" s="1"/>
      <c r="Y24" s="1"/>
      <c r="Z24" s="1"/>
      <c r="AA24" s="1"/>
      <c r="AB24" s="1"/>
      <c r="AC24" s="1"/>
      <c r="AD24" s="1"/>
      <c r="AE24" s="1"/>
      <c r="AF24" s="1"/>
      <c r="AG24" s="1"/>
      <c r="AH24" s="1"/>
      <c r="AI24" s="1"/>
    </row>
    <row r="25" spans="1:35" s="31" customFormat="1">
      <c r="A25" s="63" t="s">
        <v>468</v>
      </c>
      <c r="B25" s="65"/>
      <c r="C25" s="65"/>
      <c r="D25" s="65" t="s">
        <v>314</v>
      </c>
      <c r="E25" s="72">
        <f>SUM(E6:E24)</f>
        <v>99.999052495925</v>
      </c>
      <c r="L25" s="1"/>
      <c r="M25" s="1"/>
      <c r="N25" s="1"/>
      <c r="O25" s="1"/>
      <c r="P25" s="1"/>
      <c r="Q25" s="1"/>
      <c r="R25" s="1"/>
      <c r="S25" s="1"/>
      <c r="T25" s="1"/>
      <c r="U25" s="1"/>
      <c r="V25" s="1"/>
      <c r="W25" s="1"/>
      <c r="X25" s="1"/>
      <c r="Y25" s="1"/>
      <c r="Z25" s="1"/>
      <c r="AA25" s="1"/>
      <c r="AB25" s="1"/>
      <c r="AC25" s="1"/>
      <c r="AD25" s="1"/>
      <c r="AE25" s="1"/>
      <c r="AF25" s="1"/>
      <c r="AG25" s="1"/>
      <c r="AH25" s="1"/>
      <c r="AI25" s="1"/>
    </row>
    <row r="26" spans="1:35" s="31" customFormat="1">
      <c r="A26" s="63"/>
      <c r="B26" s="65"/>
      <c r="C26" s="63"/>
      <c r="D26" s="65"/>
      <c r="E26" s="65"/>
      <c r="L26" s="1"/>
      <c r="M26" s="1"/>
      <c r="N26" s="1"/>
      <c r="O26" s="1"/>
      <c r="P26" s="1"/>
      <c r="Q26" s="1"/>
      <c r="R26" s="1"/>
      <c r="S26" s="1"/>
      <c r="T26" s="1"/>
      <c r="U26" s="1"/>
      <c r="V26" s="1"/>
      <c r="W26" s="1"/>
      <c r="X26" s="1"/>
      <c r="Y26" s="1"/>
      <c r="Z26" s="1"/>
      <c r="AA26" s="1"/>
      <c r="AB26" s="1"/>
      <c r="AC26" s="1"/>
      <c r="AD26" s="1"/>
      <c r="AE26" s="1"/>
      <c r="AF26" s="1"/>
      <c r="AG26" s="1"/>
      <c r="AH26" s="1"/>
      <c r="AI26" s="1"/>
    </row>
    <row r="27" spans="1:35" s="31" customFormat="1">
      <c r="A27" s="63"/>
      <c r="B27" s="65"/>
      <c r="C27" s="63"/>
      <c r="D27" s="65"/>
      <c r="E27" s="65"/>
      <c r="L27" s="1"/>
      <c r="M27" s="1"/>
      <c r="N27" s="1"/>
      <c r="O27" s="1"/>
      <c r="P27" s="1"/>
      <c r="Q27" s="1"/>
      <c r="R27" s="1"/>
      <c r="S27" s="1"/>
      <c r="T27" s="1"/>
      <c r="U27" s="1"/>
      <c r="V27" s="1"/>
      <c r="W27" s="1"/>
      <c r="X27" s="1"/>
      <c r="Y27" s="1"/>
      <c r="Z27" s="1"/>
      <c r="AA27" s="1"/>
      <c r="AB27" s="1"/>
      <c r="AC27" s="1"/>
      <c r="AD27" s="1"/>
      <c r="AE27" s="1"/>
      <c r="AF27" s="1"/>
      <c r="AG27" s="1"/>
      <c r="AH27" s="1"/>
      <c r="AI27" s="1"/>
    </row>
    <row r="28" spans="1:35" s="31" customFormat="1">
      <c r="A28" s="63"/>
      <c r="B28" s="69"/>
      <c r="C28" s="63" t="s">
        <v>120</v>
      </c>
      <c r="D28" s="65" t="s">
        <v>121</v>
      </c>
      <c r="E28" s="70">
        <f>1.2426*0.965</f>
        <v>1.199109</v>
      </c>
      <c r="F28" s="71"/>
      <c r="G28" s="1"/>
      <c r="H28" s="1"/>
      <c r="L28" s="1"/>
      <c r="M28" s="1"/>
      <c r="N28" s="1"/>
      <c r="O28" s="1"/>
      <c r="P28" s="1"/>
      <c r="Q28" s="1"/>
      <c r="R28" s="1"/>
      <c r="S28" s="1"/>
      <c r="T28" s="1"/>
      <c r="U28" s="1"/>
      <c r="V28" s="1"/>
      <c r="W28" s="1"/>
      <c r="X28" s="1"/>
      <c r="Y28" s="1"/>
      <c r="Z28" s="1"/>
      <c r="AA28" s="1"/>
      <c r="AB28" s="1"/>
      <c r="AC28" s="1"/>
      <c r="AD28" s="1"/>
      <c r="AE28" s="1"/>
      <c r="AF28" s="1"/>
      <c r="AG28" s="1"/>
      <c r="AH28" s="1"/>
      <c r="AI28" s="1"/>
    </row>
    <row r="29" spans="1:35" s="31" customFormat="1">
      <c r="A29" s="63"/>
      <c r="B29" s="69"/>
      <c r="C29" s="63" t="s">
        <v>120</v>
      </c>
      <c r="D29" s="65" t="s">
        <v>99</v>
      </c>
      <c r="E29" s="132">
        <f>E28/0.654</f>
        <v>1.8334999999999999</v>
      </c>
      <c r="F29" s="71" t="s">
        <v>469</v>
      </c>
      <c r="G29" s="1"/>
      <c r="H29" s="1"/>
      <c r="L29" s="1"/>
      <c r="M29" s="1"/>
      <c r="N29" s="1"/>
      <c r="O29" s="1"/>
      <c r="P29" s="1"/>
      <c r="Q29" s="1"/>
      <c r="R29" s="1"/>
      <c r="S29" s="1"/>
      <c r="T29" s="1"/>
      <c r="U29" s="1"/>
      <c r="V29" s="1"/>
      <c r="W29" s="1"/>
      <c r="X29" s="1"/>
      <c r="Y29" s="1"/>
      <c r="Z29" s="1"/>
      <c r="AA29" s="1"/>
      <c r="AB29" s="1"/>
      <c r="AC29" s="1"/>
      <c r="AD29" s="1"/>
      <c r="AE29" s="1"/>
      <c r="AF29" s="1"/>
      <c r="AG29" s="1"/>
      <c r="AH29" s="1"/>
      <c r="AI29" s="1"/>
    </row>
    <row r="30" spans="1:35" s="31" customFormat="1">
      <c r="A30" s="63"/>
      <c r="B30" s="69"/>
      <c r="C30" s="63" t="s">
        <v>220</v>
      </c>
      <c r="D30" s="65" t="s">
        <v>137</v>
      </c>
      <c r="E30" s="70">
        <f>E53</f>
        <v>2.605</v>
      </c>
      <c r="F30" s="71"/>
      <c r="G30" s="1"/>
      <c r="H30" s="1"/>
      <c r="L30" s="1"/>
      <c r="M30" s="1"/>
      <c r="N30" s="1"/>
      <c r="O30" s="1"/>
      <c r="P30" s="1"/>
      <c r="Q30" s="1"/>
      <c r="R30" s="1"/>
      <c r="S30" s="1"/>
      <c r="T30" s="1"/>
      <c r="U30" s="1"/>
      <c r="V30" s="1"/>
      <c r="W30" s="1"/>
      <c r="X30" s="1"/>
      <c r="Y30" s="1"/>
      <c r="Z30" s="1"/>
      <c r="AA30" s="1"/>
      <c r="AB30" s="1"/>
      <c r="AC30" s="1"/>
      <c r="AD30" s="1"/>
      <c r="AE30" s="1"/>
      <c r="AF30" s="1"/>
      <c r="AG30" s="1"/>
      <c r="AH30" s="1"/>
      <c r="AI30" s="1"/>
    </row>
    <row r="31" spans="1:35" s="31" customFormat="1">
      <c r="A31" s="63"/>
      <c r="B31" s="69"/>
      <c r="C31" s="63" t="s">
        <v>470</v>
      </c>
      <c r="D31" s="65" t="s">
        <v>471</v>
      </c>
      <c r="E31" s="72">
        <f>AVERAGE(AH54:AM54)</f>
        <v>22.162554499999999</v>
      </c>
      <c r="F31" s="71" t="s">
        <v>472</v>
      </c>
      <c r="G31" s="1"/>
      <c r="H31" s="1"/>
      <c r="L31" s="1"/>
      <c r="M31" s="1"/>
      <c r="N31" s="1"/>
      <c r="O31" s="1"/>
      <c r="P31" s="1"/>
      <c r="Q31" s="1"/>
      <c r="R31" s="1"/>
      <c r="S31" s="1"/>
      <c r="T31" s="1"/>
      <c r="U31" s="1"/>
      <c r="V31" s="1"/>
      <c r="W31" s="1"/>
      <c r="X31" s="1"/>
      <c r="Y31" s="1"/>
      <c r="Z31" s="1"/>
      <c r="AA31" s="1"/>
      <c r="AB31" s="1"/>
      <c r="AC31" s="1"/>
      <c r="AD31" s="1"/>
      <c r="AE31" s="1"/>
      <c r="AF31" s="1"/>
      <c r="AG31" s="1"/>
      <c r="AH31" s="1"/>
      <c r="AI31" s="1"/>
    </row>
    <row r="32" spans="1:35" s="31" customFormat="1">
      <c r="A32" s="63"/>
      <c r="B32" s="69"/>
      <c r="C32" s="63" t="s">
        <v>473</v>
      </c>
      <c r="D32" s="65" t="s">
        <v>471</v>
      </c>
      <c r="E32" s="72">
        <f>AVERAGE(AH55:AM55)</f>
        <v>59.036025333333335</v>
      </c>
      <c r="F32" s="71" t="s">
        <v>472</v>
      </c>
      <c r="G32" s="1"/>
      <c r="H32" s="1"/>
      <c r="L32" s="1"/>
      <c r="M32" s="1"/>
      <c r="N32" s="1"/>
      <c r="O32" s="1"/>
      <c r="P32" s="1"/>
      <c r="Q32" s="1"/>
      <c r="R32" s="1"/>
      <c r="S32" s="1"/>
      <c r="T32" s="1"/>
      <c r="U32" s="1"/>
      <c r="V32" s="1"/>
      <c r="W32" s="1"/>
      <c r="X32" s="1"/>
      <c r="Y32" s="1"/>
      <c r="Z32" s="1"/>
      <c r="AA32" s="1"/>
      <c r="AB32" s="1"/>
      <c r="AC32" s="1"/>
      <c r="AD32" s="1"/>
      <c r="AE32" s="1"/>
      <c r="AF32" s="1"/>
      <c r="AG32" s="1"/>
      <c r="AH32" s="1"/>
      <c r="AI32" s="1"/>
    </row>
    <row r="33" spans="1:47" s="31" customFormat="1">
      <c r="A33" s="63"/>
      <c r="B33" s="69"/>
      <c r="C33" s="63" t="s">
        <v>474</v>
      </c>
      <c r="D33" s="65" t="s">
        <v>471</v>
      </c>
      <c r="E33" s="72">
        <f>100-E32-E31</f>
        <v>18.801420166666666</v>
      </c>
      <c r="F33" s="71" t="s">
        <v>472</v>
      </c>
      <c r="G33" s="1"/>
      <c r="H33" s="1"/>
      <c r="L33" s="1"/>
      <c r="M33" s="1"/>
      <c r="N33" s="1"/>
      <c r="O33" s="1"/>
      <c r="P33" s="1"/>
      <c r="Q33" s="1"/>
      <c r="R33" s="1"/>
      <c r="S33" s="1"/>
      <c r="T33" s="1"/>
      <c r="U33" s="1"/>
      <c r="V33" s="1"/>
      <c r="W33" s="1"/>
      <c r="X33" s="1"/>
      <c r="Y33" s="1"/>
      <c r="Z33" s="1"/>
      <c r="AA33" s="1"/>
      <c r="AB33" s="1"/>
      <c r="AC33" s="1"/>
      <c r="AD33" s="1"/>
      <c r="AE33" s="1"/>
      <c r="AF33" s="1"/>
      <c r="AG33" s="1"/>
      <c r="AH33" s="1"/>
      <c r="AI33" s="1"/>
    </row>
    <row r="34" spans="1:47" s="31" customFormat="1">
      <c r="A34" s="63"/>
      <c r="B34" s="69"/>
      <c r="C34" s="63" t="s">
        <v>475</v>
      </c>
      <c r="D34" s="65" t="s">
        <v>471</v>
      </c>
      <c r="E34" s="72">
        <f>SUM(E31:E33)</f>
        <v>100</v>
      </c>
      <c r="F34" s="71" t="s">
        <v>472</v>
      </c>
      <c r="G34" s="1"/>
      <c r="H34" s="1"/>
      <c r="L34" s="1"/>
      <c r="M34" s="1"/>
      <c r="N34" s="1"/>
      <c r="O34" s="1"/>
      <c r="P34" s="1"/>
      <c r="Q34" s="1"/>
      <c r="R34" s="1"/>
      <c r="S34" s="1"/>
      <c r="T34" s="1"/>
      <c r="U34" s="1"/>
      <c r="V34" s="1"/>
      <c r="W34" s="1"/>
      <c r="X34" s="1"/>
      <c r="Y34" s="1"/>
      <c r="Z34" s="1"/>
      <c r="AA34" s="1"/>
      <c r="AB34" s="1"/>
      <c r="AC34" s="1"/>
      <c r="AD34" s="1"/>
      <c r="AE34" s="1"/>
      <c r="AF34" s="1"/>
      <c r="AG34" s="1"/>
      <c r="AH34" s="1"/>
      <c r="AI34" s="1"/>
    </row>
    <row r="35" spans="1:47" s="31" customFormat="1">
      <c r="A35" s="63"/>
      <c r="B35" s="69"/>
      <c r="C35" s="63" t="s">
        <v>476</v>
      </c>
      <c r="D35" s="133" t="s">
        <v>112</v>
      </c>
      <c r="E35" s="131">
        <f>AVERAGE(AH58:AM58)</f>
        <v>88.544156392333335</v>
      </c>
      <c r="F35" s="71" t="s">
        <v>472</v>
      </c>
      <c r="G35" s="1"/>
      <c r="H35" s="1"/>
      <c r="L35" s="1"/>
      <c r="M35" s="1"/>
      <c r="N35" s="1"/>
      <c r="O35" s="1"/>
      <c r="P35" s="1"/>
      <c r="Q35" s="1"/>
      <c r="R35" s="1"/>
      <c r="S35" s="1"/>
      <c r="T35" s="1"/>
      <c r="U35" s="1"/>
      <c r="V35" s="1"/>
      <c r="W35" s="1"/>
      <c r="X35" s="1"/>
      <c r="Y35" s="1"/>
      <c r="Z35" s="1"/>
      <c r="AA35" s="1"/>
      <c r="AB35" s="1"/>
      <c r="AC35" s="1"/>
      <c r="AD35" s="1"/>
      <c r="AE35" s="1"/>
      <c r="AF35" s="1"/>
      <c r="AG35" s="1"/>
      <c r="AH35" s="1"/>
      <c r="AI35" s="1"/>
    </row>
    <row r="36" spans="1:47">
      <c r="A36" s="63"/>
      <c r="B36" s="69"/>
      <c r="C36" s="63" t="s">
        <v>477</v>
      </c>
      <c r="D36" s="65" t="s">
        <v>314</v>
      </c>
      <c r="E36" s="132">
        <f>AVERAGE(AH59:AM59)</f>
        <v>83.674611105693899</v>
      </c>
      <c r="F36" s="71" t="s">
        <v>472</v>
      </c>
      <c r="G36" s="1"/>
      <c r="H36" s="1"/>
    </row>
    <row r="37" spans="1:47">
      <c r="A37" s="63"/>
      <c r="B37" s="69"/>
      <c r="C37" s="63" t="s">
        <v>478</v>
      </c>
      <c r="D37" s="65" t="s">
        <v>314</v>
      </c>
      <c r="E37" s="132">
        <f>AVERAGE(AH60:AM60)</f>
        <v>16.325388894306105</v>
      </c>
      <c r="F37" s="71" t="s">
        <v>472</v>
      </c>
      <c r="G37" s="1"/>
      <c r="H37" s="1"/>
    </row>
    <row r="38" spans="1:47">
      <c r="A38" s="63"/>
      <c r="B38" s="69"/>
      <c r="C38" s="63" t="s">
        <v>479</v>
      </c>
      <c r="D38" s="65" t="s">
        <v>12</v>
      </c>
      <c r="E38" s="132">
        <f>AVERAGE(AH61:AL61)</f>
        <v>8.146205963120412E-2</v>
      </c>
      <c r="F38" s="71" t="s">
        <v>472</v>
      </c>
      <c r="G38" s="1"/>
      <c r="H38" s="1"/>
    </row>
    <row r="39" spans="1:47">
      <c r="A39" s="63"/>
      <c r="B39" s="69"/>
      <c r="C39" s="63" t="s">
        <v>480</v>
      </c>
      <c r="D39" s="65" t="s">
        <v>12</v>
      </c>
      <c r="E39" s="132">
        <f>AVERAGE(AH62:AL62)</f>
        <v>3.0492070120481616</v>
      </c>
      <c r="F39" s="71" t="s">
        <v>472</v>
      </c>
      <c r="G39" s="1"/>
      <c r="H39" s="1"/>
    </row>
    <row r="40" spans="1:47">
      <c r="A40" s="63"/>
      <c r="B40" s="69"/>
      <c r="C40" s="63" t="s">
        <v>481</v>
      </c>
      <c r="D40" s="65" t="s">
        <v>482</v>
      </c>
      <c r="E40" s="131">
        <f>E39/E38</f>
        <v>37.431008077288531</v>
      </c>
      <c r="F40" s="71" t="s">
        <v>472</v>
      </c>
      <c r="G40" s="1"/>
      <c r="H40" s="1"/>
    </row>
    <row r="41" spans="1:47">
      <c r="A41" s="63"/>
      <c r="B41" s="69"/>
      <c r="C41" s="63" t="s">
        <v>481</v>
      </c>
      <c r="D41" s="65" t="s">
        <v>483</v>
      </c>
      <c r="E41" s="132">
        <f>_xlfn.STDEV.S(AH65:AM65)</f>
        <v>0.70967793874587159</v>
      </c>
      <c r="F41" s="69" t="s">
        <v>472</v>
      </c>
      <c r="G41" s="1"/>
      <c r="H41" s="1"/>
    </row>
    <row r="42" spans="1:47">
      <c r="B42" s="1"/>
      <c r="C42" s="61"/>
      <c r="E42" s="58"/>
      <c r="F42" s="1"/>
      <c r="G42" s="1"/>
      <c r="H42" s="1"/>
    </row>
    <row r="43" spans="1:47">
      <c r="B43" s="1"/>
      <c r="C43" s="61"/>
      <c r="E43" s="58"/>
      <c r="F43" s="1"/>
      <c r="G43" s="1"/>
      <c r="H43" s="1"/>
    </row>
    <row r="44" spans="1:47">
      <c r="B44" s="1"/>
      <c r="C44" s="61"/>
      <c r="E44" s="58"/>
      <c r="F44" s="1"/>
      <c r="G44" s="1"/>
      <c r="H44" s="1"/>
      <c r="AH44" s="68"/>
      <c r="AI44" s="68"/>
      <c r="AJ44" s="67"/>
      <c r="AK44" s="67" t="s">
        <v>472</v>
      </c>
      <c r="AL44" s="67"/>
      <c r="AM44" s="67"/>
      <c r="AN44" s="67"/>
    </row>
    <row r="45" spans="1:47" s="78" customFormat="1">
      <c r="A45" s="80"/>
      <c r="B45" s="79"/>
      <c r="C45" s="80" t="s">
        <v>240</v>
      </c>
      <c r="D45" s="82" t="s">
        <v>112</v>
      </c>
      <c r="E45" s="79" cm="1">
        <f t="array" ref="E45:AM45">TRANSPOSE(_xlfn._xlws.FILTER('Raw Data'!A3:A300,('Raw Data'!C3:C300=6)*('Raw Data'!A3:A300&lt;&gt;"")))</f>
        <v>46120</v>
      </c>
      <c r="F45" s="79">
        <v>46121</v>
      </c>
      <c r="G45" s="79">
        <v>46122</v>
      </c>
      <c r="H45" s="79">
        <v>46122</v>
      </c>
      <c r="I45" s="79">
        <v>46123</v>
      </c>
      <c r="J45" s="79">
        <v>46123</v>
      </c>
      <c r="K45" s="79">
        <v>46123</v>
      </c>
      <c r="L45" s="78">
        <v>46124</v>
      </c>
      <c r="M45" s="78">
        <v>46124</v>
      </c>
      <c r="N45" s="78">
        <v>46125</v>
      </c>
      <c r="O45" s="78">
        <v>46125</v>
      </c>
      <c r="P45" s="78">
        <v>46125</v>
      </c>
      <c r="Q45" s="78">
        <v>46126</v>
      </c>
      <c r="R45" s="78">
        <v>46126</v>
      </c>
      <c r="S45" s="78">
        <v>46127</v>
      </c>
      <c r="T45" s="78">
        <v>46127</v>
      </c>
      <c r="U45" s="78">
        <v>46127</v>
      </c>
      <c r="V45" s="78">
        <v>46128</v>
      </c>
      <c r="W45" s="78">
        <v>46128</v>
      </c>
      <c r="X45" s="78">
        <v>46128</v>
      </c>
      <c r="Y45" s="78">
        <v>46129</v>
      </c>
      <c r="Z45" s="78">
        <v>46129</v>
      </c>
      <c r="AA45" s="78">
        <v>46130</v>
      </c>
      <c r="AB45" s="78">
        <v>46130</v>
      </c>
      <c r="AC45" s="78">
        <v>46130</v>
      </c>
      <c r="AD45" s="78">
        <v>46131</v>
      </c>
      <c r="AE45" s="78">
        <v>46131</v>
      </c>
      <c r="AF45" s="78">
        <v>46131</v>
      </c>
      <c r="AG45" s="78">
        <v>46132</v>
      </c>
      <c r="AH45" s="123">
        <v>46132</v>
      </c>
      <c r="AI45" s="123">
        <v>46133</v>
      </c>
      <c r="AJ45" s="124">
        <v>46133</v>
      </c>
      <c r="AK45" s="124">
        <v>46133</v>
      </c>
      <c r="AL45" s="124">
        <v>46134</v>
      </c>
      <c r="AM45" s="124">
        <v>46134</v>
      </c>
      <c r="AN45" s="124"/>
      <c r="AO45" s="79"/>
      <c r="AP45" s="31">
        <v>1</v>
      </c>
      <c r="AQ45" s="31">
        <v>2</v>
      </c>
      <c r="AR45" s="31">
        <v>3</v>
      </c>
      <c r="AS45" s="31">
        <v>4</v>
      </c>
      <c r="AT45" s="31">
        <v>5</v>
      </c>
      <c r="AU45" s="31">
        <v>6</v>
      </c>
    </row>
    <row r="46" spans="1:47" s="78" customFormat="1">
      <c r="A46" s="80"/>
      <c r="B46" s="79"/>
      <c r="C46" s="80" t="s">
        <v>484</v>
      </c>
      <c r="D46" s="82" t="s">
        <v>112</v>
      </c>
      <c r="E46" s="79" t="str" cm="1">
        <f t="array" ref="E46:AM46">TRANSPOSE(_xlfn._xlws.FILTER('Raw Data'!D3:D301,('Raw Data'!C3:C301=6)*('Raw Data'!D3:D301&lt;&gt;"")))</f>
        <v>19:27:42</v>
      </c>
      <c r="F46" s="79" t="str">
        <v>03:44:23</v>
      </c>
      <c r="G46" s="79" t="str">
        <v>12:51:17</v>
      </c>
      <c r="H46" s="79" t="str">
        <v>21:08:00</v>
      </c>
      <c r="I46" s="79" t="str">
        <v>05:24:44</v>
      </c>
      <c r="J46" s="79" t="str">
        <v>13:41:27</v>
      </c>
      <c r="K46" s="79" t="str">
        <v>21:58:10</v>
      </c>
      <c r="L46" s="78" t="str">
        <v>14:31:37</v>
      </c>
      <c r="M46" s="78" t="str">
        <v>22:48:19</v>
      </c>
      <c r="N46" s="78" t="str">
        <v>07:05:01</v>
      </c>
      <c r="O46" s="78" t="str">
        <v>15:21:44</v>
      </c>
      <c r="P46" s="78" t="str">
        <v>23:38:26</v>
      </c>
      <c r="Q46" s="78" t="str">
        <v>07:55:08</v>
      </c>
      <c r="R46" s="78" t="str">
        <v>16:11:51</v>
      </c>
      <c r="S46" s="78" t="str">
        <v>00:28:34</v>
      </c>
      <c r="T46" s="78" t="str">
        <v>08:45:19</v>
      </c>
      <c r="U46" s="78" t="str">
        <v>17:02:04</v>
      </c>
      <c r="V46" s="78" t="str">
        <v>01:18:46</v>
      </c>
      <c r="W46" s="78" t="str">
        <v>09:35:29</v>
      </c>
      <c r="X46" s="78" t="str">
        <v>17:52:13</v>
      </c>
      <c r="Y46" s="78" t="str">
        <v>02:08:57</v>
      </c>
      <c r="Z46" s="78" t="str">
        <v>10:25:40</v>
      </c>
      <c r="AA46" s="78" t="str">
        <v>02:59:06</v>
      </c>
      <c r="AB46" s="78" t="str">
        <v>11:15:51</v>
      </c>
      <c r="AC46" s="78" t="str">
        <v>19:32:35</v>
      </c>
      <c r="AD46" s="78" t="str">
        <v>03:49:16</v>
      </c>
      <c r="AE46" s="78" t="str">
        <v>12:06:00</v>
      </c>
      <c r="AF46" s="78" t="str">
        <v>20:22:43</v>
      </c>
      <c r="AG46" s="78" t="str">
        <v>04:39:25</v>
      </c>
      <c r="AH46" s="123" t="str">
        <v>21:12:50</v>
      </c>
      <c r="AI46" s="123" t="str">
        <v>05:29:31</v>
      </c>
      <c r="AJ46" s="124" t="str">
        <v>13:46:14</v>
      </c>
      <c r="AK46" s="124" t="str">
        <v>22:02:57</v>
      </c>
      <c r="AL46" s="124" t="str">
        <v>06:19:40</v>
      </c>
      <c r="AM46" s="124" t="str">
        <v>14:36:22</v>
      </c>
      <c r="AN46" s="124"/>
      <c r="AO46" s="79"/>
      <c r="AP46" s="79"/>
      <c r="AQ46" s="79"/>
      <c r="AR46" s="79"/>
      <c r="AS46" s="79"/>
    </row>
    <row r="47" spans="1:47" s="78" customFormat="1">
      <c r="A47" s="80"/>
      <c r="B47" s="79"/>
      <c r="C47" s="80" t="s">
        <v>128</v>
      </c>
      <c r="D47" s="79" t="s">
        <v>129</v>
      </c>
      <c r="E47" s="79"/>
      <c r="F47" s="57">
        <f>((F45+F46)-(E45+E46))*24</f>
        <v>8.278055555652827</v>
      </c>
      <c r="G47" s="57">
        <f t="shared" ref="G47:AM47" si="1">((G45+G46)-(F45+F46))*24</f>
        <v>33.114999999990687</v>
      </c>
      <c r="H47" s="57">
        <f t="shared" si="1"/>
        <v>8.2786111111636274</v>
      </c>
      <c r="I47" s="57">
        <f t="shared" si="1"/>
        <v>8.278888888831716</v>
      </c>
      <c r="J47" s="57">
        <f t="shared" si="1"/>
        <v>8.2786111111636274</v>
      </c>
      <c r="K47" s="57">
        <f t="shared" si="1"/>
        <v>8.2786111109890044</v>
      </c>
      <c r="L47" s="57">
        <f t="shared" si="1"/>
        <v>16.557499999995343</v>
      </c>
      <c r="M47" s="57">
        <f t="shared" si="1"/>
        <v>8.2783333333209157</v>
      </c>
      <c r="N47" s="57">
        <f t="shared" si="1"/>
        <v>8.2783333333209157</v>
      </c>
      <c r="O47" s="57">
        <f t="shared" si="1"/>
        <v>8.2786111111636274</v>
      </c>
      <c r="P47" s="57">
        <f t="shared" si="1"/>
        <v>8.2783333333209157</v>
      </c>
      <c r="Q47" s="57">
        <f t="shared" si="1"/>
        <v>8.2783333333209157</v>
      </c>
      <c r="R47" s="57">
        <f t="shared" si="1"/>
        <v>8.2786111111636274</v>
      </c>
      <c r="S47" s="57">
        <f t="shared" si="1"/>
        <v>8.2786111111636274</v>
      </c>
      <c r="T47" s="57">
        <f t="shared" si="1"/>
        <v>8.2791666666744277</v>
      </c>
      <c r="U47" s="57">
        <f t="shared" si="1"/>
        <v>8.2791666666744277</v>
      </c>
      <c r="V47" s="57">
        <f t="shared" si="1"/>
        <v>8.2783333333209157</v>
      </c>
      <c r="W47" s="57">
        <f t="shared" si="1"/>
        <v>8.2786111109890044</v>
      </c>
      <c r="X47" s="57">
        <f t="shared" si="1"/>
        <v>8.278888889006339</v>
      </c>
      <c r="Y47" s="57">
        <f t="shared" si="1"/>
        <v>8.278888888831716</v>
      </c>
      <c r="Z47" s="57">
        <f t="shared" si="1"/>
        <v>8.2786111111636274</v>
      </c>
      <c r="AA47" s="57">
        <f t="shared" si="1"/>
        <v>16.557222222152632</v>
      </c>
      <c r="AB47" s="57">
        <f t="shared" si="1"/>
        <v>8.2791666666744277</v>
      </c>
      <c r="AC47" s="57">
        <f t="shared" si="1"/>
        <v>8.278888888831716</v>
      </c>
      <c r="AD47" s="57">
        <f t="shared" si="1"/>
        <v>8.278055555652827</v>
      </c>
      <c r="AE47" s="57">
        <f t="shared" si="1"/>
        <v>8.278888888831716</v>
      </c>
      <c r="AF47" s="57">
        <f t="shared" si="1"/>
        <v>8.2786111111636274</v>
      </c>
      <c r="AG47" s="57">
        <f t="shared" si="1"/>
        <v>8.2783333333209157</v>
      </c>
      <c r="AH47" s="125">
        <f t="shared" si="1"/>
        <v>16.556944444484543</v>
      </c>
      <c r="AI47" s="125">
        <f t="shared" si="1"/>
        <v>8.278055555478204</v>
      </c>
      <c r="AJ47" s="125">
        <f t="shared" si="1"/>
        <v>8.2786111111636274</v>
      </c>
      <c r="AK47" s="125">
        <f t="shared" si="1"/>
        <v>8.2786111111636274</v>
      </c>
      <c r="AL47" s="125">
        <f t="shared" si="1"/>
        <v>8.2786111109890044</v>
      </c>
      <c r="AM47" s="125">
        <f t="shared" si="1"/>
        <v>8.2783333333209157</v>
      </c>
      <c r="AN47" s="125"/>
      <c r="AO47" s="57"/>
      <c r="AP47" s="57"/>
      <c r="AQ47" s="57"/>
      <c r="AR47" s="57"/>
      <c r="AS47" s="57"/>
    </row>
    <row r="48" spans="1:47" s="73" customFormat="1">
      <c r="A48" s="76"/>
      <c r="C48" s="76" t="s">
        <v>485</v>
      </c>
      <c r="D48" s="73" t="s">
        <v>486</v>
      </c>
      <c r="E48" s="73">
        <v>6</v>
      </c>
      <c r="F48" s="77">
        <f>F47+E48</f>
        <v>14.278055555652827</v>
      </c>
      <c r="G48" s="77">
        <f t="shared" ref="G48:AM48" si="2">G47+F48</f>
        <v>47.393055555643514</v>
      </c>
      <c r="H48" s="77">
        <f t="shared" si="2"/>
        <v>55.671666666807141</v>
      </c>
      <c r="I48" s="77">
        <f t="shared" si="2"/>
        <v>63.950555555638857</v>
      </c>
      <c r="J48" s="77">
        <f t="shared" si="2"/>
        <v>72.229166666802485</v>
      </c>
      <c r="K48" s="77">
        <f t="shared" si="2"/>
        <v>80.507777777791489</v>
      </c>
      <c r="L48" s="77">
        <f t="shared" si="2"/>
        <v>97.065277777786832</v>
      </c>
      <c r="M48" s="77">
        <f t="shared" si="2"/>
        <v>105.34361111110775</v>
      </c>
      <c r="N48" s="77">
        <f t="shared" si="2"/>
        <v>113.62194444442866</v>
      </c>
      <c r="O48" s="77">
        <f t="shared" si="2"/>
        <v>121.90055555559229</v>
      </c>
      <c r="P48" s="77">
        <f t="shared" si="2"/>
        <v>130.17888888891321</v>
      </c>
      <c r="Q48" s="77">
        <f t="shared" si="2"/>
        <v>138.45722222223412</v>
      </c>
      <c r="R48" s="77">
        <f t="shared" si="2"/>
        <v>146.73583333339775</v>
      </c>
      <c r="S48" s="77">
        <f t="shared" si="2"/>
        <v>155.01444444456138</v>
      </c>
      <c r="T48" s="77">
        <f t="shared" si="2"/>
        <v>163.2936111112358</v>
      </c>
      <c r="U48" s="77">
        <f t="shared" si="2"/>
        <v>171.57277777791023</v>
      </c>
      <c r="V48" s="77">
        <f t="shared" si="2"/>
        <v>179.85111111123115</v>
      </c>
      <c r="W48" s="77">
        <f t="shared" si="2"/>
        <v>188.12972222222015</v>
      </c>
      <c r="X48" s="77">
        <f t="shared" si="2"/>
        <v>196.40861111122649</v>
      </c>
      <c r="Y48" s="77">
        <f t="shared" si="2"/>
        <v>204.68750000005821</v>
      </c>
      <c r="Z48" s="77">
        <f t="shared" si="2"/>
        <v>212.96611111122184</v>
      </c>
      <c r="AA48" s="77">
        <f t="shared" si="2"/>
        <v>229.52333333337447</v>
      </c>
      <c r="AB48" s="77">
        <f t="shared" si="2"/>
        <v>237.80250000004889</v>
      </c>
      <c r="AC48" s="77">
        <f t="shared" si="2"/>
        <v>246.08138888888061</v>
      </c>
      <c r="AD48" s="77">
        <f t="shared" si="2"/>
        <v>254.35944444453344</v>
      </c>
      <c r="AE48" s="77">
        <f t="shared" si="2"/>
        <v>262.63833333336515</v>
      </c>
      <c r="AF48" s="77">
        <f t="shared" si="2"/>
        <v>270.91694444452878</v>
      </c>
      <c r="AG48" s="77">
        <f t="shared" si="2"/>
        <v>279.1952777778497</v>
      </c>
      <c r="AH48" s="126">
        <f t="shared" si="2"/>
        <v>295.75222222233424</v>
      </c>
      <c r="AI48" s="126">
        <f t="shared" si="2"/>
        <v>304.03027777781244</v>
      </c>
      <c r="AJ48" s="126">
        <f t="shared" si="2"/>
        <v>312.30888888897607</v>
      </c>
      <c r="AK48" s="126">
        <f t="shared" si="2"/>
        <v>320.5875000001397</v>
      </c>
      <c r="AL48" s="126">
        <f t="shared" si="2"/>
        <v>328.8661111111287</v>
      </c>
      <c r="AM48" s="126">
        <f t="shared" si="2"/>
        <v>337.14444444444962</v>
      </c>
      <c r="AN48" s="126"/>
      <c r="AO48" s="77"/>
      <c r="AP48" s="77"/>
      <c r="AQ48" s="77"/>
      <c r="AR48" s="77"/>
      <c r="AS48" s="77"/>
    </row>
    <row r="49" spans="1:47" s="86" customFormat="1">
      <c r="A49" s="83"/>
      <c r="B49" s="84"/>
      <c r="C49" s="83" t="s">
        <v>27</v>
      </c>
      <c r="D49" s="84" t="s">
        <v>123</v>
      </c>
      <c r="E49" s="85" cm="1">
        <f t="array" ref="E49:AM49">TRANSPOSE(_xlfn._xlws.FILTER('Raw Data'!G3:G304,('Raw Data'!C3:C304=6)*('Raw Data'!G3:G304&lt;&gt;"")))</f>
        <v>24.000299999999999</v>
      </c>
      <c r="F49" s="85">
        <v>23.955400000000001</v>
      </c>
      <c r="G49" s="85">
        <v>23.994499999999999</v>
      </c>
      <c r="H49" s="85">
        <v>24.0017</v>
      </c>
      <c r="I49" s="85">
        <v>24.0017</v>
      </c>
      <c r="J49" s="85">
        <v>23.997399999999999</v>
      </c>
      <c r="K49" s="85">
        <v>24.0046</v>
      </c>
      <c r="L49" s="85">
        <v>24.0046</v>
      </c>
      <c r="M49" s="85">
        <v>23.954000000000001</v>
      </c>
      <c r="N49" s="85">
        <v>23.966999999999999</v>
      </c>
      <c r="O49" s="85">
        <v>23.995999999999999</v>
      </c>
      <c r="P49" s="85">
        <v>24.0365</v>
      </c>
      <c r="Q49" s="85">
        <v>23.988700000000001</v>
      </c>
      <c r="R49" s="85">
        <v>24.024899999999999</v>
      </c>
      <c r="S49" s="85">
        <v>23.935199999999998</v>
      </c>
      <c r="T49" s="85">
        <v>23.9742</v>
      </c>
      <c r="U49" s="85">
        <v>24.0017</v>
      </c>
      <c r="V49" s="85">
        <v>24.0017</v>
      </c>
      <c r="W49" s="85">
        <v>24.0017</v>
      </c>
      <c r="X49" s="85">
        <v>23.995999999999999</v>
      </c>
      <c r="Y49" s="85">
        <v>24.0032</v>
      </c>
      <c r="Z49" s="85">
        <v>23.997399999999999</v>
      </c>
      <c r="AA49" s="85">
        <v>15.0014</v>
      </c>
      <c r="AB49" s="85">
        <v>15.004300000000001</v>
      </c>
      <c r="AC49" s="85">
        <v>15.0014</v>
      </c>
      <c r="AD49" s="85">
        <v>14.994199999999999</v>
      </c>
      <c r="AE49" s="85">
        <v>14.992800000000001</v>
      </c>
      <c r="AF49" s="85">
        <v>14.981199999999999</v>
      </c>
      <c r="AG49" s="85">
        <v>14.992800000000001</v>
      </c>
      <c r="AH49" s="127">
        <v>24.0032</v>
      </c>
      <c r="AI49" s="127">
        <v>24.0046</v>
      </c>
      <c r="AJ49" s="127">
        <v>23.994499999999999</v>
      </c>
      <c r="AK49" s="127">
        <v>15.004300000000001</v>
      </c>
      <c r="AL49" s="127">
        <v>15.013</v>
      </c>
      <c r="AM49" s="127">
        <v>15.0014</v>
      </c>
      <c r="AN49" s="127"/>
      <c r="AO49" s="85"/>
      <c r="AP49" s="85"/>
      <c r="AQ49" s="85"/>
      <c r="AR49" s="85"/>
      <c r="AS49" s="85"/>
    </row>
    <row r="50" spans="1:47" s="86" customFormat="1">
      <c r="A50" s="83"/>
      <c r="B50" s="84"/>
      <c r="C50" s="83" t="s">
        <v>61</v>
      </c>
      <c r="D50" s="84" t="s">
        <v>487</v>
      </c>
      <c r="E50" s="85" cm="1">
        <f t="array" ref="E50:AM50">TRANSPOSE(_xlfn._xlws.FILTER('Raw Data'!E3:E305,('Raw Data'!C3:C305=6)*('Raw Data'!E3:E305&lt;&gt;"")))</f>
        <v>190</v>
      </c>
      <c r="F50" s="85">
        <v>190</v>
      </c>
      <c r="G50" s="85">
        <v>190</v>
      </c>
      <c r="H50" s="85">
        <v>190</v>
      </c>
      <c r="I50" s="85">
        <v>190</v>
      </c>
      <c r="J50" s="85">
        <v>200</v>
      </c>
      <c r="K50" s="85">
        <v>200</v>
      </c>
      <c r="L50" s="85">
        <v>200</v>
      </c>
      <c r="M50" s="85">
        <v>200</v>
      </c>
      <c r="N50" s="85">
        <v>200</v>
      </c>
      <c r="O50" s="85">
        <v>206.3</v>
      </c>
      <c r="P50" s="85">
        <v>210</v>
      </c>
      <c r="Q50" s="85">
        <v>210</v>
      </c>
      <c r="R50" s="85">
        <v>210</v>
      </c>
      <c r="S50" s="85">
        <v>210.1</v>
      </c>
      <c r="T50" s="85">
        <v>209.9</v>
      </c>
      <c r="U50" s="85">
        <v>220</v>
      </c>
      <c r="V50" s="85">
        <v>220</v>
      </c>
      <c r="W50" s="85">
        <v>220</v>
      </c>
      <c r="X50" s="85">
        <v>220</v>
      </c>
      <c r="Y50" s="85">
        <v>230</v>
      </c>
      <c r="Z50" s="85">
        <v>230</v>
      </c>
      <c r="AA50" s="85">
        <v>230</v>
      </c>
      <c r="AB50" s="85">
        <v>229.9</v>
      </c>
      <c r="AC50" s="85">
        <v>230.1</v>
      </c>
      <c r="AD50" s="85">
        <v>230.1</v>
      </c>
      <c r="AE50" s="85">
        <v>230</v>
      </c>
      <c r="AF50" s="85">
        <v>230</v>
      </c>
      <c r="AG50" s="85">
        <v>230</v>
      </c>
      <c r="AH50" s="127">
        <v>150.6</v>
      </c>
      <c r="AI50" s="127">
        <v>160.1</v>
      </c>
      <c r="AJ50" s="89">
        <v>161.6</v>
      </c>
      <c r="AK50" s="127">
        <v>161.69999999999999</v>
      </c>
      <c r="AL50" s="127">
        <v>162</v>
      </c>
      <c r="AM50" s="127">
        <v>161.9</v>
      </c>
      <c r="AN50" s="127"/>
      <c r="AO50" s="85"/>
      <c r="AP50" s="34">
        <f>AVERAGE(E50:I50)</f>
        <v>190</v>
      </c>
      <c r="AQ50" s="34">
        <f>AVERAGE(J50:N50)</f>
        <v>200</v>
      </c>
      <c r="AR50" s="34">
        <f>AVERAGE(O50:T50)</f>
        <v>209.38333333333333</v>
      </c>
      <c r="AS50" s="34">
        <f>AVERAGE(U50:X50)</f>
        <v>220</v>
      </c>
      <c r="AT50" s="34">
        <f>AVERAGE(Y50:Z50)</f>
        <v>230</v>
      </c>
      <c r="AU50" s="34">
        <f>AVERAGE(AA50:AG50)</f>
        <v>230.01428571428571</v>
      </c>
    </row>
    <row r="51" spans="1:47">
      <c r="C51" s="61" t="s">
        <v>31</v>
      </c>
      <c r="D51" s="31" t="s">
        <v>125</v>
      </c>
      <c r="E51" s="57">
        <f>(E64/$E$28)</f>
        <v>2.4720594907498761</v>
      </c>
      <c r="F51" s="57">
        <f t="shared" ref="F51:AM51" si="3">(F64/$E$28)</f>
        <v>2.4602080984698937</v>
      </c>
      <c r="G51" s="57">
        <f t="shared" si="3"/>
        <v>2.2372856660560276</v>
      </c>
      <c r="H51" s="57">
        <f t="shared" si="3"/>
        <v>2.4281162550595994</v>
      </c>
      <c r="I51" s="57">
        <f t="shared" si="3"/>
        <v>2.4181793466627419</v>
      </c>
      <c r="J51" s="57">
        <f t="shared" si="3"/>
        <v>2.4688043841653817</v>
      </c>
      <c r="K51" s="57">
        <f t="shared" si="3"/>
        <v>2.4727606493652741</v>
      </c>
      <c r="L51" s="57">
        <f t="shared" si="3"/>
        <v>2.4999336707183817</v>
      </c>
      <c r="M51" s="57">
        <f t="shared" si="3"/>
        <v>2.4411091273617775</v>
      </c>
      <c r="N51" s="57">
        <f t="shared" si="3"/>
        <v>2.4554543891701104</v>
      </c>
      <c r="O51" s="57">
        <f t="shared" si="3"/>
        <v>2.4952106510948111</v>
      </c>
      <c r="P51" s="57">
        <f t="shared" si="3"/>
        <v>2.4662119930381001</v>
      </c>
      <c r="Q51" s="57">
        <f t="shared" si="3"/>
        <v>2.4457575933911606</v>
      </c>
      <c r="R51" s="57">
        <f t="shared" si="3"/>
        <v>2.5051880872056422</v>
      </c>
      <c r="S51" s="57">
        <f t="shared" si="3"/>
        <v>2.457639971533228</v>
      </c>
      <c r="T51" s="57">
        <f t="shared" si="3"/>
        <v>2.4605724612666311</v>
      </c>
      <c r="U51" s="57">
        <f t="shared" si="3"/>
        <v>2.5456086921558057</v>
      </c>
      <c r="V51" s="57">
        <f t="shared" si="3"/>
        <v>2.4742981335451195</v>
      </c>
      <c r="W51" s="57">
        <f t="shared" si="3"/>
        <v>2.4674815191703203</v>
      </c>
      <c r="X51" s="57">
        <f t="shared" si="3"/>
        <v>2.5098135636650718</v>
      </c>
      <c r="Y51" s="57">
        <f t="shared" si="3"/>
        <v>2.4433543485959186</v>
      </c>
      <c r="Z51" s="57">
        <f t="shared" si="3"/>
        <v>2.4353146779223032</v>
      </c>
      <c r="AA51" s="57">
        <f t="shared" si="3"/>
        <v>2.4629788625883924</v>
      </c>
      <c r="AB51" s="57">
        <f t="shared" si="3"/>
        <v>2.445450102672321</v>
      </c>
      <c r="AC51" s="57">
        <f t="shared" si="3"/>
        <v>2.4799026138688647</v>
      </c>
      <c r="AD51" s="57">
        <f t="shared" si="3"/>
        <v>2.4902937846190878</v>
      </c>
      <c r="AE51" s="57">
        <f t="shared" si="3"/>
        <v>2.4843523660082818</v>
      </c>
      <c r="AF51" s="57">
        <f t="shared" si="3"/>
        <v>2.5021517299174008</v>
      </c>
      <c r="AG51" s="57">
        <f t="shared" si="3"/>
        <v>2.4850032984792874</v>
      </c>
      <c r="AH51" s="125">
        <f t="shared" si="3"/>
        <v>2.6099658419015292</v>
      </c>
      <c r="AI51" s="125">
        <f t="shared" si="3"/>
        <v>2.5096864675820814</v>
      </c>
      <c r="AJ51" s="125">
        <f t="shared" si="3"/>
        <v>2.5615304223962538</v>
      </c>
      <c r="AK51" s="125">
        <f t="shared" si="3"/>
        <v>2.5184681854493722</v>
      </c>
      <c r="AL51" s="125">
        <f t="shared" si="3"/>
        <v>2.5146980056285231</v>
      </c>
      <c r="AM51" s="125">
        <f t="shared" si="3"/>
        <v>2.5772979491614292</v>
      </c>
      <c r="AN51" s="125"/>
      <c r="AP51" s="34">
        <f t="shared" ref="AP51:AP65" si="4">AVERAGE(E51:I51)</f>
        <v>2.4031697713996278</v>
      </c>
      <c r="AQ51" s="34">
        <f t="shared" ref="AQ51:AQ65" si="5">AVERAGE(J51:N51)</f>
        <v>2.4676124441561855</v>
      </c>
      <c r="AR51" s="34">
        <f t="shared" ref="AR51:AR65" si="6">AVERAGE(O51:T51)</f>
        <v>2.4717634595882623</v>
      </c>
      <c r="AS51" s="34">
        <f t="shared" ref="AS51:AS65" si="7">AVERAGE(U51:X51)</f>
        <v>2.4993004771340792</v>
      </c>
      <c r="AT51" s="34">
        <f t="shared" ref="AT51:AT65" si="8">AVERAGE(Y51:Z51)</f>
        <v>2.4393345132591109</v>
      </c>
      <c r="AU51" s="34">
        <f t="shared" ref="AU51:AU65" si="9">AVERAGE(AA51:AG51)</f>
        <v>2.4785903940219476</v>
      </c>
    </row>
    <row r="52" spans="1:47">
      <c r="C52" s="61" t="s">
        <v>126</v>
      </c>
      <c r="D52" s="31" t="s">
        <v>488</v>
      </c>
      <c r="E52" s="57">
        <f>($E$38/2)/(E64/$E$4)</f>
        <v>1.2160490162926394</v>
      </c>
      <c r="F52" s="57">
        <f t="shared" ref="F52:AM52" si="10">($E$38/2)/(F64/$E$4)</f>
        <v>1.2219070060833137</v>
      </c>
      <c r="G52" s="57">
        <f t="shared" si="10"/>
        <v>1.3436574316603107</v>
      </c>
      <c r="H52" s="57">
        <f t="shared" si="10"/>
        <v>1.2380566645765825</v>
      </c>
      <c r="I52" s="57">
        <f t="shared" si="10"/>
        <v>1.2431441514426804</v>
      </c>
      <c r="J52" s="57">
        <f t="shared" si="10"/>
        <v>1.2176523710117864</v>
      </c>
      <c r="K52" s="57">
        <f t="shared" si="10"/>
        <v>1.2157042019877293</v>
      </c>
      <c r="L52" s="57">
        <f t="shared" si="10"/>
        <v>1.2024901088993385</v>
      </c>
      <c r="M52" s="57">
        <f t="shared" si="10"/>
        <v>1.2314670729989667</v>
      </c>
      <c r="N52" s="57">
        <f t="shared" si="10"/>
        <v>1.2242725929677238</v>
      </c>
      <c r="O52" s="57">
        <f t="shared" si="10"/>
        <v>1.2047662230939413</v>
      </c>
      <c r="P52" s="57">
        <f t="shared" si="10"/>
        <v>1.2189323222940098</v>
      </c>
      <c r="Q52" s="57">
        <f t="shared" si="10"/>
        <v>1.2291265168986372</v>
      </c>
      <c r="R52" s="57">
        <f t="shared" si="10"/>
        <v>1.1999679893482209</v>
      </c>
      <c r="S52" s="57">
        <f t="shared" si="10"/>
        <v>1.2231838457883848</v>
      </c>
      <c r="T52" s="57">
        <f t="shared" si="10"/>
        <v>1.2217260654846938</v>
      </c>
      <c r="U52" s="57">
        <f t="shared" si="10"/>
        <v>1.1809142234651346</v>
      </c>
      <c r="V52" s="57">
        <f t="shared" si="10"/>
        <v>1.2149487853495371</v>
      </c>
      <c r="W52" s="57">
        <f t="shared" si="10"/>
        <v>1.2183051782102396</v>
      </c>
      <c r="X52" s="57">
        <f t="shared" si="10"/>
        <v>1.1977565009065478</v>
      </c>
      <c r="Y52" s="57">
        <f t="shared" si="10"/>
        <v>1.2303354663521324</v>
      </c>
      <c r="Z52" s="57">
        <f t="shared" si="10"/>
        <v>1.2343971558155979</v>
      </c>
      <c r="AA52" s="57">
        <f t="shared" si="10"/>
        <v>1.2205324039135492</v>
      </c>
      <c r="AB52" s="57">
        <f t="shared" si="10"/>
        <v>1.2292810671778729</v>
      </c>
      <c r="AC52" s="57">
        <f t="shared" si="10"/>
        <v>1.2122030498824388</v>
      </c>
      <c r="AD52" s="57">
        <f t="shared" si="10"/>
        <v>1.207144928245117</v>
      </c>
      <c r="AE52" s="57">
        <f t="shared" si="10"/>
        <v>1.2100318590367178</v>
      </c>
      <c r="AF52" s="57">
        <f t="shared" si="10"/>
        <v>1.2014241486636408</v>
      </c>
      <c r="AG52" s="57">
        <f t="shared" si="10"/>
        <v>1.209714898077962</v>
      </c>
      <c r="AH52" s="125">
        <f t="shared" si="10"/>
        <v>1.1517949636279905</v>
      </c>
      <c r="AI52" s="125">
        <f t="shared" si="10"/>
        <v>1.1978171579494128</v>
      </c>
      <c r="AJ52" s="125">
        <f t="shared" si="10"/>
        <v>1.1735740031270401</v>
      </c>
      <c r="AK52" s="125">
        <f t="shared" si="10"/>
        <v>1.1936404554607787</v>
      </c>
      <c r="AL52" s="125">
        <f t="shared" si="10"/>
        <v>1.1954300298543858</v>
      </c>
      <c r="AM52" s="125">
        <f t="shared" si="10"/>
        <v>1.1663942513597909</v>
      </c>
      <c r="AN52" s="125"/>
      <c r="AP52" s="34">
        <f t="shared" si="4"/>
        <v>1.2525628540111053</v>
      </c>
      <c r="AQ52" s="34">
        <f t="shared" si="5"/>
        <v>1.218317269573109</v>
      </c>
      <c r="AR52" s="34">
        <f t="shared" si="6"/>
        <v>1.2162838271513146</v>
      </c>
      <c r="AS52" s="34">
        <f t="shared" si="7"/>
        <v>1.2029811719828647</v>
      </c>
      <c r="AT52" s="34">
        <f t="shared" si="8"/>
        <v>1.2323663110838652</v>
      </c>
      <c r="AU52" s="34">
        <f t="shared" si="9"/>
        <v>1.2129046221424711</v>
      </c>
    </row>
    <row r="53" spans="1:47">
      <c r="A53" s="343" t="s">
        <v>220</v>
      </c>
      <c r="B53" s="343"/>
      <c r="C53" s="343"/>
      <c r="D53" s="31" t="s">
        <v>137</v>
      </c>
      <c r="E53" s="31">
        <v>2.605</v>
      </c>
      <c r="F53" s="31">
        <v>2.605</v>
      </c>
      <c r="G53" s="31">
        <v>2.605</v>
      </c>
      <c r="H53" s="31">
        <v>2.605</v>
      </c>
      <c r="I53" s="31">
        <v>2.605</v>
      </c>
      <c r="J53" s="31">
        <v>2.605</v>
      </c>
      <c r="K53" s="31">
        <v>2.605</v>
      </c>
      <c r="L53" s="31">
        <v>2.605</v>
      </c>
      <c r="M53" s="31">
        <v>2.605</v>
      </c>
      <c r="N53" s="31">
        <v>2.605</v>
      </c>
      <c r="O53" s="31">
        <v>2.605</v>
      </c>
      <c r="P53" s="31">
        <v>2.605</v>
      </c>
      <c r="Q53" s="31">
        <v>2.605</v>
      </c>
      <c r="R53" s="31">
        <v>2.605</v>
      </c>
      <c r="S53" s="31">
        <v>2.605</v>
      </c>
      <c r="T53" s="31">
        <v>2.605</v>
      </c>
      <c r="U53" s="31">
        <v>2.605</v>
      </c>
      <c r="V53" s="31">
        <v>2.605</v>
      </c>
      <c r="W53" s="31">
        <v>2.605</v>
      </c>
      <c r="X53" s="31">
        <v>2.605</v>
      </c>
      <c r="Y53" s="31">
        <v>2.605</v>
      </c>
      <c r="Z53" s="31">
        <v>2.605</v>
      </c>
      <c r="AA53" s="31">
        <v>2.605</v>
      </c>
      <c r="AB53" s="31">
        <v>2.605</v>
      </c>
      <c r="AC53" s="31">
        <v>2.605</v>
      </c>
      <c r="AD53" s="31">
        <v>2.605</v>
      </c>
      <c r="AE53" s="31">
        <v>2.605</v>
      </c>
      <c r="AF53" s="31">
        <v>2.605</v>
      </c>
      <c r="AG53" s="31">
        <v>2.605</v>
      </c>
      <c r="AH53" s="67">
        <v>2.605</v>
      </c>
      <c r="AI53" s="67">
        <v>2.605</v>
      </c>
      <c r="AJ53" s="67">
        <v>2.605</v>
      </c>
      <c r="AK53" s="67">
        <v>2.605</v>
      </c>
      <c r="AL53" s="67">
        <v>2.605</v>
      </c>
      <c r="AM53" s="67">
        <v>2.605</v>
      </c>
      <c r="AN53" s="67"/>
      <c r="AP53" s="34">
        <f t="shared" si="4"/>
        <v>2.605</v>
      </c>
      <c r="AQ53" s="34">
        <f t="shared" si="5"/>
        <v>2.605</v>
      </c>
      <c r="AR53" s="34">
        <f t="shared" si="6"/>
        <v>2.605</v>
      </c>
      <c r="AS53" s="34">
        <f t="shared" si="7"/>
        <v>2.605</v>
      </c>
      <c r="AT53" s="34">
        <f t="shared" si="8"/>
        <v>2.605</v>
      </c>
      <c r="AU53" s="34">
        <f t="shared" si="9"/>
        <v>2.605</v>
      </c>
    </row>
    <row r="54" spans="1:47" s="55" customFormat="1">
      <c r="A54" s="340" t="s">
        <v>470</v>
      </c>
      <c r="B54" s="340"/>
      <c r="C54" s="340"/>
      <c r="D54" s="57" t="s">
        <v>471</v>
      </c>
      <c r="E54" s="57" cm="1">
        <f t="array" ref="E54:AM54">TRANSPOSE(_xlfn._xlws.FILTER('Raw Data'!AI3:AI309,('Raw Data'!C3:C309=6)*('Raw Data'!AI3:AI309&lt;&gt;"")))</f>
        <v>22.253473</v>
      </c>
      <c r="F54" s="57">
        <v>22.594453000000001</v>
      </c>
      <c r="G54" s="57">
        <v>22.941751</v>
      </c>
      <c r="H54" s="57">
        <v>22.240676000000001</v>
      </c>
      <c r="I54" s="57">
        <v>22.158148000000001</v>
      </c>
      <c r="J54" s="57">
        <v>22.537949999999999</v>
      </c>
      <c r="K54" s="57">
        <v>22.596847</v>
      </c>
      <c r="L54" s="57">
        <v>22.560859000000001</v>
      </c>
      <c r="M54" s="57">
        <v>21.965347999999999</v>
      </c>
      <c r="N54" s="57">
        <v>22.014832999999999</v>
      </c>
      <c r="O54" s="57">
        <v>22.479934</v>
      </c>
      <c r="P54" s="57">
        <v>21.8629</v>
      </c>
      <c r="Q54" s="57">
        <v>22.062591000000001</v>
      </c>
      <c r="R54" s="57">
        <v>22.126512000000002</v>
      </c>
      <c r="S54" s="57">
        <v>21.408819999999999</v>
      </c>
      <c r="T54" s="57">
        <v>22.284853999999999</v>
      </c>
      <c r="U54" s="57">
        <v>21.625654999999998</v>
      </c>
      <c r="V54" s="57">
        <v>21.456223000000001</v>
      </c>
      <c r="W54" s="57">
        <v>21.402573</v>
      </c>
      <c r="X54" s="57">
        <v>21.387913999999999</v>
      </c>
      <c r="Y54" s="57">
        <v>20.760818</v>
      </c>
      <c r="Z54" s="57">
        <v>20.830590000000001</v>
      </c>
      <c r="AA54" s="57">
        <v>20.571929999999998</v>
      </c>
      <c r="AB54" s="57">
        <v>20.627074</v>
      </c>
      <c r="AC54" s="57">
        <v>20.172221</v>
      </c>
      <c r="AD54" s="57">
        <v>20.890730999999999</v>
      </c>
      <c r="AE54" s="57">
        <v>20.451695999999998</v>
      </c>
      <c r="AF54" s="57">
        <v>20.169255</v>
      </c>
      <c r="AG54" s="57">
        <v>20.756225000000001</v>
      </c>
      <c r="AH54" s="125">
        <v>22.328329</v>
      </c>
      <c r="AI54" s="125">
        <v>22.307782</v>
      </c>
      <c r="AJ54" s="125">
        <v>22.541488999999999</v>
      </c>
      <c r="AK54" s="125">
        <v>21.593596000000002</v>
      </c>
      <c r="AL54" s="125">
        <v>22.180275999999999</v>
      </c>
      <c r="AM54" s="125">
        <v>22.023855000000001</v>
      </c>
      <c r="AN54" s="125"/>
      <c r="AO54" s="57"/>
      <c r="AP54" s="34">
        <f t="shared" si="4"/>
        <v>22.437700199999998</v>
      </c>
      <c r="AQ54" s="34">
        <f t="shared" si="5"/>
        <v>22.335167399999996</v>
      </c>
      <c r="AR54" s="34">
        <f t="shared" si="6"/>
        <v>22.03760183333333</v>
      </c>
      <c r="AS54" s="34">
        <f t="shared" si="7"/>
        <v>21.468091250000001</v>
      </c>
      <c r="AT54" s="34">
        <f t="shared" si="8"/>
        <v>20.795704000000001</v>
      </c>
      <c r="AU54" s="34">
        <f t="shared" si="9"/>
        <v>20.519876</v>
      </c>
    </row>
    <row r="55" spans="1:47" s="9" customFormat="1">
      <c r="A55" s="344" t="s">
        <v>473</v>
      </c>
      <c r="B55" s="344"/>
      <c r="C55" s="344"/>
      <c r="D55" s="34" t="s">
        <v>471</v>
      </c>
      <c r="E55" s="57" cm="1">
        <f t="array" ref="E55:AM55">TRANSPOSE(_xlfn._xlws.FILTER('Raw Data'!AJ3:AJ310,('Raw Data'!C3:C310=6)*('Raw Data'!AJ3:AJ310&lt;&gt;"")))</f>
        <v>59.348591999999996</v>
      </c>
      <c r="F55" s="34">
        <v>59.152436000000002</v>
      </c>
      <c r="G55" s="34">
        <v>60.183501999999997</v>
      </c>
      <c r="H55" s="34">
        <v>59.670651999999997</v>
      </c>
      <c r="I55" s="34">
        <v>59.787740999999997</v>
      </c>
      <c r="J55" s="34">
        <v>59.151421999999997</v>
      </c>
      <c r="K55" s="34">
        <v>59.080063000000003</v>
      </c>
      <c r="L55" s="34">
        <v>58.95711</v>
      </c>
      <c r="M55" s="34">
        <v>59.735655999999999</v>
      </c>
      <c r="N55" s="34">
        <v>59.604596000000001</v>
      </c>
      <c r="O55" s="34">
        <v>59.023935999999999</v>
      </c>
      <c r="P55" s="34">
        <v>59.427836999999997</v>
      </c>
      <c r="Q55" s="34">
        <v>59.381512000000001</v>
      </c>
      <c r="R55" s="34">
        <v>58.993845999999998</v>
      </c>
      <c r="S55" s="34">
        <v>59.786490999999998</v>
      </c>
      <c r="T55" s="34">
        <v>59.110517000000002</v>
      </c>
      <c r="U55" s="34">
        <v>58.698647999999999</v>
      </c>
      <c r="V55" s="34">
        <v>59.223208</v>
      </c>
      <c r="W55" s="34">
        <v>59.308188999999999</v>
      </c>
      <c r="X55" s="34">
        <v>59.044885999999998</v>
      </c>
      <c r="Y55" s="34">
        <v>59.443874000000001</v>
      </c>
      <c r="Z55" s="34">
        <v>59.442635000000003</v>
      </c>
      <c r="AA55" s="34">
        <v>59.200218999999997</v>
      </c>
      <c r="AB55" s="34">
        <v>59.253219999999999</v>
      </c>
      <c r="AC55" s="34">
        <v>59.377637</v>
      </c>
      <c r="AD55" s="34">
        <v>58.770685</v>
      </c>
      <c r="AE55" s="34">
        <v>59.124476999999999</v>
      </c>
      <c r="AF55" s="34">
        <v>59.214830999999997</v>
      </c>
      <c r="AG55" s="34">
        <v>58.890456999999998</v>
      </c>
      <c r="AH55" s="128">
        <v>58.547564000000001</v>
      </c>
      <c r="AI55" s="128">
        <v>59.148435999999997</v>
      </c>
      <c r="AJ55" s="128">
        <v>58.682012</v>
      </c>
      <c r="AK55" s="128">
        <v>59.640729</v>
      </c>
      <c r="AL55" s="128">
        <v>59.213450000000002</v>
      </c>
      <c r="AM55" s="128">
        <v>58.983961000000001</v>
      </c>
      <c r="AN55" s="128"/>
      <c r="AO55" s="34"/>
      <c r="AP55" s="34">
        <f t="shared" si="4"/>
        <v>59.628584599999996</v>
      </c>
      <c r="AQ55" s="34">
        <f t="shared" si="5"/>
        <v>59.305769399999996</v>
      </c>
      <c r="AR55" s="34">
        <f t="shared" si="6"/>
        <v>59.287356499999994</v>
      </c>
      <c r="AS55" s="34">
        <f t="shared" si="7"/>
        <v>59.068732749999995</v>
      </c>
      <c r="AT55" s="34">
        <f t="shared" si="8"/>
        <v>59.443254500000002</v>
      </c>
      <c r="AU55" s="34">
        <f t="shared" si="9"/>
        <v>59.118789428571439</v>
      </c>
    </row>
    <row r="56" spans="1:47">
      <c r="A56" s="343" t="s">
        <v>474</v>
      </c>
      <c r="B56" s="343"/>
      <c r="C56" s="343"/>
      <c r="D56" s="31" t="s">
        <v>471</v>
      </c>
      <c r="E56" s="34">
        <f>100-E55-E54</f>
        <v>18.397935000000004</v>
      </c>
      <c r="F56" s="34">
        <f t="shared" ref="F56:AM56" si="11">100-F55-F54</f>
        <v>18.253110999999997</v>
      </c>
      <c r="G56" s="34">
        <f t="shared" si="11"/>
        <v>16.874747000000003</v>
      </c>
      <c r="H56" s="34">
        <f t="shared" si="11"/>
        <v>18.088672000000003</v>
      </c>
      <c r="I56" s="34">
        <f t="shared" si="11"/>
        <v>18.054111000000002</v>
      </c>
      <c r="J56" s="34">
        <f t="shared" si="11"/>
        <v>18.310628000000005</v>
      </c>
      <c r="K56" s="34">
        <f t="shared" si="11"/>
        <v>18.323089999999997</v>
      </c>
      <c r="L56" s="34">
        <f t="shared" si="11"/>
        <v>18.482030999999999</v>
      </c>
      <c r="M56" s="34">
        <f t="shared" si="11"/>
        <v>18.298996000000002</v>
      </c>
      <c r="N56" s="34">
        <f t="shared" si="11"/>
        <v>18.380571</v>
      </c>
      <c r="O56" s="34">
        <f t="shared" si="11"/>
        <v>18.496130000000001</v>
      </c>
      <c r="P56" s="34">
        <f t="shared" si="11"/>
        <v>18.709263000000004</v>
      </c>
      <c r="Q56" s="34">
        <f t="shared" si="11"/>
        <v>18.555896999999998</v>
      </c>
      <c r="R56" s="34">
        <f t="shared" si="11"/>
        <v>18.879642</v>
      </c>
      <c r="S56" s="34">
        <f t="shared" si="11"/>
        <v>18.804689000000003</v>
      </c>
      <c r="T56" s="34">
        <f t="shared" si="11"/>
        <v>18.604628999999999</v>
      </c>
      <c r="U56" s="34">
        <f t="shared" si="11"/>
        <v>19.675697000000003</v>
      </c>
      <c r="V56" s="34">
        <f t="shared" si="11"/>
        <v>19.320568999999999</v>
      </c>
      <c r="W56" s="34">
        <f t="shared" si="11"/>
        <v>19.289238000000001</v>
      </c>
      <c r="X56" s="34">
        <f t="shared" si="11"/>
        <v>19.567200000000003</v>
      </c>
      <c r="Y56" s="34">
        <f t="shared" si="11"/>
        <v>19.795307999999999</v>
      </c>
      <c r="Z56" s="34">
        <f t="shared" si="11"/>
        <v>19.726774999999996</v>
      </c>
      <c r="AA56" s="34">
        <f t="shared" si="11"/>
        <v>20.227851000000005</v>
      </c>
      <c r="AB56" s="34">
        <f t="shared" si="11"/>
        <v>20.119706000000001</v>
      </c>
      <c r="AC56" s="34">
        <f t="shared" si="11"/>
        <v>20.450142</v>
      </c>
      <c r="AD56" s="34">
        <f t="shared" si="11"/>
        <v>20.338584000000001</v>
      </c>
      <c r="AE56" s="34">
        <f t="shared" si="11"/>
        <v>20.423827000000003</v>
      </c>
      <c r="AF56" s="34">
        <f t="shared" si="11"/>
        <v>20.615914000000004</v>
      </c>
      <c r="AG56" s="34">
        <f t="shared" si="11"/>
        <v>20.353318000000002</v>
      </c>
      <c r="AH56" s="128">
        <f t="shared" si="11"/>
        <v>19.124106999999999</v>
      </c>
      <c r="AI56" s="128">
        <f t="shared" si="11"/>
        <v>18.543782000000004</v>
      </c>
      <c r="AJ56" s="128">
        <f t="shared" si="11"/>
        <v>18.776499000000001</v>
      </c>
      <c r="AK56" s="128">
        <f t="shared" si="11"/>
        <v>18.765674999999998</v>
      </c>
      <c r="AL56" s="128">
        <f t="shared" si="11"/>
        <v>18.606273999999999</v>
      </c>
      <c r="AM56" s="128">
        <f t="shared" si="11"/>
        <v>18.992183999999998</v>
      </c>
      <c r="AN56" s="128"/>
      <c r="AP56" s="34">
        <f t="shared" si="4"/>
        <v>17.933715200000002</v>
      </c>
      <c r="AQ56" s="34">
        <f t="shared" si="5"/>
        <v>18.359063200000001</v>
      </c>
      <c r="AR56" s="34">
        <f t="shared" si="6"/>
        <v>18.675041666666669</v>
      </c>
      <c r="AS56" s="34">
        <f t="shared" si="7"/>
        <v>19.463176000000001</v>
      </c>
      <c r="AT56" s="34">
        <f t="shared" si="8"/>
        <v>19.761041499999997</v>
      </c>
      <c r="AU56" s="34">
        <f t="shared" si="9"/>
        <v>20.361334571428575</v>
      </c>
    </row>
    <row r="57" spans="1:47">
      <c r="A57" s="343" t="s">
        <v>475</v>
      </c>
      <c r="B57" s="343"/>
      <c r="C57" s="343"/>
      <c r="D57" s="31" t="s">
        <v>471</v>
      </c>
      <c r="E57" s="31">
        <f>SUM(E54:E56)</f>
        <v>100</v>
      </c>
      <c r="F57" s="31">
        <f t="shared" ref="F57:AM57" si="12">SUM(F54:F56)</f>
        <v>100</v>
      </c>
      <c r="G57" s="31">
        <f t="shared" si="12"/>
        <v>100</v>
      </c>
      <c r="H57" s="31">
        <f t="shared" si="12"/>
        <v>100</v>
      </c>
      <c r="I57" s="31">
        <f t="shared" si="12"/>
        <v>100</v>
      </c>
      <c r="J57" s="31">
        <f t="shared" si="12"/>
        <v>100</v>
      </c>
      <c r="K57" s="31">
        <f t="shared" si="12"/>
        <v>100</v>
      </c>
      <c r="L57" s="31">
        <f t="shared" si="12"/>
        <v>100</v>
      </c>
      <c r="M57" s="31">
        <f t="shared" si="12"/>
        <v>100</v>
      </c>
      <c r="N57" s="31">
        <f t="shared" si="12"/>
        <v>100</v>
      </c>
      <c r="O57" s="31">
        <f t="shared" si="12"/>
        <v>100</v>
      </c>
      <c r="P57" s="31">
        <f t="shared" si="12"/>
        <v>100</v>
      </c>
      <c r="Q57" s="31">
        <f t="shared" si="12"/>
        <v>100</v>
      </c>
      <c r="R57" s="31">
        <f t="shared" si="12"/>
        <v>100</v>
      </c>
      <c r="S57" s="31">
        <f t="shared" si="12"/>
        <v>100</v>
      </c>
      <c r="T57" s="31">
        <f t="shared" si="12"/>
        <v>100</v>
      </c>
      <c r="U57" s="31">
        <f t="shared" si="12"/>
        <v>100</v>
      </c>
      <c r="V57" s="31">
        <f t="shared" si="12"/>
        <v>100</v>
      </c>
      <c r="W57" s="31">
        <f t="shared" si="12"/>
        <v>100</v>
      </c>
      <c r="X57" s="31">
        <f t="shared" si="12"/>
        <v>100</v>
      </c>
      <c r="Y57" s="31">
        <f t="shared" si="12"/>
        <v>100</v>
      </c>
      <c r="Z57" s="31">
        <f t="shared" si="12"/>
        <v>100</v>
      </c>
      <c r="AA57" s="31">
        <f t="shared" si="12"/>
        <v>100</v>
      </c>
      <c r="AB57" s="31">
        <f t="shared" si="12"/>
        <v>100</v>
      </c>
      <c r="AC57" s="31">
        <f t="shared" si="12"/>
        <v>100</v>
      </c>
      <c r="AD57" s="31">
        <f t="shared" si="12"/>
        <v>100</v>
      </c>
      <c r="AE57" s="31">
        <f t="shared" si="12"/>
        <v>100</v>
      </c>
      <c r="AF57" s="31">
        <f t="shared" si="12"/>
        <v>100</v>
      </c>
      <c r="AG57" s="31">
        <f t="shared" si="12"/>
        <v>100</v>
      </c>
      <c r="AH57" s="67">
        <f t="shared" si="12"/>
        <v>100</v>
      </c>
      <c r="AI57" s="67">
        <f t="shared" si="12"/>
        <v>100</v>
      </c>
      <c r="AJ57" s="67">
        <f t="shared" si="12"/>
        <v>100</v>
      </c>
      <c r="AK57" s="67">
        <f t="shared" si="12"/>
        <v>100</v>
      </c>
      <c r="AL57" s="67">
        <f t="shared" si="12"/>
        <v>100</v>
      </c>
      <c r="AM57" s="67">
        <f t="shared" si="12"/>
        <v>100</v>
      </c>
      <c r="AN57" s="67"/>
      <c r="AP57" s="34">
        <f t="shared" si="4"/>
        <v>100</v>
      </c>
      <c r="AQ57" s="34">
        <f t="shared" si="5"/>
        <v>100</v>
      </c>
      <c r="AR57" s="34">
        <f t="shared" si="6"/>
        <v>100</v>
      </c>
      <c r="AS57" s="34">
        <f t="shared" si="7"/>
        <v>100</v>
      </c>
      <c r="AT57" s="34">
        <f t="shared" si="8"/>
        <v>100</v>
      </c>
      <c r="AU57" s="34">
        <f t="shared" si="9"/>
        <v>100</v>
      </c>
    </row>
    <row r="58" spans="1:47" s="34" customFormat="1">
      <c r="A58" s="344" t="s">
        <v>476</v>
      </c>
      <c r="B58" s="344"/>
      <c r="C58" s="344"/>
      <c r="D58" s="75" t="s">
        <v>112</v>
      </c>
      <c r="E58" s="57" cm="1">
        <f t="array" ref="E58:AM58">TRANSPOSE(_xlfn._xlws.FILTER('Raw Data'!AL3:AL313,('Raw Data'!C3:C313=6)*('Raw Data'!AL3:AL313&lt;&gt;"")))</f>
        <v>88.257369995000005</v>
      </c>
      <c r="F58" s="34">
        <v>88.238639831</v>
      </c>
      <c r="G58" s="34">
        <v>88.309020996000001</v>
      </c>
      <c r="H58" s="34">
        <v>88.639480590999995</v>
      </c>
      <c r="I58" s="34">
        <v>88.620025635000005</v>
      </c>
      <c r="J58" s="34">
        <v>88.274192810000002</v>
      </c>
      <c r="K58" s="34">
        <v>88.249206543</v>
      </c>
      <c r="L58" s="34">
        <v>88.267410278</v>
      </c>
      <c r="M58" s="34">
        <v>88.203628539999997</v>
      </c>
      <c r="N58" s="34">
        <v>88.136245727000002</v>
      </c>
      <c r="O58" s="34">
        <v>88.136177063000005</v>
      </c>
      <c r="P58" s="34">
        <v>86.744010924999998</v>
      </c>
      <c r="Q58" s="34">
        <v>86.669555664000001</v>
      </c>
      <c r="R58" s="34">
        <v>86.683135985999996</v>
      </c>
      <c r="S58" s="34">
        <v>86.527648925999998</v>
      </c>
      <c r="T58" s="34">
        <v>86.571182250999996</v>
      </c>
      <c r="U58" s="34">
        <v>84.152770996000001</v>
      </c>
      <c r="V58" s="34">
        <v>84.045715332</v>
      </c>
      <c r="W58" s="34">
        <v>84.070137024000005</v>
      </c>
      <c r="X58" s="34">
        <v>83.926712035999998</v>
      </c>
      <c r="Y58" s="34">
        <v>81.370285034000005</v>
      </c>
      <c r="Z58" s="34">
        <v>81.382270813000005</v>
      </c>
      <c r="AA58" s="34">
        <v>79.975921631000006</v>
      </c>
      <c r="AB58" s="34">
        <v>79.906776428000001</v>
      </c>
      <c r="AC58" s="34">
        <v>79.891151428000001</v>
      </c>
      <c r="AD58" s="34">
        <v>79.842597960999996</v>
      </c>
      <c r="AE58" s="34">
        <v>79.798309325999995</v>
      </c>
      <c r="AF58" s="34">
        <v>79.744277953999998</v>
      </c>
      <c r="AG58" s="34">
        <v>79.779228209999999</v>
      </c>
      <c r="AH58" s="128">
        <v>88.426147460999999</v>
      </c>
      <c r="AI58" s="128">
        <v>88.574668884000005</v>
      </c>
      <c r="AJ58" s="128">
        <v>88.579368591000005</v>
      </c>
      <c r="AK58" s="128">
        <v>88.565475464000002</v>
      </c>
      <c r="AL58" s="128">
        <v>88.552001953000001</v>
      </c>
      <c r="AM58" s="128">
        <v>88.567276000999996</v>
      </c>
      <c r="AN58" s="128"/>
      <c r="AP58" s="34">
        <f t="shared" si="4"/>
        <v>88.412907409599995</v>
      </c>
      <c r="AQ58" s="34">
        <f t="shared" si="5"/>
        <v>88.226136779600012</v>
      </c>
      <c r="AR58" s="34">
        <f t="shared" si="6"/>
        <v>86.888618469166659</v>
      </c>
      <c r="AS58" s="34">
        <f t="shared" si="7"/>
        <v>84.048833846999997</v>
      </c>
      <c r="AT58" s="34">
        <f t="shared" si="8"/>
        <v>81.376277923499998</v>
      </c>
      <c r="AU58" s="34">
        <f t="shared" si="9"/>
        <v>79.848323276857144</v>
      </c>
    </row>
    <row r="59" spans="1:47" s="57" customFormat="1">
      <c r="A59" s="340" t="s">
        <v>477</v>
      </c>
      <c r="B59" s="340"/>
      <c r="C59" s="340"/>
      <c r="D59" s="57" t="s">
        <v>314</v>
      </c>
      <c r="E59" s="57">
        <f>E68*$H$6+E69*$H$7+E70*$H$8+E71*$H$9+E72*$H$10+E73*$H$11+E74*$H$12+E75*$H$13+E76*$H$14+E77*$H$15+E78*$H$16+E79*$H$17+E80*$H$18+E81*$H$19+E82*$H$20+E83*$H$21+E84*$H$22+E85*$H$23+E86*$H$24</f>
        <v>83.657020255098146</v>
      </c>
      <c r="F59" s="57">
        <f t="shared" ref="F59:AM59" si="13">F68*$H$6+F69*$H$7+F70*$H$8+F71*$H$9+F72*$H$10+F73*$H$11+F74*$H$12+F75*$H$13+F76*$H$14+F77*$H$15+F78*$H$16+F79*$H$17+F80*$H$18+F81*$H$19+F82*$H$20+F83*$H$21+F84*$H$22+F85*$H$23+F86*$H$24</f>
        <v>83.656924336013731</v>
      </c>
      <c r="G59" s="57">
        <f t="shared" si="13"/>
        <v>83.658422343441373</v>
      </c>
      <c r="H59" s="57">
        <f t="shared" si="13"/>
        <v>83.666092924513777</v>
      </c>
      <c r="I59" s="57">
        <f t="shared" si="13"/>
        <v>83.665379981995684</v>
      </c>
      <c r="J59" s="57">
        <f t="shared" si="13"/>
        <v>83.65039387457351</v>
      </c>
      <c r="K59" s="57">
        <f t="shared" si="13"/>
        <v>83.650130317094195</v>
      </c>
      <c r="L59" s="57">
        <f t="shared" si="13"/>
        <v>83.650339697759321</v>
      </c>
      <c r="M59" s="57">
        <f t="shared" si="13"/>
        <v>83.64889983327086</v>
      </c>
      <c r="N59" s="57">
        <f t="shared" si="13"/>
        <v>83.647157881338899</v>
      </c>
      <c r="O59" s="57">
        <f t="shared" si="13"/>
        <v>83.647587478437899</v>
      </c>
      <c r="P59" s="57">
        <f t="shared" si="13"/>
        <v>83.613665890951566</v>
      </c>
      <c r="Q59" s="57">
        <f t="shared" si="13"/>
        <v>83.612123675223174</v>
      </c>
      <c r="R59" s="57">
        <f t="shared" si="13"/>
        <v>83.612612599574732</v>
      </c>
      <c r="S59" s="57">
        <f t="shared" si="13"/>
        <v>83.609068104422221</v>
      </c>
      <c r="T59" s="57">
        <f t="shared" si="13"/>
        <v>83.610278437400495</v>
      </c>
      <c r="U59" s="57">
        <f t="shared" si="13"/>
        <v>83.555359448399898</v>
      </c>
      <c r="V59" s="57">
        <f t="shared" si="13"/>
        <v>83.552910155467828</v>
      </c>
      <c r="W59" s="57">
        <f t="shared" si="13"/>
        <v>83.55354096768761</v>
      </c>
      <c r="X59" s="57">
        <f t="shared" si="13"/>
        <v>83.550292078145389</v>
      </c>
      <c r="Y59" s="57">
        <f t="shared" si="13"/>
        <v>83.486946044320121</v>
      </c>
      <c r="Z59" s="57">
        <f t="shared" si="13"/>
        <v>83.487289113527467</v>
      </c>
      <c r="AA59" s="57">
        <f t="shared" si="13"/>
        <v>83.450340659628139</v>
      </c>
      <c r="AB59" s="57">
        <f t="shared" si="13"/>
        <v>83.44851952920034</v>
      </c>
      <c r="AC59" s="57">
        <f t="shared" si="13"/>
        <v>83.447944509912375</v>
      </c>
      <c r="AD59" s="57">
        <f t="shared" si="13"/>
        <v>83.446683221304681</v>
      </c>
      <c r="AE59" s="57">
        <f t="shared" si="13"/>
        <v>83.445478205185893</v>
      </c>
      <c r="AF59" s="57">
        <f t="shared" si="13"/>
        <v>83.444002453858275</v>
      </c>
      <c r="AG59" s="57">
        <f t="shared" si="13"/>
        <v>83.444931159789704</v>
      </c>
      <c r="AH59" s="125">
        <f t="shared" si="13"/>
        <v>83.66328246166735</v>
      </c>
      <c r="AI59" s="125">
        <f t="shared" si="13"/>
        <v>83.677365647086276</v>
      </c>
      <c r="AJ59" s="125">
        <f t="shared" si="13"/>
        <v>83.677834139767654</v>
      </c>
      <c r="AK59" s="125">
        <f t="shared" si="13"/>
        <v>83.676571711794395</v>
      </c>
      <c r="AL59" s="125">
        <f t="shared" si="13"/>
        <v>83.676117660470425</v>
      </c>
      <c r="AM59" s="125">
        <f t="shared" si="13"/>
        <v>83.676495013377277</v>
      </c>
      <c r="AN59" s="125"/>
      <c r="AP59" s="34">
        <f t="shared" si="4"/>
        <v>83.660767968212525</v>
      </c>
      <c r="AQ59" s="34">
        <f t="shared" si="5"/>
        <v>83.649384320807343</v>
      </c>
      <c r="AR59" s="34">
        <f t="shared" si="6"/>
        <v>83.617556031001683</v>
      </c>
      <c r="AS59" s="34">
        <f t="shared" si="7"/>
        <v>83.553025662425171</v>
      </c>
      <c r="AT59" s="34">
        <f t="shared" si="8"/>
        <v>83.487117578923801</v>
      </c>
      <c r="AU59" s="34">
        <f t="shared" si="9"/>
        <v>83.446842819839929</v>
      </c>
    </row>
    <row r="60" spans="1:47" s="57" customFormat="1">
      <c r="A60" s="340" t="s">
        <v>478</v>
      </c>
      <c r="B60" s="340"/>
      <c r="C60" s="340"/>
      <c r="D60" s="57" t="s">
        <v>314</v>
      </c>
      <c r="E60" s="57">
        <f>100-E59</f>
        <v>16.342979744901854</v>
      </c>
      <c r="F60" s="57">
        <f t="shared" ref="F60:AM60" si="14">100-F59</f>
        <v>16.343075663986269</v>
      </c>
      <c r="G60" s="57">
        <f t="shared" si="14"/>
        <v>16.341577656558627</v>
      </c>
      <c r="H60" s="57">
        <f t="shared" si="14"/>
        <v>16.333907075486223</v>
      </c>
      <c r="I60" s="57">
        <f t="shared" si="14"/>
        <v>16.334620018004316</v>
      </c>
      <c r="J60" s="57">
        <f t="shared" si="14"/>
        <v>16.34960612542649</v>
      </c>
      <c r="K60" s="57">
        <f t="shared" si="14"/>
        <v>16.349869682905805</v>
      </c>
      <c r="L60" s="57">
        <f t="shared" si="14"/>
        <v>16.349660302240679</v>
      </c>
      <c r="M60" s="57">
        <f t="shared" si="14"/>
        <v>16.35110016672914</v>
      </c>
      <c r="N60" s="57">
        <f t="shared" si="14"/>
        <v>16.352842118661101</v>
      </c>
      <c r="O60" s="57">
        <f t="shared" si="14"/>
        <v>16.352412521562101</v>
      </c>
      <c r="P60" s="57">
        <f t="shared" si="14"/>
        <v>16.386334109048434</v>
      </c>
      <c r="Q60" s="57">
        <f t="shared" si="14"/>
        <v>16.387876324776826</v>
      </c>
      <c r="R60" s="57">
        <f t="shared" si="14"/>
        <v>16.387387400425268</v>
      </c>
      <c r="S60" s="57">
        <f t="shared" si="14"/>
        <v>16.390931895577779</v>
      </c>
      <c r="T60" s="57">
        <f t="shared" si="14"/>
        <v>16.389721562599505</v>
      </c>
      <c r="U60" s="57">
        <f t="shared" si="14"/>
        <v>16.444640551600102</v>
      </c>
      <c r="V60" s="57">
        <f t="shared" si="14"/>
        <v>16.447089844532172</v>
      </c>
      <c r="W60" s="57">
        <f t="shared" si="14"/>
        <v>16.44645903231239</v>
      </c>
      <c r="X60" s="57">
        <f t="shared" si="14"/>
        <v>16.449707921854611</v>
      </c>
      <c r="Y60" s="57">
        <f t="shared" si="14"/>
        <v>16.513053955679879</v>
      </c>
      <c r="Z60" s="57">
        <f t="shared" si="14"/>
        <v>16.512710886472533</v>
      </c>
      <c r="AA60" s="57">
        <f t="shared" si="14"/>
        <v>16.549659340371861</v>
      </c>
      <c r="AB60" s="57">
        <f t="shared" si="14"/>
        <v>16.55148047079966</v>
      </c>
      <c r="AC60" s="57">
        <f t="shared" si="14"/>
        <v>16.552055490087625</v>
      </c>
      <c r="AD60" s="57">
        <f t="shared" si="14"/>
        <v>16.553316778695319</v>
      </c>
      <c r="AE60" s="57">
        <f t="shared" si="14"/>
        <v>16.554521794814107</v>
      </c>
      <c r="AF60" s="57">
        <f t="shared" si="14"/>
        <v>16.555997546141725</v>
      </c>
      <c r="AG60" s="57">
        <f t="shared" si="14"/>
        <v>16.555068840210296</v>
      </c>
      <c r="AH60" s="125">
        <f t="shared" si="14"/>
        <v>16.33671753833265</v>
      </c>
      <c r="AI60" s="125">
        <f t="shared" si="14"/>
        <v>16.322634352913724</v>
      </c>
      <c r="AJ60" s="125">
        <f t="shared" si="14"/>
        <v>16.322165860232346</v>
      </c>
      <c r="AK60" s="125">
        <f t="shared" si="14"/>
        <v>16.323428288205605</v>
      </c>
      <c r="AL60" s="125">
        <f t="shared" si="14"/>
        <v>16.323882339529575</v>
      </c>
      <c r="AM60" s="125">
        <f t="shared" si="14"/>
        <v>16.323504986622723</v>
      </c>
      <c r="AN60" s="125"/>
      <c r="AP60" s="34">
        <f t="shared" si="4"/>
        <v>16.339232031787457</v>
      </c>
      <c r="AQ60" s="34">
        <f t="shared" si="5"/>
        <v>16.350615679192643</v>
      </c>
      <c r="AR60" s="34">
        <f t="shared" si="6"/>
        <v>16.38244396899832</v>
      </c>
      <c r="AS60" s="34">
        <f t="shared" si="7"/>
        <v>16.446974337574819</v>
      </c>
      <c r="AT60" s="34">
        <f t="shared" si="8"/>
        <v>16.512882421076206</v>
      </c>
      <c r="AU60" s="34">
        <f t="shared" si="9"/>
        <v>16.553157180160085</v>
      </c>
    </row>
    <row r="61" spans="1:47">
      <c r="A61" s="343" t="s">
        <v>479</v>
      </c>
      <c r="B61" s="343"/>
      <c r="C61" s="343"/>
      <c r="D61" s="31" t="s">
        <v>12</v>
      </c>
      <c r="E61" s="58">
        <f>(E53/(E55/100))*(E54/100)*(0.0416)*2</f>
        <v>8.1267786843671017E-2</v>
      </c>
      <c r="F61" s="58">
        <f t="shared" ref="F61:AM61" si="15">(F53/(F55/100))*(F54/100)*(0.0416)*2</f>
        <v>8.2786639005162865E-2</v>
      </c>
      <c r="G61" s="58">
        <f t="shared" si="15"/>
        <v>8.2619043084864022E-2</v>
      </c>
      <c r="H61" s="58">
        <f t="shared" si="15"/>
        <v>8.0782679457499465E-2</v>
      </c>
      <c r="I61" s="58">
        <f t="shared" si="15"/>
        <v>8.0325302220868325E-2</v>
      </c>
      <c r="J61" s="58">
        <f t="shared" si="15"/>
        <v>8.2581026221144771E-2</v>
      </c>
      <c r="K61" s="58">
        <f t="shared" si="15"/>
        <v>8.2896834950768411E-2</v>
      </c>
      <c r="L61" s="58">
        <f t="shared" si="15"/>
        <v>8.2937415626783598E-2</v>
      </c>
      <c r="M61" s="58">
        <f t="shared" si="15"/>
        <v>7.9695812901560817E-2</v>
      </c>
      <c r="N61" s="58">
        <f t="shared" si="15"/>
        <v>8.005098877086593E-2</v>
      </c>
      <c r="O61" s="58">
        <f t="shared" si="15"/>
        <v>8.2546358403207801E-2</v>
      </c>
      <c r="P61" s="58">
        <f t="shared" si="15"/>
        <v>7.9734981678703867E-2</v>
      </c>
      <c r="Q61" s="58">
        <f t="shared" si="15"/>
        <v>8.0526035156800985E-2</v>
      </c>
      <c r="R61" s="58">
        <f t="shared" si="15"/>
        <v>8.1290033282997012E-2</v>
      </c>
      <c r="S61" s="58">
        <f t="shared" si="15"/>
        <v>7.7610542681288988E-2</v>
      </c>
      <c r="T61" s="58">
        <f t="shared" si="15"/>
        <v>8.1710165325469888E-2</v>
      </c>
      <c r="U61" s="58">
        <f t="shared" si="15"/>
        <v>7.9849504575982735E-2</v>
      </c>
      <c r="V61" s="58">
        <f t="shared" si="15"/>
        <v>7.8522189276339097E-2</v>
      </c>
      <c r="W61" s="58">
        <f t="shared" si="15"/>
        <v>7.8213618387976733E-2</v>
      </c>
      <c r="X61" s="58">
        <f t="shared" si="15"/>
        <v>7.8508593084657657E-2</v>
      </c>
      <c r="Y61" s="58">
        <f t="shared" si="15"/>
        <v>7.5695212092805386E-2</v>
      </c>
      <c r="Z61" s="58">
        <f t="shared" si="15"/>
        <v>7.5951188136932357E-2</v>
      </c>
      <c r="AA61" s="58">
        <f t="shared" si="15"/>
        <v>7.5315225108880085E-2</v>
      </c>
      <c r="AB61" s="58">
        <f t="shared" si="15"/>
        <v>7.5449562242592055E-2</v>
      </c>
      <c r="AC61" s="58">
        <f t="shared" si="15"/>
        <v>7.3631197055820857E-2</v>
      </c>
      <c r="AD61" s="58">
        <f t="shared" si="15"/>
        <v>7.7041359548829486E-2</v>
      </c>
      <c r="AE61" s="58">
        <f t="shared" si="15"/>
        <v>7.4970959730535955E-2</v>
      </c>
      <c r="AF61" s="58">
        <f t="shared" si="15"/>
        <v>7.3822783546912421E-2</v>
      </c>
      <c r="AG61" s="58">
        <f t="shared" si="15"/>
        <v>7.638964631570104E-2</v>
      </c>
      <c r="AH61" s="129">
        <f t="shared" si="15"/>
        <v>8.2656773117733812E-2</v>
      </c>
      <c r="AI61" s="129">
        <f t="shared" si="15"/>
        <v>8.174179685075697E-2</v>
      </c>
      <c r="AJ61" s="129">
        <f t="shared" si="15"/>
        <v>8.3254680495685782E-2</v>
      </c>
      <c r="AK61" s="129">
        <f t="shared" si="15"/>
        <v>7.8471703836081527E-2</v>
      </c>
      <c r="AL61" s="129">
        <f t="shared" si="15"/>
        <v>8.1185343855762496E-2</v>
      </c>
      <c r="AM61" s="129">
        <f t="shared" si="15"/>
        <v>8.092644434781178E-2</v>
      </c>
      <c r="AN61" s="129"/>
      <c r="AP61" s="34">
        <f t="shared" si="4"/>
        <v>8.1556290122413139E-2</v>
      </c>
      <c r="AQ61" s="34">
        <f t="shared" si="5"/>
        <v>8.1632415694224705E-2</v>
      </c>
      <c r="AR61" s="34">
        <f t="shared" si="6"/>
        <v>8.0569686088078088E-2</v>
      </c>
      <c r="AS61" s="34">
        <f t="shared" si="7"/>
        <v>7.8773476331239045E-2</v>
      </c>
      <c r="AT61" s="34">
        <f t="shared" si="8"/>
        <v>7.5823200114868872E-2</v>
      </c>
      <c r="AU61" s="34">
        <f t="shared" si="9"/>
        <v>7.5231533364181688E-2</v>
      </c>
    </row>
    <row r="62" spans="1:47">
      <c r="A62" s="343" t="s">
        <v>480</v>
      </c>
      <c r="B62" s="343"/>
      <c r="C62" s="343"/>
      <c r="D62" s="31" t="s">
        <v>12</v>
      </c>
      <c r="E62" s="57">
        <f>(E53/(E55/100))*(E56/100)*(0.0416)*(E58)</f>
        <v>2.9649044366642645</v>
      </c>
      <c r="F62" s="57">
        <f t="shared" ref="F62:AM62" si="16">(F53/(F55/100))*(F56/100)*(0.0416)*(F58)</f>
        <v>2.9506936613051034</v>
      </c>
      <c r="G62" s="57">
        <f t="shared" si="16"/>
        <v>2.6832796903042033</v>
      </c>
      <c r="H62" s="57">
        <f t="shared" si="16"/>
        <v>2.9118846117509736</v>
      </c>
      <c r="I62" s="57">
        <f t="shared" si="16"/>
        <v>2.8999926243695535</v>
      </c>
      <c r="J62" s="57">
        <f t="shared" si="16"/>
        <v>2.9612349282216792</v>
      </c>
      <c r="K62" s="57">
        <f t="shared" si="16"/>
        <v>2.9659896595500692</v>
      </c>
      <c r="L62" s="57">
        <f t="shared" si="16"/>
        <v>2.998575239898202</v>
      </c>
      <c r="M62" s="57">
        <f t="shared" si="16"/>
        <v>2.9280678407193665</v>
      </c>
      <c r="N62" s="57">
        <f t="shared" si="16"/>
        <v>2.9453360675092357</v>
      </c>
      <c r="O62" s="57">
        <f t="shared" si="16"/>
        <v>2.9930086321036895</v>
      </c>
      <c r="P62" s="57">
        <f t="shared" si="16"/>
        <v>2.9594248364922562</v>
      </c>
      <c r="Q62" s="57">
        <f t="shared" si="16"/>
        <v>2.934933935552726</v>
      </c>
      <c r="R62" s="57">
        <f t="shared" si="16"/>
        <v>3.0062335522872941</v>
      </c>
      <c r="S62" s="57">
        <f t="shared" si="16"/>
        <v>2.949300690910019</v>
      </c>
      <c r="T62" s="57">
        <f t="shared" si="16"/>
        <v>2.9527770922719299</v>
      </c>
      <c r="U62" s="57">
        <f t="shared" si="16"/>
        <v>3.0568315488520028</v>
      </c>
      <c r="V62" s="57">
        <f t="shared" si="16"/>
        <v>2.9712871181172034</v>
      </c>
      <c r="W62" s="57">
        <f t="shared" si="16"/>
        <v>2.9630789437412526</v>
      </c>
      <c r="X62" s="57">
        <f t="shared" si="16"/>
        <v>3.0140306412426097</v>
      </c>
      <c r="Y62" s="57">
        <f t="shared" si="16"/>
        <v>2.9364462385195398</v>
      </c>
      <c r="Z62" s="57">
        <f t="shared" si="16"/>
        <v>2.92677205982752</v>
      </c>
      <c r="AA62" s="57">
        <f t="shared" si="16"/>
        <v>2.9613295778916608</v>
      </c>
      <c r="AB62" s="57">
        <f t="shared" si="16"/>
        <v>2.9403182750153483</v>
      </c>
      <c r="AC62" s="57">
        <f t="shared" si="16"/>
        <v>2.981763239897163</v>
      </c>
      <c r="AD62" s="57">
        <f t="shared" si="16"/>
        <v>2.9943025412396862</v>
      </c>
      <c r="AE62" s="57">
        <f t="shared" si="16"/>
        <v>2.9872017800574424</v>
      </c>
      <c r="AF62" s="57">
        <f t="shared" si="16"/>
        <v>3.0086570621536599</v>
      </c>
      <c r="AG62" s="57">
        <f t="shared" si="16"/>
        <v>2.9880040541078348</v>
      </c>
      <c r="AH62" s="125">
        <f t="shared" si="16"/>
        <v>3.130070340351069</v>
      </c>
      <c r="AI62" s="125">
        <f t="shared" si="16"/>
        <v>3.0093010962411793</v>
      </c>
      <c r="AJ62" s="125">
        <f t="shared" si="16"/>
        <v>3.0714486650490755</v>
      </c>
      <c r="AK62" s="125">
        <f t="shared" si="16"/>
        <v>3.0198596829660356</v>
      </c>
      <c r="AL62" s="125">
        <f t="shared" si="16"/>
        <v>3.0153552756334485</v>
      </c>
      <c r="AM62" s="125">
        <f t="shared" si="16"/>
        <v>3.0904044556333146</v>
      </c>
      <c r="AN62" s="125"/>
      <c r="AP62" s="34">
        <f t="shared" si="4"/>
        <v>2.8821510048788199</v>
      </c>
      <c r="AQ62" s="34">
        <f t="shared" si="5"/>
        <v>2.9598407471797104</v>
      </c>
      <c r="AR62" s="34">
        <f t="shared" si="6"/>
        <v>2.9659464566029854</v>
      </c>
      <c r="AS62" s="34">
        <f t="shared" si="7"/>
        <v>3.0013070629882668</v>
      </c>
      <c r="AT62" s="34">
        <f t="shared" si="8"/>
        <v>2.9316091491735299</v>
      </c>
      <c r="AU62" s="34">
        <f t="shared" si="9"/>
        <v>2.9802252186232567</v>
      </c>
    </row>
    <row r="63" spans="1:47">
      <c r="A63" s="343" t="s">
        <v>489</v>
      </c>
      <c r="B63" s="343"/>
      <c r="C63" s="343"/>
      <c r="D63" s="31" t="s">
        <v>12</v>
      </c>
      <c r="E63" s="57">
        <f>E62*E59/100</f>
        <v>2.4803507051245273</v>
      </c>
      <c r="F63" s="57">
        <f t="shared" ref="F63:AM63" si="17">F62*F59/100</f>
        <v>2.4684595636255637</v>
      </c>
      <c r="G63" s="57">
        <f t="shared" si="17"/>
        <v>2.244789455970476</v>
      </c>
      <c r="H63" s="57">
        <f t="shared" si="17"/>
        <v>2.4362600851221869</v>
      </c>
      <c r="I63" s="57">
        <f t="shared" si="17"/>
        <v>2.4262898486286359</v>
      </c>
      <c r="J63" s="57">
        <f t="shared" si="17"/>
        <v>2.4770846810088787</v>
      </c>
      <c r="K63" s="57">
        <f t="shared" si="17"/>
        <v>2.4810542154051713</v>
      </c>
      <c r="L63" s="57">
        <f t="shared" si="17"/>
        <v>2.5083183742677475</v>
      </c>
      <c r="M63" s="57">
        <f t="shared" si="17"/>
        <v>2.44929653513356</v>
      </c>
      <c r="N63" s="57">
        <f t="shared" si="17"/>
        <v>2.4636899105254688</v>
      </c>
      <c r="O63" s="57">
        <f t="shared" si="17"/>
        <v>2.5035795137761312</v>
      </c>
      <c r="P63" s="57">
        <f t="shared" si="17"/>
        <v>2.4744835950784747</v>
      </c>
      <c r="Q63" s="57">
        <f t="shared" si="17"/>
        <v>2.4539605919804401</v>
      </c>
      <c r="R63" s="57">
        <f t="shared" si="17"/>
        <v>2.513590413912409</v>
      </c>
      <c r="S63" s="57">
        <f t="shared" si="17"/>
        <v>2.4658828232671528</v>
      </c>
      <c r="T63" s="57">
        <f t="shared" si="17"/>
        <v>2.4688251484843384</v>
      </c>
      <c r="U63" s="57">
        <f t="shared" si="17"/>
        <v>2.5541465883753811</v>
      </c>
      <c r="V63" s="57">
        <f t="shared" si="17"/>
        <v>2.4825968562614564</v>
      </c>
      <c r="W63" s="57">
        <f t="shared" si="17"/>
        <v>2.4757573791637726</v>
      </c>
      <c r="X63" s="57">
        <f t="shared" si="17"/>
        <v>2.5182314040829987</v>
      </c>
      <c r="Y63" s="57">
        <f t="shared" si="17"/>
        <v>2.4515492867732758</v>
      </c>
      <c r="Z63" s="57">
        <f t="shared" si="17"/>
        <v>2.4434826512821446</v>
      </c>
      <c r="AA63" s="57">
        <f t="shared" si="17"/>
        <v>2.4712396208049192</v>
      </c>
      <c r="AB63" s="57">
        <f t="shared" si="17"/>
        <v>2.4536520699468296</v>
      </c>
      <c r="AC63" s="57">
        <f t="shared" si="17"/>
        <v>2.4882201338463501</v>
      </c>
      <c r="AD63" s="57">
        <f t="shared" si="17"/>
        <v>2.4986461562757567</v>
      </c>
      <c r="AE63" s="57">
        <f t="shared" si="17"/>
        <v>2.4926848103227583</v>
      </c>
      <c r="AF63" s="57">
        <f t="shared" si="17"/>
        <v>2.51054387277168</v>
      </c>
      <c r="AG63" s="57">
        <f t="shared" si="17"/>
        <v>2.4933379260020079</v>
      </c>
      <c r="AH63" s="125">
        <f t="shared" si="17"/>
        <v>2.6187195900967875</v>
      </c>
      <c r="AI63" s="125">
        <f t="shared" si="17"/>
        <v>2.5181038817235071</v>
      </c>
      <c r="AJ63" s="125">
        <f t="shared" si="17"/>
        <v>2.5701217196278732</v>
      </c>
      <c r="AK63" s="125">
        <f t="shared" si="17"/>
        <v>2.5269150532126416</v>
      </c>
      <c r="AL63" s="125">
        <f t="shared" si="17"/>
        <v>2.5231322283202466</v>
      </c>
      <c r="AM63" s="125">
        <f t="shared" si="17"/>
        <v>2.5859421302111998</v>
      </c>
      <c r="AN63" s="125"/>
      <c r="AO63" s="57"/>
      <c r="AP63" s="34">
        <f t="shared" si="4"/>
        <v>2.4112299316942782</v>
      </c>
      <c r="AQ63" s="34">
        <f t="shared" si="5"/>
        <v>2.4758887432681655</v>
      </c>
      <c r="AR63" s="34">
        <f t="shared" si="6"/>
        <v>2.4800536810831577</v>
      </c>
      <c r="AS63" s="34">
        <f t="shared" si="7"/>
        <v>2.5076830569709019</v>
      </c>
      <c r="AT63" s="34">
        <f t="shared" si="8"/>
        <v>2.4475159690277102</v>
      </c>
      <c r="AU63" s="34">
        <f t="shared" si="9"/>
        <v>2.4869035128529</v>
      </c>
    </row>
    <row r="64" spans="1:47">
      <c r="A64" s="343" t="s">
        <v>490</v>
      </c>
      <c r="B64" s="343"/>
      <c r="C64" s="343"/>
      <c r="D64" s="31" t="s">
        <v>12</v>
      </c>
      <c r="E64" s="57">
        <f>E63/($E$2/100)</f>
        <v>2.9642687838935933</v>
      </c>
      <c r="F64" s="57">
        <f t="shared" ref="F64:AM64" si="18">F63/($E$2/100)</f>
        <v>2.9500576727481356</v>
      </c>
      <c r="G64" s="57">
        <f t="shared" si="18"/>
        <v>2.6827493777387774</v>
      </c>
      <c r="H64" s="57">
        <f t="shared" si="18"/>
        <v>2.9115760544882612</v>
      </c>
      <c r="I64" s="57">
        <f t="shared" si="18"/>
        <v>2.8996606181974136</v>
      </c>
      <c r="J64" s="57">
        <f t="shared" si="18"/>
        <v>2.9603655562921665</v>
      </c>
      <c r="K64" s="57">
        <f t="shared" si="18"/>
        <v>2.9651095494997444</v>
      </c>
      <c r="L64" s="57">
        <f t="shared" si="18"/>
        <v>2.9976929639614478</v>
      </c>
      <c r="M64" s="57">
        <f t="shared" si="18"/>
        <v>2.9271559246016539</v>
      </c>
      <c r="N64" s="57">
        <f t="shared" si="18"/>
        <v>2.9443574571433819</v>
      </c>
      <c r="O64" s="57">
        <f t="shared" si="18"/>
        <v>2.9920295486236479</v>
      </c>
      <c r="P64" s="57">
        <f t="shared" si="18"/>
        <v>2.9572569967599232</v>
      </c>
      <c r="Q64" s="57">
        <f t="shared" si="18"/>
        <v>2.932729942053681</v>
      </c>
      <c r="R64" s="57">
        <f t="shared" si="18"/>
        <v>3.0039935820610704</v>
      </c>
      <c r="S64" s="57">
        <f t="shared" si="18"/>
        <v>2.9469782086252372</v>
      </c>
      <c r="T64" s="57">
        <f t="shared" si="18"/>
        <v>2.9504945834569685</v>
      </c>
      <c r="U64" s="57">
        <f t="shared" si="18"/>
        <v>3.052462293242256</v>
      </c>
      <c r="V64" s="57">
        <f t="shared" si="18"/>
        <v>2.9669531606171549</v>
      </c>
      <c r="W64" s="57">
        <f t="shared" si="18"/>
        <v>2.9587792969708038</v>
      </c>
      <c r="X64" s="57">
        <f t="shared" si="18"/>
        <v>3.0095400325128607</v>
      </c>
      <c r="Y64" s="57">
        <f t="shared" si="18"/>
        <v>2.9298481895905031</v>
      </c>
      <c r="Z64" s="57">
        <f t="shared" si="18"/>
        <v>2.920207748128735</v>
      </c>
      <c r="AA64" s="57">
        <f t="shared" si="18"/>
        <v>2.9533801209395047</v>
      </c>
      <c r="AB64" s="57">
        <f t="shared" si="18"/>
        <v>2.9323612271653041</v>
      </c>
      <c r="AC64" s="57">
        <f t="shared" si="18"/>
        <v>2.9736735434136805</v>
      </c>
      <c r="AD64" s="57">
        <f t="shared" si="18"/>
        <v>2.98613368978081</v>
      </c>
      <c r="AE64" s="57">
        <f t="shared" si="18"/>
        <v>2.979009281251825</v>
      </c>
      <c r="AF64" s="57">
        <f t="shared" si="18"/>
        <v>3.0003526587095246</v>
      </c>
      <c r="AG64" s="57">
        <f t="shared" si="18"/>
        <v>2.9797898202361996</v>
      </c>
      <c r="AH64" s="125">
        <f t="shared" si="18"/>
        <v>3.1296335307167009</v>
      </c>
      <c r="AI64" s="125">
        <f t="shared" si="18"/>
        <v>3.009387630455882</v>
      </c>
      <c r="AJ64" s="125">
        <f t="shared" si="18"/>
        <v>3.0715541832691495</v>
      </c>
      <c r="AK64" s="125">
        <f t="shared" si="18"/>
        <v>3.0199178673860114</v>
      </c>
      <c r="AL64" s="125">
        <f t="shared" si="18"/>
        <v>3.0153970108312125</v>
      </c>
      <c r="AM64" s="125">
        <f t="shared" si="18"/>
        <v>3.090461166521012</v>
      </c>
      <c r="AN64" s="125"/>
      <c r="AP64" s="34">
        <f t="shared" si="4"/>
        <v>2.8816625014132362</v>
      </c>
      <c r="AQ64" s="34">
        <f t="shared" si="5"/>
        <v>2.958936290299679</v>
      </c>
      <c r="AR64" s="34">
        <f t="shared" si="6"/>
        <v>2.963913810263421</v>
      </c>
      <c r="AS64" s="34">
        <f t="shared" si="7"/>
        <v>2.9969336958357689</v>
      </c>
      <c r="AT64" s="34">
        <f t="shared" si="8"/>
        <v>2.9250279688596192</v>
      </c>
      <c r="AU64" s="34">
        <f t="shared" si="9"/>
        <v>2.972100048785264</v>
      </c>
    </row>
    <row r="65" spans="1:51">
      <c r="B65" s="61"/>
      <c r="C65" s="61" t="s">
        <v>491</v>
      </c>
      <c r="D65" s="31" t="s">
        <v>482</v>
      </c>
      <c r="E65" s="57">
        <f>(E56*E58)/(E54*2)</f>
        <v>36.483144820562629</v>
      </c>
      <c r="F65" s="57">
        <f t="shared" ref="F65:AM65" si="19">(F56*F58)/(F54*2)</f>
        <v>35.642148259226808</v>
      </c>
      <c r="G65" s="57">
        <f t="shared" si="19"/>
        <v>32.477738667924442</v>
      </c>
      <c r="H65" s="57">
        <f t="shared" si="19"/>
        <v>36.045902801267488</v>
      </c>
      <c r="I65" s="57">
        <f t="shared" si="19"/>
        <v>36.103102561575447</v>
      </c>
      <c r="J65" s="57">
        <f t="shared" si="19"/>
        <v>35.858538743412453</v>
      </c>
      <c r="K65" s="57">
        <f t="shared" si="19"/>
        <v>35.779287126119357</v>
      </c>
      <c r="L65" s="57">
        <f t="shared" si="19"/>
        <v>36.154674187000474</v>
      </c>
      <c r="M65" s="57">
        <f t="shared" si="19"/>
        <v>36.740548017699197</v>
      </c>
      <c r="N65" s="57">
        <f t="shared" si="19"/>
        <v>36.79325031124629</v>
      </c>
      <c r="O65" s="57">
        <f t="shared" si="19"/>
        <v>36.25851812243458</v>
      </c>
      <c r="P65" s="57">
        <f t="shared" si="19"/>
        <v>37.115764927587335</v>
      </c>
      <c r="Q65" s="57">
        <f t="shared" si="19"/>
        <v>36.447019027297166</v>
      </c>
      <c r="R65" s="57">
        <f t="shared" si="19"/>
        <v>36.981576103205896</v>
      </c>
      <c r="S65" s="57">
        <f t="shared" si="19"/>
        <v>38.001289374066722</v>
      </c>
      <c r="T65" s="57">
        <f t="shared" si="19"/>
        <v>36.137206191057828</v>
      </c>
      <c r="U65" s="57">
        <f t="shared" si="19"/>
        <v>38.282410956516337</v>
      </c>
      <c r="V65" s="57">
        <f t="shared" si="19"/>
        <v>37.840095207489775</v>
      </c>
      <c r="W65" s="57">
        <f t="shared" si="19"/>
        <v>37.884437580204676</v>
      </c>
      <c r="X65" s="57">
        <f t="shared" si="19"/>
        <v>38.391092271804055</v>
      </c>
      <c r="Y65" s="57">
        <f t="shared" si="19"/>
        <v>38.793024781003822</v>
      </c>
      <c r="Z65" s="57">
        <f t="shared" si="19"/>
        <v>38.534908164317905</v>
      </c>
      <c r="AA65" s="57">
        <f t="shared" si="19"/>
        <v>39.319135986257621</v>
      </c>
      <c r="AB65" s="57">
        <f t="shared" si="19"/>
        <v>38.97064724592277</v>
      </c>
      <c r="AC65" s="57">
        <f t="shared" si="19"/>
        <v>40.495922368838386</v>
      </c>
      <c r="AD65" s="57">
        <f t="shared" si="19"/>
        <v>38.866169532507676</v>
      </c>
      <c r="AE65" s="57">
        <f t="shared" si="19"/>
        <v>39.844785111384176</v>
      </c>
      <c r="AF65" s="57">
        <f t="shared" si="19"/>
        <v>40.755128939858217</v>
      </c>
      <c r="AG65" s="57">
        <f t="shared" si="19"/>
        <v>39.115301591515333</v>
      </c>
      <c r="AH65" s="125">
        <f t="shared" si="19"/>
        <v>37.868286194679911</v>
      </c>
      <c r="AI65" s="125">
        <f t="shared" si="19"/>
        <v>36.814716732194171</v>
      </c>
      <c r="AJ65" s="125">
        <f t="shared" si="19"/>
        <v>36.892204099062468</v>
      </c>
      <c r="AK65" s="125">
        <f t="shared" si="19"/>
        <v>38.483421862155289</v>
      </c>
      <c r="AL65" s="125">
        <f t="shared" si="19"/>
        <v>37.141621041732151</v>
      </c>
      <c r="AM65" s="125">
        <f t="shared" si="19"/>
        <v>38.1878195754053</v>
      </c>
      <c r="AN65" s="125"/>
      <c r="AP65" s="34">
        <f t="shared" si="4"/>
        <v>35.35040742211136</v>
      </c>
      <c r="AQ65" s="34">
        <f t="shared" si="5"/>
        <v>36.265259677095557</v>
      </c>
      <c r="AR65" s="34">
        <f t="shared" si="6"/>
        <v>36.823562290941588</v>
      </c>
      <c r="AS65" s="34">
        <f t="shared" si="7"/>
        <v>38.099509004003707</v>
      </c>
      <c r="AT65" s="34">
        <f t="shared" si="8"/>
        <v>38.66396647266086</v>
      </c>
      <c r="AU65" s="34">
        <f t="shared" si="9"/>
        <v>39.623870110897734</v>
      </c>
      <c r="AW65" s="1" t="s">
        <v>511</v>
      </c>
      <c r="AX65" s="57">
        <f>_xlfn.STDEV.S(E65:AN65)</f>
        <v>1.6218663068765367</v>
      </c>
      <c r="AY65" s="1" t="s">
        <v>512</v>
      </c>
    </row>
    <row r="66" spans="1:51" s="74" customFormat="1">
      <c r="A66" s="76"/>
      <c r="B66" s="76"/>
      <c r="C66" s="76" t="s">
        <v>256</v>
      </c>
      <c r="D66" s="81" t="s">
        <v>112</v>
      </c>
      <c r="E66" s="73" cm="1">
        <f t="array" ref="E66:AM66">TRANSPOSE(_xlfn._xlws.FILTER('Raw Data'!AO3:AO305,('Raw Data'!C3:C305=6)*('Raw Data'!AO3:AO305&lt;&gt;"")))</f>
        <v>28.051004410000001</v>
      </c>
      <c r="F66" s="73">
        <v>27.970733642999999</v>
      </c>
      <c r="G66" s="73">
        <v>27.690372467</v>
      </c>
      <c r="H66" s="73">
        <v>26.878149033</v>
      </c>
      <c r="I66" s="73">
        <v>26.979841231999998</v>
      </c>
      <c r="J66" s="73">
        <v>31.029445647999999</v>
      </c>
      <c r="K66" s="73">
        <v>31.033775330000001</v>
      </c>
      <c r="L66" s="73">
        <v>30.978248596</v>
      </c>
      <c r="M66" s="73">
        <v>31.172815322999998</v>
      </c>
      <c r="N66" s="73">
        <v>31.355726241999999</v>
      </c>
      <c r="O66" s="73">
        <v>31.237588882000001</v>
      </c>
      <c r="P66" s="73">
        <v>39.776481627999999</v>
      </c>
      <c r="Q66" s="73">
        <v>39.887512207</v>
      </c>
      <c r="R66" s="73">
        <v>39.624305724999999</v>
      </c>
      <c r="S66" s="73">
        <v>40.13343811</v>
      </c>
      <c r="T66" s="73">
        <v>39.621273041000002</v>
      </c>
      <c r="U66" s="73">
        <v>52.735004425</v>
      </c>
      <c r="V66" s="73">
        <v>53.058952331999997</v>
      </c>
      <c r="W66" s="73">
        <v>52.676528931</v>
      </c>
      <c r="X66" s="73">
        <v>53.183769226000003</v>
      </c>
      <c r="Y66" s="73">
        <v>66.521041870000005</v>
      </c>
      <c r="Z66" s="73">
        <v>66.264511107999994</v>
      </c>
      <c r="AA66" s="73">
        <v>72.240455627000003</v>
      </c>
      <c r="AB66" s="73">
        <v>72.104095459000007</v>
      </c>
      <c r="AC66" s="73">
        <v>72.114891052000004</v>
      </c>
      <c r="AD66" s="73">
        <v>72.033920288000004</v>
      </c>
      <c r="AE66" s="73">
        <v>72.020469665999997</v>
      </c>
      <c r="AF66" s="73">
        <v>72.208419800000001</v>
      </c>
      <c r="AG66" s="73">
        <v>71.926048279</v>
      </c>
      <c r="AH66" s="130">
        <v>24.216629028</v>
      </c>
      <c r="AI66" s="130">
        <v>24.046730041</v>
      </c>
      <c r="AJ66" s="130">
        <v>23.994028091000001</v>
      </c>
      <c r="AK66" s="130">
        <v>24.128519057999998</v>
      </c>
      <c r="AL66" s="130">
        <v>24.163009643999999</v>
      </c>
      <c r="AM66" s="130">
        <v>24.131862640000001</v>
      </c>
      <c r="AN66" s="130"/>
      <c r="AO66" s="73"/>
      <c r="AP66" s="34">
        <f>AVERAGE(E66:I66)</f>
        <v>27.514020156999997</v>
      </c>
      <c r="AQ66" s="34">
        <f>AVERAGE(J66:N66)</f>
        <v>31.1140022278</v>
      </c>
      <c r="AR66" s="34">
        <f>AVERAGE(O66:T66)</f>
        <v>38.380099932166665</v>
      </c>
      <c r="AS66" s="34">
        <f>AVERAGE(U66:X66)</f>
        <v>52.913563728500002</v>
      </c>
      <c r="AT66" s="34">
        <f>AVERAGE(Y66:Z66)</f>
        <v>66.392776488999999</v>
      </c>
      <c r="AU66" s="34">
        <f>AVERAGE(AA66:AG66)</f>
        <v>72.092614310142864</v>
      </c>
    </row>
    <row r="67" spans="1:51" s="137" customFormat="1">
      <c r="A67" s="135"/>
      <c r="B67" s="135"/>
      <c r="C67" s="135"/>
      <c r="D67" s="136"/>
      <c r="E67" s="138"/>
      <c r="F67" s="136"/>
      <c r="G67" s="136"/>
      <c r="H67" s="136"/>
      <c r="I67" s="136"/>
      <c r="J67" s="136"/>
      <c r="K67" s="136"/>
      <c r="AJ67" s="136"/>
      <c r="AK67" s="136"/>
      <c r="AL67" s="136"/>
      <c r="AM67" s="136"/>
      <c r="AN67" s="136"/>
      <c r="AO67" s="136"/>
      <c r="AP67" s="136"/>
      <c r="AQ67" s="136"/>
      <c r="AR67" s="136"/>
      <c r="AS67" s="136"/>
    </row>
    <row r="68" spans="1:51" s="31" customFormat="1">
      <c r="A68" s="61" t="s">
        <v>264</v>
      </c>
      <c r="B68" s="31">
        <v>3</v>
      </c>
      <c r="C68" s="61" t="s">
        <v>461</v>
      </c>
      <c r="D68" s="31" t="s">
        <v>314</v>
      </c>
      <c r="E68" s="34" cm="1">
        <f t="array" ref="E68:AM68">TRANSPOSE(_xlfn._xlws.FILTER('Raw Data'!DQ3:DQ307,('Raw Data'!C3:C307=6)*('Raw Data'!DQ3:DQ307&lt;&gt;"")))</f>
        <v>7.1562312500000003E-2</v>
      </c>
      <c r="F68" s="34">
        <v>7.2466611900000005E-2</v>
      </c>
      <c r="G68" s="34">
        <v>6.1921164399999999E-2</v>
      </c>
      <c r="H68" s="34">
        <v>7.6226607000000002E-2</v>
      </c>
      <c r="I68" s="34">
        <v>8.19444805E-2</v>
      </c>
      <c r="J68" s="34">
        <v>0.2545450628</v>
      </c>
      <c r="K68" s="34">
        <v>0.26347076889999999</v>
      </c>
      <c r="L68" s="34">
        <v>0.256398499</v>
      </c>
      <c r="M68" s="34">
        <v>0.27654850479999998</v>
      </c>
      <c r="N68" s="34">
        <v>0.29175189140000002</v>
      </c>
      <c r="O68" s="34">
        <v>0.29468592999999998</v>
      </c>
      <c r="P68" s="34">
        <v>0.80778992179999998</v>
      </c>
      <c r="Q68" s="34">
        <v>0.83347380159999995</v>
      </c>
      <c r="R68" s="34">
        <v>0.83155518770000003</v>
      </c>
      <c r="S68" s="34">
        <v>0.88965904709999999</v>
      </c>
      <c r="T68" s="34">
        <v>0.87107813359999997</v>
      </c>
      <c r="U68" s="34">
        <v>1.9037638903</v>
      </c>
      <c r="V68" s="34">
        <v>1.9553986788</v>
      </c>
      <c r="W68" s="34">
        <v>1.9430106878</v>
      </c>
      <c r="X68" s="34">
        <v>2.0153961182</v>
      </c>
      <c r="Y68" s="34">
        <v>3.3878850937</v>
      </c>
      <c r="Z68" s="34">
        <v>3.3781020641000001</v>
      </c>
      <c r="AA68" s="34">
        <v>4.1948833466000002</v>
      </c>
      <c r="AB68" s="34">
        <v>4.2295303344999997</v>
      </c>
      <c r="AC68" s="34">
        <v>4.2357048987999999</v>
      </c>
      <c r="AD68" s="34">
        <v>4.2581272124999998</v>
      </c>
      <c r="AE68" s="34">
        <v>4.2799153327999999</v>
      </c>
      <c r="AF68" s="34">
        <v>4.3085045815000003</v>
      </c>
      <c r="AG68" s="34">
        <v>4.2897000312999998</v>
      </c>
      <c r="AH68" s="128">
        <v>2.1218455E-3</v>
      </c>
      <c r="AI68" s="128">
        <v>4.4130905999999999E-3</v>
      </c>
      <c r="AJ68" s="128">
        <v>3.5874295999999998E-3</v>
      </c>
      <c r="AK68" s="128">
        <v>6.8189543999999996E-3</v>
      </c>
      <c r="AL68" s="128">
        <v>6.4588357000000002E-3</v>
      </c>
      <c r="AM68" s="128">
        <v>6.3919323E-3</v>
      </c>
      <c r="AN68" s="128"/>
      <c r="AP68" s="34">
        <f>AVERAGE(E68:I68)</f>
        <v>7.2824235260000009E-2</v>
      </c>
      <c r="AQ68" s="34">
        <f>AVERAGE(J68:N68)</f>
        <v>0.26854294538000001</v>
      </c>
      <c r="AR68" s="34">
        <f>AVERAGE(O68:T68)</f>
        <v>0.75470700363333332</v>
      </c>
      <c r="AS68" s="34">
        <f>AVERAGE(U68:X68)</f>
        <v>1.9543923437749999</v>
      </c>
      <c r="AT68" s="34">
        <f>AVERAGE(Y68:Z68)</f>
        <v>3.3829935788999999</v>
      </c>
      <c r="AU68" s="34">
        <f>AVERAGE(AA68:AG68)</f>
        <v>4.256623676857143</v>
      </c>
    </row>
    <row r="69" spans="1:51" s="31" customFormat="1">
      <c r="A69" s="66" t="s">
        <v>265</v>
      </c>
      <c r="B69" s="31">
        <v>4</v>
      </c>
      <c r="C69" s="61" t="s">
        <v>462</v>
      </c>
      <c r="D69" s="31" t="s">
        <v>314</v>
      </c>
      <c r="E69" s="34" cm="1">
        <f t="array" ref="E69:AM69">TRANSPOSE(_xlfn._xlws.FILTER('Raw Data'!DR3:DR308,('Raw Data'!C3:C308=6)*('Raw Data'!DR3:DR308&lt;&gt;"")))</f>
        <v>0.23344986140000001</v>
      </c>
      <c r="F69" s="34">
        <v>0.2274435461</v>
      </c>
      <c r="G69" s="34">
        <v>0.2019990981</v>
      </c>
      <c r="H69" s="34">
        <v>0.2549954653</v>
      </c>
      <c r="I69" s="34">
        <v>0.27230045200000003</v>
      </c>
      <c r="J69" s="34">
        <v>0.75866687300000002</v>
      </c>
      <c r="K69" s="34">
        <v>0.78518104550000001</v>
      </c>
      <c r="L69" s="34">
        <v>0.76493459939999997</v>
      </c>
      <c r="M69" s="34">
        <v>0.8158324361</v>
      </c>
      <c r="N69" s="34">
        <v>0.85740357639999998</v>
      </c>
      <c r="O69" s="34">
        <v>0.85920917990000001</v>
      </c>
      <c r="P69" s="34">
        <v>2.0464982986</v>
      </c>
      <c r="Q69" s="34">
        <v>2.0986185073999999</v>
      </c>
      <c r="R69" s="34">
        <v>2.0926728249000002</v>
      </c>
      <c r="S69" s="34">
        <v>2.2251384258</v>
      </c>
      <c r="T69" s="34">
        <v>2.1866383552999999</v>
      </c>
      <c r="U69" s="34">
        <v>4.0560202599000004</v>
      </c>
      <c r="V69" s="34">
        <v>4.1335296631</v>
      </c>
      <c r="W69" s="34">
        <v>4.1158580779999996</v>
      </c>
      <c r="X69" s="34">
        <v>4.2365026474</v>
      </c>
      <c r="Y69" s="34">
        <v>6.2446665764000002</v>
      </c>
      <c r="Z69" s="34">
        <v>6.2304863929999996</v>
      </c>
      <c r="AA69" s="34">
        <v>7.4739112853999998</v>
      </c>
      <c r="AB69" s="34">
        <v>7.5688109397999996</v>
      </c>
      <c r="AC69" s="34">
        <v>7.5789222716999998</v>
      </c>
      <c r="AD69" s="34">
        <v>7.6346483231000004</v>
      </c>
      <c r="AE69" s="34">
        <v>7.684305191</v>
      </c>
      <c r="AF69" s="34">
        <v>7.7444043158999998</v>
      </c>
      <c r="AG69" s="34">
        <v>7.6960377693000002</v>
      </c>
      <c r="AH69" s="128">
        <v>5.6295395E-3</v>
      </c>
      <c r="AI69" s="128">
        <v>1.6280865299999999E-2</v>
      </c>
      <c r="AJ69" s="128">
        <v>1.2524256500000001E-2</v>
      </c>
      <c r="AK69" s="128">
        <v>2.5557022499999998E-2</v>
      </c>
      <c r="AL69" s="128">
        <v>2.69004181E-2</v>
      </c>
      <c r="AM69" s="128">
        <v>2.65410729E-2</v>
      </c>
      <c r="AN69" s="128"/>
      <c r="AP69" s="34">
        <f t="shared" ref="AP69:AP86" si="20">AVERAGE(E69:I69)</f>
        <v>0.23803768458000002</v>
      </c>
      <c r="AQ69" s="34">
        <f t="shared" ref="AQ69:AQ86" si="21">AVERAGE(J69:N69)</f>
        <v>0.79640370608</v>
      </c>
      <c r="AR69" s="34">
        <f t="shared" ref="AR69:AR86" si="22">AVERAGE(O69:T69)</f>
        <v>1.9181292653166666</v>
      </c>
      <c r="AS69" s="34">
        <f t="shared" ref="AS69:AS86" si="23">AVERAGE(U69:X69)</f>
        <v>4.1354776620999996</v>
      </c>
      <c r="AT69" s="34">
        <f t="shared" ref="AT69:AT86" si="24">AVERAGE(Y69:Z69)</f>
        <v>6.2375764846999999</v>
      </c>
      <c r="AU69" s="34">
        <f t="shared" ref="AU69:AU86" si="25">AVERAGE(AA69:AG69)</f>
        <v>7.6258628708857135</v>
      </c>
    </row>
    <row r="70" spans="1:51" s="31" customFormat="1">
      <c r="A70" s="66" t="s">
        <v>266</v>
      </c>
      <c r="B70" s="31">
        <v>4</v>
      </c>
      <c r="C70" s="61" t="s">
        <v>461</v>
      </c>
      <c r="D70" s="31" t="s">
        <v>314</v>
      </c>
      <c r="E70" s="34" cm="1">
        <f t="array" ref="E70:AM70">TRANSPOSE(_xlfn._xlws.FILTER('Raw Data'!DS3:DS309,('Raw Data'!C3:C309=6)*('Raw Data'!DS3:DS309&lt;&gt;"")))</f>
        <v>4.9590967600000001E-2</v>
      </c>
      <c r="F70" s="34">
        <v>4.4788029E-2</v>
      </c>
      <c r="G70" s="34">
        <v>4.3932057900000002E-2</v>
      </c>
      <c r="H70" s="34">
        <v>5.2544966300000003E-2</v>
      </c>
      <c r="I70" s="34">
        <v>5.5450800799999998E-2</v>
      </c>
      <c r="J70" s="34">
        <v>0.15815576910000001</v>
      </c>
      <c r="K70" s="34">
        <v>0.16414099930000001</v>
      </c>
      <c r="L70" s="34">
        <v>0.1607123315</v>
      </c>
      <c r="M70" s="34">
        <v>0.1684338152</v>
      </c>
      <c r="N70" s="34">
        <v>0.17658254500000001</v>
      </c>
      <c r="O70" s="34">
        <v>0.1760258079</v>
      </c>
      <c r="P70" s="34">
        <v>0.40918222069999999</v>
      </c>
      <c r="Q70" s="34">
        <v>0.41643053289999998</v>
      </c>
      <c r="R70" s="34">
        <v>0.4144332409</v>
      </c>
      <c r="S70" s="34">
        <v>0.43670105930000003</v>
      </c>
      <c r="T70" s="34">
        <v>0.43171003460000001</v>
      </c>
      <c r="U70" s="34">
        <v>0.70997881890000003</v>
      </c>
      <c r="V70" s="34">
        <v>0.71984851360000002</v>
      </c>
      <c r="W70" s="34">
        <v>0.71280807260000001</v>
      </c>
      <c r="X70" s="34">
        <v>0.72651648520000001</v>
      </c>
      <c r="Y70" s="34">
        <v>0.90643298630000002</v>
      </c>
      <c r="Z70" s="34">
        <v>0.90337836739999999</v>
      </c>
      <c r="AA70" s="34">
        <v>0.9729323983</v>
      </c>
      <c r="AB70" s="34">
        <v>0.98911154270000001</v>
      </c>
      <c r="AC70" s="34">
        <v>0.98117500540000002</v>
      </c>
      <c r="AD70" s="34">
        <v>0.99324089289999995</v>
      </c>
      <c r="AE70" s="34">
        <v>0.99559533600000005</v>
      </c>
      <c r="AF70" s="34">
        <v>1.0002509356</v>
      </c>
      <c r="AG70" s="34">
        <v>0.99475944039999997</v>
      </c>
      <c r="AH70" s="128">
        <v>1.0290245999999999E-3</v>
      </c>
      <c r="AI70" s="128">
        <v>2.9332010999999999E-3</v>
      </c>
      <c r="AJ70" s="128">
        <v>2.1727131999999998E-3</v>
      </c>
      <c r="AK70" s="128">
        <v>4.2964424999999999E-3</v>
      </c>
      <c r="AL70" s="128">
        <v>4.8284697999999996E-3</v>
      </c>
      <c r="AM70" s="128">
        <v>4.5703923999999996E-3</v>
      </c>
      <c r="AN70" s="128"/>
      <c r="AP70" s="34">
        <f t="shared" si="20"/>
        <v>4.9261364320000001E-2</v>
      </c>
      <c r="AQ70" s="34">
        <f t="shared" si="21"/>
        <v>0.16560509202000001</v>
      </c>
      <c r="AR70" s="34">
        <f t="shared" si="22"/>
        <v>0.38074714938333337</v>
      </c>
      <c r="AS70" s="34">
        <f t="shared" si="23"/>
        <v>0.71728797257499999</v>
      </c>
      <c r="AT70" s="34">
        <f t="shared" si="24"/>
        <v>0.90490567685000001</v>
      </c>
      <c r="AU70" s="34">
        <f t="shared" si="25"/>
        <v>0.98958079304285729</v>
      </c>
    </row>
    <row r="71" spans="1:51" s="31" customFormat="1">
      <c r="A71" s="66" t="s">
        <v>267</v>
      </c>
      <c r="B71" s="31">
        <v>5</v>
      </c>
      <c r="C71" s="61" t="s">
        <v>462</v>
      </c>
      <c r="D71" s="31" t="s">
        <v>314</v>
      </c>
      <c r="E71" s="34" cm="1">
        <f t="array" ref="E71:AM71">TRANSPOSE(_xlfn._xlws.FILTER('Raw Data'!DT3:DT310,('Raw Data'!C3:C310=6)*('Raw Data'!DT3:DT310&lt;&gt;"")))</f>
        <v>9.5978625100000006E-2</v>
      </c>
      <c r="F71" s="34">
        <v>7.6915562199999996E-2</v>
      </c>
      <c r="G71" s="34">
        <v>8.1824302700000004E-2</v>
      </c>
      <c r="H71" s="34">
        <v>7.1090623699999994E-2</v>
      </c>
      <c r="I71" s="34">
        <v>7.5765617199999996E-2</v>
      </c>
      <c r="J71" s="34">
        <v>0.20833325389999999</v>
      </c>
      <c r="K71" s="34">
        <v>0.21385696530000001</v>
      </c>
      <c r="L71" s="34">
        <v>0.2090827972</v>
      </c>
      <c r="M71" s="34">
        <v>0.22048725189999999</v>
      </c>
      <c r="N71" s="34">
        <v>0.2292224169</v>
      </c>
      <c r="O71" s="34">
        <v>0.22882747649999999</v>
      </c>
      <c r="P71" s="34">
        <v>0.51041805740000001</v>
      </c>
      <c r="Q71" s="34">
        <v>0.51809287069999999</v>
      </c>
      <c r="R71" s="34">
        <v>0.51729917530000002</v>
      </c>
      <c r="S71" s="34">
        <v>0.54397088289999995</v>
      </c>
      <c r="T71" s="34">
        <v>0.53488665820000003</v>
      </c>
      <c r="U71" s="34">
        <v>0.85062980649999997</v>
      </c>
      <c r="V71" s="34">
        <v>0.85676497220000003</v>
      </c>
      <c r="W71" s="34">
        <v>0.85323196649999999</v>
      </c>
      <c r="X71" s="34">
        <v>0.86835116150000002</v>
      </c>
      <c r="Y71" s="34">
        <v>1.0467716455</v>
      </c>
      <c r="Z71" s="34">
        <v>1.0451500415999999</v>
      </c>
      <c r="AA71" s="34">
        <v>1.1887885332000001</v>
      </c>
      <c r="AB71" s="34">
        <v>1.2193834781999999</v>
      </c>
      <c r="AC71" s="34">
        <v>1.2242534161</v>
      </c>
      <c r="AD71" s="34">
        <v>1.2401607037</v>
      </c>
      <c r="AE71" s="34">
        <v>1.2608847618000001</v>
      </c>
      <c r="AF71" s="34">
        <v>1.2802642583999999</v>
      </c>
      <c r="AG71" s="34">
        <v>1.2662280798000001</v>
      </c>
      <c r="AH71" s="128">
        <v>2.5359305999999998E-3</v>
      </c>
      <c r="AI71" s="128">
        <v>4.4243112000000003E-3</v>
      </c>
      <c r="AJ71" s="128">
        <v>3.7470032000000001E-3</v>
      </c>
      <c r="AK71" s="128">
        <v>7.0525290999999997E-3</v>
      </c>
      <c r="AL71" s="128">
        <v>7.2745689999999998E-3</v>
      </c>
      <c r="AM71" s="128">
        <v>7.2117806000000003E-3</v>
      </c>
      <c r="AN71" s="128"/>
      <c r="AP71" s="34">
        <f t="shared" si="20"/>
        <v>8.0314946179999985E-2</v>
      </c>
      <c r="AQ71" s="34">
        <f t="shared" si="21"/>
        <v>0.21619653704</v>
      </c>
      <c r="AR71" s="34">
        <f t="shared" si="22"/>
        <v>0.47558252016666663</v>
      </c>
      <c r="AS71" s="34">
        <f t="shared" si="23"/>
        <v>0.85724447667500003</v>
      </c>
      <c r="AT71" s="34">
        <f t="shared" si="24"/>
        <v>1.0459608435500001</v>
      </c>
      <c r="AU71" s="34">
        <f t="shared" si="25"/>
        <v>1.2399947473142858</v>
      </c>
    </row>
    <row r="72" spans="1:51" s="31" customFormat="1">
      <c r="A72" s="66" t="s">
        <v>268</v>
      </c>
      <c r="B72" s="31">
        <v>5</v>
      </c>
      <c r="C72" s="61" t="s">
        <v>461</v>
      </c>
      <c r="D72" s="31" t="s">
        <v>314</v>
      </c>
      <c r="E72" s="34" cm="1">
        <f t="array" ref="E72:AM72">TRANSPOSE(_xlfn._xlws.FILTER('Raw Data'!DU3:DU311,('Raw Data'!C3:C311=6)*('Raw Data'!DU3:DU311&lt;&gt;"")))</f>
        <v>2.3710429700000001E-2</v>
      </c>
      <c r="F72" s="34">
        <v>1.1737777899999999E-2</v>
      </c>
      <c r="G72" s="34">
        <v>2.0259085999999999E-2</v>
      </c>
      <c r="H72" s="34">
        <v>4.9217897E-3</v>
      </c>
      <c r="I72" s="34">
        <v>4.7903750000000004E-3</v>
      </c>
      <c r="J72" s="34">
        <v>1.2572738300000001E-2</v>
      </c>
      <c r="K72" s="34">
        <v>1.2730740000000001E-2</v>
      </c>
      <c r="L72" s="34">
        <v>1.2447379499999999E-2</v>
      </c>
      <c r="M72" s="34">
        <v>1.36296814E-2</v>
      </c>
      <c r="N72" s="34">
        <v>1.4318440999999999E-2</v>
      </c>
      <c r="O72" s="34">
        <v>1.4802899200000001E-2</v>
      </c>
      <c r="P72" s="34">
        <v>4.1287884099999998E-2</v>
      </c>
      <c r="Q72" s="34">
        <v>4.3237589299999997E-2</v>
      </c>
      <c r="R72" s="34">
        <v>4.3242104400000002E-2</v>
      </c>
      <c r="S72" s="34">
        <v>4.6785838900000001E-2</v>
      </c>
      <c r="T72" s="34">
        <v>4.6623092099999999E-2</v>
      </c>
      <c r="U72" s="34">
        <v>0.1142185107</v>
      </c>
      <c r="V72" s="34">
        <v>0.1182379499</v>
      </c>
      <c r="W72" s="34">
        <v>0.11878597740000001</v>
      </c>
      <c r="X72" s="34">
        <v>0.1240087822</v>
      </c>
      <c r="Y72" s="34">
        <v>0.24057419599999999</v>
      </c>
      <c r="Z72" s="34">
        <v>0.2423152626</v>
      </c>
      <c r="AA72" s="34">
        <v>0.3323036432</v>
      </c>
      <c r="AB72" s="34">
        <v>0.33875244859999998</v>
      </c>
      <c r="AC72" s="34">
        <v>0.34361180660000001</v>
      </c>
      <c r="AD72" s="34">
        <v>0.35052767400000001</v>
      </c>
      <c r="AE72" s="34">
        <v>0.35928720240000001</v>
      </c>
      <c r="AF72" s="34">
        <v>0.36752301450000002</v>
      </c>
      <c r="AG72" s="34">
        <v>0.36310100560000003</v>
      </c>
      <c r="AH72" s="128">
        <v>7.7134749999999998E-4</v>
      </c>
      <c r="AI72" s="128">
        <v>6.7892370000000003E-4</v>
      </c>
      <c r="AJ72" s="128">
        <v>5.4350980000000002E-4</v>
      </c>
      <c r="AK72" s="128">
        <v>7.0636799999999997E-4</v>
      </c>
      <c r="AL72" s="128">
        <v>9.0142140000000004E-4</v>
      </c>
      <c r="AM72" s="128">
        <v>7.2893060000000002E-4</v>
      </c>
      <c r="AN72" s="128"/>
      <c r="AP72" s="34">
        <f t="shared" si="20"/>
        <v>1.3083891659999999E-2</v>
      </c>
      <c r="AQ72" s="34">
        <f t="shared" si="21"/>
        <v>1.3139796040000002E-2</v>
      </c>
      <c r="AR72" s="34">
        <f t="shared" si="22"/>
        <v>3.9329901333333334E-2</v>
      </c>
      <c r="AS72" s="34">
        <f t="shared" si="23"/>
        <v>0.11881280505</v>
      </c>
      <c r="AT72" s="34">
        <f t="shared" si="24"/>
        <v>0.24144472929999999</v>
      </c>
      <c r="AU72" s="34">
        <f t="shared" si="25"/>
        <v>0.35072954212857138</v>
      </c>
    </row>
    <row r="73" spans="1:51" s="31" customFormat="1">
      <c r="A73" s="66" t="s">
        <v>269</v>
      </c>
      <c r="B73" s="31">
        <v>6</v>
      </c>
      <c r="C73" s="61" t="s">
        <v>462</v>
      </c>
      <c r="D73" s="31" t="s">
        <v>314</v>
      </c>
      <c r="E73" s="34" cm="1">
        <f t="array" ref="E73:AM73">TRANSPOSE(_xlfn._xlws.FILTER('Raw Data'!DV3:DV312,('Raw Data'!C3:C312=6)*('Raw Data'!DV3:DV312&lt;&gt;"")))</f>
        <v>5.65688871E-2</v>
      </c>
      <c r="F73" s="34">
        <v>5.5982775999999998E-2</v>
      </c>
      <c r="G73" s="34">
        <v>4.7105658799999998E-2</v>
      </c>
      <c r="H73" s="34">
        <v>4.8238288599999998E-2</v>
      </c>
      <c r="I73" s="34">
        <v>5.1941622E-2</v>
      </c>
      <c r="J73" s="34">
        <v>0.1515250802</v>
      </c>
      <c r="K73" s="34">
        <v>0.1556483209</v>
      </c>
      <c r="L73" s="34">
        <v>0.15286239979999999</v>
      </c>
      <c r="M73" s="34">
        <v>0.1612847298</v>
      </c>
      <c r="N73" s="34">
        <v>0.16812039910000001</v>
      </c>
      <c r="O73" s="34">
        <v>0.16675575079999999</v>
      </c>
      <c r="P73" s="34">
        <v>0.50425469879999996</v>
      </c>
      <c r="Q73" s="34">
        <v>0.51158899069999997</v>
      </c>
      <c r="R73" s="34">
        <v>0.4996831417</v>
      </c>
      <c r="S73" s="34">
        <v>0.53356981280000004</v>
      </c>
      <c r="T73" s="34">
        <v>0.5058480501</v>
      </c>
      <c r="U73" s="34">
        <v>1.4054944515000001</v>
      </c>
      <c r="V73" s="34">
        <v>1.4355716704999999</v>
      </c>
      <c r="W73" s="34">
        <v>1.4010360240999999</v>
      </c>
      <c r="X73" s="34">
        <v>1.4451136589</v>
      </c>
      <c r="Y73" s="34">
        <v>3.3691999911999999</v>
      </c>
      <c r="Z73" s="34">
        <v>3.3072433472</v>
      </c>
      <c r="AA73" s="34">
        <v>5.0601868629000002</v>
      </c>
      <c r="AB73" s="34">
        <v>4.9275722503999999</v>
      </c>
      <c r="AC73" s="34">
        <v>4.9216680527000003</v>
      </c>
      <c r="AD73" s="34">
        <v>4.8407111167999997</v>
      </c>
      <c r="AE73" s="34">
        <v>4.8176002501999999</v>
      </c>
      <c r="AF73" s="34">
        <v>4.8883180617999997</v>
      </c>
      <c r="AG73" s="34">
        <v>4.7505254744999998</v>
      </c>
      <c r="AH73" s="128">
        <v>1.7785380999999999E-3</v>
      </c>
      <c r="AI73" s="128">
        <v>2.9646746999999998E-3</v>
      </c>
      <c r="AJ73" s="128">
        <v>2.4325047000000001E-3</v>
      </c>
      <c r="AK73" s="128">
        <v>4.4599352E-3</v>
      </c>
      <c r="AL73" s="128">
        <v>4.1642412999999996E-3</v>
      </c>
      <c r="AM73" s="128">
        <v>3.9274041000000003E-3</v>
      </c>
      <c r="AN73" s="128"/>
      <c r="AP73" s="34">
        <f t="shared" si="20"/>
        <v>5.19674465E-2</v>
      </c>
      <c r="AQ73" s="34">
        <f t="shared" si="21"/>
        <v>0.15788818596000001</v>
      </c>
      <c r="AR73" s="34">
        <f t="shared" si="22"/>
        <v>0.4536167408166667</v>
      </c>
      <c r="AS73" s="34">
        <f t="shared" si="23"/>
        <v>1.4218039512499998</v>
      </c>
      <c r="AT73" s="34">
        <f t="shared" si="24"/>
        <v>3.3382216692000002</v>
      </c>
      <c r="AU73" s="34">
        <f t="shared" si="25"/>
        <v>4.886654581328572</v>
      </c>
    </row>
    <row r="74" spans="1:51" s="31" customFormat="1">
      <c r="A74" s="66" t="s">
        <v>270</v>
      </c>
      <c r="B74" s="31">
        <v>6</v>
      </c>
      <c r="C74" s="61" t="s">
        <v>462</v>
      </c>
      <c r="D74" s="31" t="s">
        <v>314</v>
      </c>
      <c r="E74" s="34" cm="1">
        <f t="array" ref="E74:AM74">TRANSPOSE(_xlfn._xlws.FILTER('Raw Data'!DW3:DW313,('Raw Data'!C3:C313=6)*('Raw Data'!DW3:DW313&lt;&gt;"")))</f>
        <v>0.31616276500000001</v>
      </c>
      <c r="F74" s="34">
        <v>0.31539735200000002</v>
      </c>
      <c r="G74" s="34">
        <v>0.26527494190000001</v>
      </c>
      <c r="H74" s="34">
        <v>0.26904025669999998</v>
      </c>
      <c r="I74" s="34">
        <v>0.28374540809999999</v>
      </c>
      <c r="J74" s="34">
        <v>0.73168110850000001</v>
      </c>
      <c r="K74" s="34">
        <v>0.74143385890000002</v>
      </c>
      <c r="L74" s="34">
        <v>0.72765141730000005</v>
      </c>
      <c r="M74" s="34">
        <v>0.76410621400000001</v>
      </c>
      <c r="N74" s="34">
        <v>0.79161423440000001</v>
      </c>
      <c r="O74" s="34">
        <v>0.78104019170000005</v>
      </c>
      <c r="P74" s="34">
        <v>1.9162395000000001</v>
      </c>
      <c r="Q74" s="34">
        <v>1.9430454968999999</v>
      </c>
      <c r="R74" s="34">
        <v>1.9054617882</v>
      </c>
      <c r="S74" s="34">
        <v>1.9883174896</v>
      </c>
      <c r="T74" s="34">
        <v>1.9123744965</v>
      </c>
      <c r="U74" s="34">
        <v>4.0172181129000002</v>
      </c>
      <c r="V74" s="34">
        <v>4.0819106101999996</v>
      </c>
      <c r="W74" s="34">
        <v>4.0201253891000004</v>
      </c>
      <c r="X74" s="34">
        <v>4.1040596962000002</v>
      </c>
      <c r="Y74" s="34">
        <v>6.6042256354999997</v>
      </c>
      <c r="Z74" s="34">
        <v>6.5579166412000003</v>
      </c>
      <c r="AA74" s="34">
        <v>7.5935969352999999</v>
      </c>
      <c r="AB74" s="34">
        <v>7.5569415091999996</v>
      </c>
      <c r="AC74" s="34">
        <v>7.5673899651000003</v>
      </c>
      <c r="AD74" s="34">
        <v>7.5405955315000002</v>
      </c>
      <c r="AE74" s="34">
        <v>7.5263562202000003</v>
      </c>
      <c r="AF74" s="34">
        <v>7.5526795386999996</v>
      </c>
      <c r="AG74" s="34">
        <v>7.5136370659000002</v>
      </c>
      <c r="AH74" s="128">
        <v>7.7233524000000003E-3</v>
      </c>
      <c r="AI74" s="128">
        <v>1.90801211E-2</v>
      </c>
      <c r="AJ74" s="128">
        <v>1.47570046E-2</v>
      </c>
      <c r="AK74" s="128">
        <v>2.53877323E-2</v>
      </c>
      <c r="AL74" s="128">
        <v>2.6462497200000001E-2</v>
      </c>
      <c r="AM74" s="128">
        <v>2.6163591100000001E-2</v>
      </c>
      <c r="AN74" s="128"/>
      <c r="AP74" s="34">
        <f t="shared" si="20"/>
        <v>0.28992414474</v>
      </c>
      <c r="AQ74" s="34">
        <f t="shared" si="21"/>
        <v>0.75129736662000002</v>
      </c>
      <c r="AR74" s="34">
        <f t="shared" si="22"/>
        <v>1.7410798271500001</v>
      </c>
      <c r="AS74" s="34">
        <f t="shared" si="23"/>
        <v>4.0558284521000001</v>
      </c>
      <c r="AT74" s="34">
        <f t="shared" si="24"/>
        <v>6.5810711383499996</v>
      </c>
      <c r="AU74" s="34">
        <f t="shared" si="25"/>
        <v>7.5501709665571415</v>
      </c>
    </row>
    <row r="75" spans="1:51" s="31" customFormat="1">
      <c r="A75" s="66" t="s">
        <v>169</v>
      </c>
      <c r="B75" s="31">
        <v>6</v>
      </c>
      <c r="C75" s="61" t="s">
        <v>462</v>
      </c>
      <c r="D75" s="31" t="s">
        <v>314</v>
      </c>
      <c r="E75" s="34" cm="1">
        <f t="array" ref="E75:AM75">TRANSPOSE(_xlfn._xlws.FILTER('Raw Data'!DX3:DX314,('Raw Data'!C3:C314=6)*('Raw Data'!DX3:DX314&lt;&gt;"")))</f>
        <v>2.9737091063999999</v>
      </c>
      <c r="F75" s="34">
        <v>2.8949968815</v>
      </c>
      <c r="G75" s="34">
        <v>2.7109711170000002</v>
      </c>
      <c r="H75" s="34">
        <v>2.4060754776</v>
      </c>
      <c r="I75" s="34">
        <v>2.4713466167</v>
      </c>
      <c r="J75" s="34">
        <v>5.4996767043999997</v>
      </c>
      <c r="K75" s="34">
        <v>5.4676351546999999</v>
      </c>
      <c r="L75" s="34">
        <v>5.4490418433999999</v>
      </c>
      <c r="M75" s="34">
        <v>5.5580396651999999</v>
      </c>
      <c r="N75" s="34">
        <v>5.6582441330000002</v>
      </c>
      <c r="O75" s="34">
        <v>5.5351257324000001</v>
      </c>
      <c r="P75" s="34">
        <v>11.354054451</v>
      </c>
      <c r="Q75" s="34">
        <v>11.367532730100001</v>
      </c>
      <c r="R75" s="34">
        <v>11.1234912872</v>
      </c>
      <c r="S75" s="34">
        <v>11.389010429400001</v>
      </c>
      <c r="T75" s="34">
        <v>10.9750490189</v>
      </c>
      <c r="U75" s="34">
        <v>19.419519424400001</v>
      </c>
      <c r="V75" s="34">
        <v>19.560415267900002</v>
      </c>
      <c r="W75" s="34">
        <v>19.254299163799999</v>
      </c>
      <c r="X75" s="34">
        <v>19.4906425476</v>
      </c>
      <c r="Y75" s="34">
        <v>27.285257339499999</v>
      </c>
      <c r="Z75" s="34">
        <v>27.1032714844</v>
      </c>
      <c r="AA75" s="34">
        <v>29.609020233199999</v>
      </c>
      <c r="AB75" s="34">
        <v>29.426113128699999</v>
      </c>
      <c r="AC75" s="34">
        <v>29.422622680700002</v>
      </c>
      <c r="AD75" s="34">
        <v>29.319173812900001</v>
      </c>
      <c r="AE75" s="34">
        <v>29.244895935100001</v>
      </c>
      <c r="AF75" s="34">
        <v>29.267877578699999</v>
      </c>
      <c r="AG75" s="34">
        <v>29.1834278107</v>
      </c>
      <c r="AH75" s="128">
        <v>8.8354386399999998E-2</v>
      </c>
      <c r="AI75" s="128">
        <v>0.17995566130000001</v>
      </c>
      <c r="AJ75" s="128">
        <v>0.1491778493</v>
      </c>
      <c r="AK75" s="128">
        <v>0.22511518</v>
      </c>
      <c r="AL75" s="128">
        <v>0.23578271270000001</v>
      </c>
      <c r="AM75" s="128">
        <v>0.23488469419999999</v>
      </c>
      <c r="AN75" s="128"/>
      <c r="AP75" s="34">
        <f t="shared" si="20"/>
        <v>2.69141983984</v>
      </c>
      <c r="AQ75" s="34">
        <f t="shared" si="21"/>
        <v>5.5265275001400003</v>
      </c>
      <c r="AR75" s="34">
        <f t="shared" si="22"/>
        <v>10.290710608166668</v>
      </c>
      <c r="AS75" s="34">
        <f t="shared" si="23"/>
        <v>19.431219100925002</v>
      </c>
      <c r="AT75" s="34">
        <f t="shared" si="24"/>
        <v>27.194264411950002</v>
      </c>
      <c r="AU75" s="34">
        <f t="shared" si="25"/>
        <v>29.353304454285713</v>
      </c>
    </row>
    <row r="76" spans="1:51" s="31" customFormat="1">
      <c r="A76" s="66" t="s">
        <v>171</v>
      </c>
      <c r="B76" s="31">
        <v>6</v>
      </c>
      <c r="C76" s="61" t="s">
        <v>462</v>
      </c>
      <c r="D76" s="31" t="s">
        <v>314</v>
      </c>
      <c r="E76" s="34" cm="1">
        <f t="array" ref="E76:AM76">TRANSPOSE(_xlfn._xlws.FILTER('Raw Data'!DY3:DY315,('Raw Data'!C3:C315=6)*('Raw Data'!DY3:DY315&lt;&gt;"")))</f>
        <v>2.0524482727</v>
      </c>
      <c r="F76" s="34">
        <v>2.0060503483000001</v>
      </c>
      <c r="G76" s="34">
        <v>1.9034520388</v>
      </c>
      <c r="H76" s="34">
        <v>1.6939730644</v>
      </c>
      <c r="I76" s="34">
        <v>1.7314420937999999</v>
      </c>
      <c r="J76" s="34">
        <v>3.5050842761999998</v>
      </c>
      <c r="K76" s="34">
        <v>3.4717741012999999</v>
      </c>
      <c r="L76" s="34">
        <v>3.4720249176000002</v>
      </c>
      <c r="M76" s="34">
        <v>3.5181946754000002</v>
      </c>
      <c r="N76" s="34">
        <v>3.5752911568000001</v>
      </c>
      <c r="O76" s="34">
        <v>3.4956879615999998</v>
      </c>
      <c r="P76" s="34">
        <v>7.0837755202999997</v>
      </c>
      <c r="Q76" s="34">
        <v>7.0630059241999996</v>
      </c>
      <c r="R76" s="34">
        <v>6.9262466430999998</v>
      </c>
      <c r="S76" s="34">
        <v>7.0503754615999998</v>
      </c>
      <c r="T76" s="34">
        <v>6.8072509765999998</v>
      </c>
      <c r="U76" s="34">
        <v>12.226074218799999</v>
      </c>
      <c r="V76" s="34">
        <v>12.3116521835</v>
      </c>
      <c r="W76" s="34">
        <v>12.1051626205</v>
      </c>
      <c r="X76" s="34">
        <v>12.260398864700001</v>
      </c>
      <c r="Y76" s="34">
        <v>17.385141372700001</v>
      </c>
      <c r="Z76" s="34">
        <v>17.258760452299999</v>
      </c>
      <c r="AA76" s="34">
        <v>18.849014282199999</v>
      </c>
      <c r="AB76" s="34">
        <v>18.724298477200001</v>
      </c>
      <c r="AC76" s="34">
        <v>18.719987869299999</v>
      </c>
      <c r="AD76" s="34">
        <v>18.644550323499999</v>
      </c>
      <c r="AE76" s="34">
        <v>18.594959258999999</v>
      </c>
      <c r="AF76" s="34">
        <v>18.6318836212</v>
      </c>
      <c r="AG76" s="34">
        <v>18.538839340199999</v>
      </c>
      <c r="AH76" s="128">
        <v>0.3959371746</v>
      </c>
      <c r="AI76" s="128">
        <v>0.43261149529999998</v>
      </c>
      <c r="AJ76" s="128">
        <v>0.42219796780000002</v>
      </c>
      <c r="AK76" s="128">
        <v>0.45334836839999998</v>
      </c>
      <c r="AL76" s="128">
        <v>0.4552885592</v>
      </c>
      <c r="AM76" s="128">
        <v>0.45493149760000001</v>
      </c>
      <c r="AN76" s="128"/>
      <c r="AP76" s="34">
        <f t="shared" si="20"/>
        <v>1.8774731635999999</v>
      </c>
      <c r="AQ76" s="34">
        <f t="shared" si="21"/>
        <v>3.5084738254599999</v>
      </c>
      <c r="AR76" s="34">
        <f t="shared" si="22"/>
        <v>6.4043904145666666</v>
      </c>
      <c r="AS76" s="34">
        <f t="shared" si="23"/>
        <v>12.225821971875</v>
      </c>
      <c r="AT76" s="34">
        <f t="shared" si="24"/>
        <v>17.3219509125</v>
      </c>
      <c r="AU76" s="34">
        <f t="shared" si="25"/>
        <v>18.671933310371429</v>
      </c>
    </row>
    <row r="77" spans="1:51" s="31" customFormat="1">
      <c r="A77" s="66" t="s">
        <v>174</v>
      </c>
      <c r="B77" s="31">
        <v>6</v>
      </c>
      <c r="C77" s="61" t="s">
        <v>461</v>
      </c>
      <c r="D77" s="31" t="s">
        <v>314</v>
      </c>
      <c r="E77" s="34" cm="1">
        <f t="array" ref="E77:AM77">TRANSPOSE(_xlfn._xlws.FILTER('Raw Data'!DZ3:DZ317,('Raw Data'!C3:C317=6)*('Raw Data'!DZ3:DZ317&lt;&gt;"")))</f>
        <v>80.7763671875</v>
      </c>
      <c r="F77" s="34">
        <v>81.009819030800003</v>
      </c>
      <c r="G77" s="34">
        <v>81.165321350100001</v>
      </c>
      <c r="H77" s="34">
        <v>80.134834289599993</v>
      </c>
      <c r="I77" s="34">
        <v>80.036262512199997</v>
      </c>
      <c r="J77" s="34">
        <v>74.516899108900006</v>
      </c>
      <c r="K77" s="34">
        <v>74.496192932100001</v>
      </c>
      <c r="L77" s="34">
        <v>74.566314697300001</v>
      </c>
      <c r="M77" s="34">
        <v>74.355674743700007</v>
      </c>
      <c r="N77" s="34">
        <v>74.223785400400004</v>
      </c>
      <c r="O77" s="34">
        <v>74.389335632300003</v>
      </c>
      <c r="P77" s="34">
        <v>63.244548797599997</v>
      </c>
      <c r="Q77" s="34">
        <v>63.222335815400001</v>
      </c>
      <c r="R77" s="34">
        <v>63.604919433600003</v>
      </c>
      <c r="S77" s="34">
        <v>63.027637481699998</v>
      </c>
      <c r="T77" s="34">
        <v>63.7842521667</v>
      </c>
      <c r="U77" s="34">
        <v>46.614799499500002</v>
      </c>
      <c r="V77" s="34">
        <v>46.290798187299998</v>
      </c>
      <c r="W77" s="34">
        <v>46.906620025599999</v>
      </c>
      <c r="X77" s="34">
        <v>46.313598632800002</v>
      </c>
      <c r="Y77" s="34">
        <v>28.768150329600001</v>
      </c>
      <c r="Z77" s="34">
        <v>29.209751129200001</v>
      </c>
      <c r="AA77" s="34">
        <v>21.927713394200001</v>
      </c>
      <c r="AB77" s="34">
        <v>22.221035003699999</v>
      </c>
      <c r="AC77" s="34">
        <v>22.271484375</v>
      </c>
      <c r="AD77" s="34">
        <v>22.47605896</v>
      </c>
      <c r="AE77" s="34">
        <v>22.572450637799999</v>
      </c>
      <c r="AF77" s="34">
        <v>22.356567382800002</v>
      </c>
      <c r="AG77" s="34">
        <v>22.7870368958</v>
      </c>
      <c r="AH77" s="128">
        <v>84.6097946167</v>
      </c>
      <c r="AI77" s="128">
        <v>83.739120483400001</v>
      </c>
      <c r="AJ77" s="128">
        <v>83.757003784199995</v>
      </c>
      <c r="AK77" s="128">
        <v>83.757591247600004</v>
      </c>
      <c r="AL77" s="128">
        <v>83.806472778300005</v>
      </c>
      <c r="AM77" s="128">
        <v>83.748809814500007</v>
      </c>
      <c r="AN77" s="128"/>
      <c r="AP77" s="34">
        <f t="shared" si="20"/>
        <v>80.624520874040002</v>
      </c>
      <c r="AQ77" s="34">
        <f t="shared" si="21"/>
        <v>74.431773376479995</v>
      </c>
      <c r="AR77" s="34">
        <f t="shared" si="22"/>
        <v>65.212171554549997</v>
      </c>
      <c r="AS77" s="34">
        <f t="shared" si="23"/>
        <v>46.531454086300002</v>
      </c>
      <c r="AT77" s="34">
        <f t="shared" si="24"/>
        <v>28.988950729400003</v>
      </c>
      <c r="AU77" s="34">
        <f t="shared" si="25"/>
        <v>22.373192378471426</v>
      </c>
    </row>
    <row r="78" spans="1:51" s="31" customFormat="1">
      <c r="A78" s="66" t="s">
        <v>272</v>
      </c>
      <c r="B78" s="31">
        <v>6</v>
      </c>
      <c r="C78" s="61" t="s">
        <v>463</v>
      </c>
      <c r="D78" s="31" t="s">
        <v>314</v>
      </c>
      <c r="E78" s="34" cm="1">
        <f t="array" ref="E78:AM78">TRANSPOSE(_xlfn._xlws.FILTER('Raw Data'!EB3:EB318,('Raw Data'!C3:C318=6)*('Raw Data'!EB3:EB318&lt;&gt;"")))</f>
        <v>0.44146510960000002</v>
      </c>
      <c r="F78" s="34">
        <v>0.44199141860000002</v>
      </c>
      <c r="G78" s="34">
        <v>0.44795221089999998</v>
      </c>
      <c r="H78" s="34">
        <v>0.431576401</v>
      </c>
      <c r="I78" s="34">
        <v>0.42426267270000001</v>
      </c>
      <c r="J78" s="34">
        <v>0.3702854216</v>
      </c>
      <c r="K78" s="34">
        <v>0.3728348017</v>
      </c>
      <c r="L78" s="34">
        <v>0.36640545730000001</v>
      </c>
      <c r="M78" s="34">
        <v>0.35684570669999999</v>
      </c>
      <c r="N78" s="34">
        <v>0.33673429490000001</v>
      </c>
      <c r="O78" s="34">
        <v>0.34955689309999999</v>
      </c>
      <c r="P78" s="34">
        <v>0.3372184634</v>
      </c>
      <c r="Q78" s="34">
        <v>0.33305498960000002</v>
      </c>
      <c r="R78" s="34">
        <v>0.33789372439999998</v>
      </c>
      <c r="S78" s="34">
        <v>0.32797053459999997</v>
      </c>
      <c r="T78" s="34">
        <v>0.32572963830000001</v>
      </c>
      <c r="U78" s="34">
        <v>0.33394116159999998</v>
      </c>
      <c r="V78" s="34">
        <v>0.33019769189999998</v>
      </c>
      <c r="W78" s="34">
        <v>0.32972136140000002</v>
      </c>
      <c r="X78" s="34">
        <v>0.33360561729999999</v>
      </c>
      <c r="Y78" s="34">
        <v>0.29797768590000001</v>
      </c>
      <c r="Z78" s="34">
        <v>0.2978434861</v>
      </c>
      <c r="AA78" s="34">
        <v>0.26418644190000001</v>
      </c>
      <c r="AB78" s="34">
        <v>0.25893083210000001</v>
      </c>
      <c r="AC78" s="34">
        <v>0.25442156199999999</v>
      </c>
      <c r="AD78" s="34">
        <v>0.25299325589999999</v>
      </c>
      <c r="AE78" s="34">
        <v>0.24791997669999999</v>
      </c>
      <c r="AF78" s="34">
        <v>0.24864889679999999</v>
      </c>
      <c r="AG78" s="34">
        <v>0.2451759875</v>
      </c>
      <c r="AH78" s="128">
        <v>4.9147579800000001E-2</v>
      </c>
      <c r="AI78" s="128">
        <v>0.53055399660000002</v>
      </c>
      <c r="AJ78" s="128">
        <v>0.53074181080000005</v>
      </c>
      <c r="AK78" s="128">
        <v>0.51711034769999997</v>
      </c>
      <c r="AL78" s="128">
        <v>0.51336640119999999</v>
      </c>
      <c r="AM78" s="128">
        <v>0.51142126320000003</v>
      </c>
      <c r="AN78" s="128"/>
      <c r="AP78" s="34">
        <f t="shared" si="20"/>
        <v>0.43744956256</v>
      </c>
      <c r="AQ78" s="34">
        <f t="shared" si="21"/>
        <v>0.36062113643999999</v>
      </c>
      <c r="AR78" s="34">
        <f t="shared" si="22"/>
        <v>0.33523737390000002</v>
      </c>
      <c r="AS78" s="34">
        <f t="shared" si="23"/>
        <v>0.33186645804999998</v>
      </c>
      <c r="AT78" s="34">
        <f t="shared" si="24"/>
        <v>0.29791058599999998</v>
      </c>
      <c r="AU78" s="34">
        <f t="shared" si="25"/>
        <v>0.25318242184285716</v>
      </c>
    </row>
    <row r="79" spans="1:51" s="31" customFormat="1">
      <c r="A79" s="66" t="s">
        <v>273</v>
      </c>
      <c r="B79" s="31">
        <v>7</v>
      </c>
      <c r="C79" s="61" t="s">
        <v>462</v>
      </c>
      <c r="D79" s="31" t="s">
        <v>314</v>
      </c>
      <c r="E79" s="34" cm="1">
        <f t="array" ref="E79:AM79">TRANSPOSE(_xlfn._xlws.FILTER('Raw Data'!EC3:EC319,('Raw Data'!C3:C319=6)*('Raw Data'!EC3:EC319&lt;&gt;"")))</f>
        <v>0.81051385399999998</v>
      </c>
      <c r="F79" s="34">
        <v>0.78428077699999998</v>
      </c>
      <c r="G79" s="34">
        <v>0.78107732529999996</v>
      </c>
      <c r="H79" s="34">
        <v>0.68632304669999999</v>
      </c>
      <c r="I79" s="34">
        <v>0.6952507496</v>
      </c>
      <c r="J79" s="34">
        <v>1.2201210259999999</v>
      </c>
      <c r="K79" s="34">
        <v>1.2040104866000001</v>
      </c>
      <c r="L79" s="34">
        <v>1.2134845257</v>
      </c>
      <c r="M79" s="34">
        <v>1.2074998616999999</v>
      </c>
      <c r="N79" s="34">
        <v>1.2108345032000001</v>
      </c>
      <c r="O79" s="34">
        <v>1.1838649510999999</v>
      </c>
      <c r="P79" s="34">
        <v>1.6334449053</v>
      </c>
      <c r="Q79" s="34">
        <v>1.616943121</v>
      </c>
      <c r="R79" s="34">
        <v>1.5903843640999999</v>
      </c>
      <c r="S79" s="34">
        <v>1.5842549801000001</v>
      </c>
      <c r="T79" s="34">
        <v>1.5564827918999999</v>
      </c>
      <c r="U79" s="34">
        <v>1.5294680595000001</v>
      </c>
      <c r="V79" s="34">
        <v>1.5037049055</v>
      </c>
      <c r="W79" s="34">
        <v>1.4956321716000001</v>
      </c>
      <c r="X79" s="34">
        <v>1.4677647352000001</v>
      </c>
      <c r="Y79" s="34">
        <v>0.87349867820000004</v>
      </c>
      <c r="Z79" s="34">
        <v>0.87469470500000002</v>
      </c>
      <c r="AA79" s="34">
        <v>0.44988527890000002</v>
      </c>
      <c r="AB79" s="34">
        <v>0.44997075199999997</v>
      </c>
      <c r="AC79" s="34">
        <v>0.43619018790000003</v>
      </c>
      <c r="AD79" s="34">
        <v>0.43016687040000001</v>
      </c>
      <c r="AE79" s="34">
        <v>0.4231866896</v>
      </c>
      <c r="AF79" s="34">
        <v>0.4029710889</v>
      </c>
      <c r="AG79" s="34">
        <v>0.41267395019999997</v>
      </c>
      <c r="AH79" s="128">
        <v>1.4322008000000001E-2</v>
      </c>
      <c r="AI79" s="128">
        <v>5.1883705000000002E-2</v>
      </c>
      <c r="AJ79" s="128">
        <v>4.1589967899999997E-2</v>
      </c>
      <c r="AK79" s="128">
        <v>6.8502478300000003E-2</v>
      </c>
      <c r="AL79" s="128">
        <v>7.3529176399999993E-2</v>
      </c>
      <c r="AM79" s="128">
        <v>7.3947541399999997E-2</v>
      </c>
      <c r="AN79" s="128"/>
      <c r="AP79" s="34">
        <f t="shared" si="20"/>
        <v>0.75148915052000009</v>
      </c>
      <c r="AQ79" s="34">
        <f t="shared" si="21"/>
        <v>1.21119008064</v>
      </c>
      <c r="AR79" s="34">
        <f t="shared" si="22"/>
        <v>1.5275625189166666</v>
      </c>
      <c r="AS79" s="34">
        <f t="shared" si="23"/>
        <v>1.4991424679500003</v>
      </c>
      <c r="AT79" s="34">
        <f t="shared" si="24"/>
        <v>0.87409669160000003</v>
      </c>
      <c r="AU79" s="34">
        <f t="shared" si="25"/>
        <v>0.42929211684285706</v>
      </c>
    </row>
    <row r="80" spans="1:51" s="31" customFormat="1">
      <c r="A80" s="66" t="s">
        <v>274</v>
      </c>
      <c r="B80" s="31">
        <v>7</v>
      </c>
      <c r="C80" s="61" t="s">
        <v>462</v>
      </c>
      <c r="D80" s="31" t="s">
        <v>314</v>
      </c>
      <c r="E80" s="34" cm="1">
        <f t="array" ref="E80:AM80">TRANSPOSE(_xlfn._xlws.FILTER('Raw Data'!ED3:ED320,('Raw Data'!C3:C320=6)*('Raw Data'!ED3:ED320&lt;&gt;"")))</f>
        <v>0.75936114789999998</v>
      </c>
      <c r="F80" s="34">
        <v>0.73175829650000002</v>
      </c>
      <c r="G80" s="34">
        <v>0.72491991519999999</v>
      </c>
      <c r="H80" s="34">
        <v>0.62086486819999998</v>
      </c>
      <c r="I80" s="34">
        <v>0.63058865070000003</v>
      </c>
      <c r="J80" s="34">
        <v>1.2192406654000001</v>
      </c>
      <c r="K80" s="34">
        <v>1.2031579018</v>
      </c>
      <c r="L80" s="34">
        <v>1.2106152773000001</v>
      </c>
      <c r="M80" s="34">
        <v>1.2086966038</v>
      </c>
      <c r="N80" s="34">
        <v>1.2124378681000001</v>
      </c>
      <c r="O80" s="34">
        <v>1.1841890812</v>
      </c>
      <c r="P80" s="34">
        <v>1.7957087755000001</v>
      </c>
      <c r="Q80" s="34">
        <v>1.7807934284</v>
      </c>
      <c r="R80" s="34">
        <v>1.7505232096000001</v>
      </c>
      <c r="S80" s="34">
        <v>1.7453707457000001</v>
      </c>
      <c r="T80" s="34">
        <v>1.714119792</v>
      </c>
      <c r="U80" s="34">
        <v>1.7526268959</v>
      </c>
      <c r="V80" s="34">
        <v>1.7277165650999999</v>
      </c>
      <c r="W80" s="34">
        <v>1.7183129787</v>
      </c>
      <c r="X80" s="34">
        <v>1.6900604963000001</v>
      </c>
      <c r="Y80" s="34">
        <v>0.99547398090000005</v>
      </c>
      <c r="Z80" s="34">
        <v>0.9972858429</v>
      </c>
      <c r="AA80" s="34">
        <v>0.50223183630000001</v>
      </c>
      <c r="AB80" s="34">
        <v>0.50764393809999997</v>
      </c>
      <c r="AC80" s="34">
        <v>0.49187502259999999</v>
      </c>
      <c r="AD80" s="34">
        <v>0.48462051150000002</v>
      </c>
      <c r="AE80" s="34">
        <v>0.48015689849999998</v>
      </c>
      <c r="AF80" s="34">
        <v>0.45602852109999997</v>
      </c>
      <c r="AG80" s="34">
        <v>0.46848067640000002</v>
      </c>
      <c r="AH80" s="128">
        <v>6.8462319000000002E-3</v>
      </c>
      <c r="AI80" s="128">
        <v>2.9297117099999999E-2</v>
      </c>
      <c r="AJ80" s="128">
        <v>2.4764476300000001E-2</v>
      </c>
      <c r="AK80" s="128">
        <v>4.1111201E-2</v>
      </c>
      <c r="AL80" s="128">
        <v>4.4149104500000001E-2</v>
      </c>
      <c r="AM80" s="128">
        <v>4.39096764E-2</v>
      </c>
      <c r="AN80" s="128"/>
      <c r="AP80" s="34">
        <f t="shared" si="20"/>
        <v>0.69349857569999995</v>
      </c>
      <c r="AQ80" s="34">
        <f t="shared" si="21"/>
        <v>1.2108296632800002</v>
      </c>
      <c r="AR80" s="34">
        <f t="shared" si="22"/>
        <v>1.6617841720666666</v>
      </c>
      <c r="AS80" s="34">
        <f t="shared" si="23"/>
        <v>1.7221792339999999</v>
      </c>
      <c r="AT80" s="34">
        <f t="shared" si="24"/>
        <v>0.99637991190000008</v>
      </c>
      <c r="AU80" s="34">
        <f t="shared" si="25"/>
        <v>0.48443391492857135</v>
      </c>
    </row>
    <row r="81" spans="1:47" s="31" customFormat="1">
      <c r="A81" s="66" t="s">
        <v>177</v>
      </c>
      <c r="B81" s="31">
        <v>7</v>
      </c>
      <c r="C81" s="61" t="s">
        <v>462</v>
      </c>
      <c r="D81" s="31" t="s">
        <v>314</v>
      </c>
      <c r="E81" s="34" cm="1">
        <f t="array" ref="E81:AM81">TRANSPOSE(_xlfn._xlws.FILTER('Raw Data'!EE3:EE321,('Raw Data'!C3:C321=6)*('Raw Data'!EE3:EE321&lt;&gt;"")))</f>
        <v>7.5260257720999997</v>
      </c>
      <c r="F81" s="34">
        <v>7.5586948395000002</v>
      </c>
      <c r="G81" s="34">
        <v>7.6626925467999998</v>
      </c>
      <c r="H81" s="34">
        <v>8.0805130004999999</v>
      </c>
      <c r="I81" s="34">
        <v>8.0274820328000001</v>
      </c>
      <c r="J81" s="34">
        <v>6.3133125305000002</v>
      </c>
      <c r="K81" s="34">
        <v>6.3586859702999998</v>
      </c>
      <c r="L81" s="34">
        <v>6.3668923378000004</v>
      </c>
      <c r="M81" s="34">
        <v>6.3341903686999999</v>
      </c>
      <c r="N81" s="34">
        <v>6.2993297576999998</v>
      </c>
      <c r="O81" s="34">
        <v>6.3488869667000003</v>
      </c>
      <c r="P81" s="34">
        <v>3.9245722293999998</v>
      </c>
      <c r="Q81" s="34">
        <v>3.9209215640999999</v>
      </c>
      <c r="R81" s="34">
        <v>4.0025300980000003</v>
      </c>
      <c r="S81" s="34">
        <v>3.9304423331999998</v>
      </c>
      <c r="T81" s="34">
        <v>4.0634646416000004</v>
      </c>
      <c r="U81" s="34">
        <v>1.832431674</v>
      </c>
      <c r="V81" s="34">
        <v>1.8042277097999999</v>
      </c>
      <c r="W81" s="34">
        <v>1.8605391979000001</v>
      </c>
      <c r="X81" s="34">
        <v>1.8060821295</v>
      </c>
      <c r="Y81" s="34">
        <v>0.62755924460000001</v>
      </c>
      <c r="Z81" s="34">
        <v>0.63825696710000002</v>
      </c>
      <c r="AA81" s="34">
        <v>0.27568885679999999</v>
      </c>
      <c r="AB81" s="34">
        <v>0.28178417680000001</v>
      </c>
      <c r="AC81" s="34">
        <v>0.27319645879999999</v>
      </c>
      <c r="AD81" s="34">
        <v>0.27414512629999999</v>
      </c>
      <c r="AE81" s="34">
        <v>0.27260172370000002</v>
      </c>
      <c r="AF81" s="34">
        <v>0.25963339210000003</v>
      </c>
      <c r="AG81" s="34">
        <v>0.27153211830000001</v>
      </c>
      <c r="AH81" s="128">
        <v>9.5981826782000006</v>
      </c>
      <c r="AI81" s="128">
        <v>9.7740755080999993</v>
      </c>
      <c r="AJ81" s="128">
        <v>9.7916193008000008</v>
      </c>
      <c r="AK81" s="128">
        <v>9.6629800797000005</v>
      </c>
      <c r="AL81" s="128">
        <v>9.6596031188999998</v>
      </c>
      <c r="AM81" s="128">
        <v>9.6532392502000004</v>
      </c>
      <c r="AN81" s="128"/>
      <c r="AP81" s="34">
        <f t="shared" si="20"/>
        <v>7.7710816383400001</v>
      </c>
      <c r="AQ81" s="34">
        <f t="shared" si="21"/>
        <v>6.3344821930000004</v>
      </c>
      <c r="AR81" s="34">
        <f t="shared" si="22"/>
        <v>4.3651363054999992</v>
      </c>
      <c r="AS81" s="34">
        <f t="shared" si="23"/>
        <v>1.8258201777999998</v>
      </c>
      <c r="AT81" s="34">
        <f t="shared" si="24"/>
        <v>0.63290810585000001</v>
      </c>
      <c r="AU81" s="34">
        <f t="shared" si="25"/>
        <v>0.27265455039999997</v>
      </c>
    </row>
    <row r="82" spans="1:47" s="31" customFormat="1">
      <c r="A82" s="66" t="s">
        <v>175</v>
      </c>
      <c r="B82" s="31">
        <v>8</v>
      </c>
      <c r="C82" s="61" t="s">
        <v>461</v>
      </c>
      <c r="D82" s="31" t="s">
        <v>314</v>
      </c>
      <c r="E82" s="34" cm="1">
        <f t="array" ref="E82:AM82">TRANSPOSE(_xlfn._xlws.FILTER('Raw Data'!EG3:EG322,('Raw Data'!C3:C322=6)*('Raw Data'!EG3:EG322&lt;&gt;"")))</f>
        <v>1.7594274282</v>
      </c>
      <c r="F82" s="34">
        <v>1.7828685044999999</v>
      </c>
      <c r="G82" s="34">
        <v>1.8642495871</v>
      </c>
      <c r="H82" s="34">
        <v>2.9286017418000001</v>
      </c>
      <c r="I82" s="34">
        <v>2.9051592350000002</v>
      </c>
      <c r="J82" s="34">
        <v>1.6424450874000001</v>
      </c>
      <c r="K82" s="34">
        <v>1.6650886536</v>
      </c>
      <c r="L82" s="34">
        <v>1.6603482962</v>
      </c>
      <c r="M82" s="34">
        <v>1.6579570770000001</v>
      </c>
      <c r="N82" s="34">
        <v>1.6247001886000001</v>
      </c>
      <c r="O82" s="34">
        <v>1.6625884770999999</v>
      </c>
      <c r="P82" s="34">
        <v>0.58413952589999996</v>
      </c>
      <c r="Q82" s="34">
        <v>0.58181834219999995</v>
      </c>
      <c r="R82" s="34">
        <v>0.60754889249999999</v>
      </c>
      <c r="S82" s="34">
        <v>0.59161937239999995</v>
      </c>
      <c r="T82" s="34">
        <v>0.63201606269999999</v>
      </c>
      <c r="U82" s="34">
        <v>0.12150533500000001</v>
      </c>
      <c r="V82" s="34">
        <v>0.117656596</v>
      </c>
      <c r="W82" s="34">
        <v>0.1239055246</v>
      </c>
      <c r="X82" s="34">
        <v>0.1151863709</v>
      </c>
      <c r="Y82" s="34">
        <v>1.32318595E-2</v>
      </c>
      <c r="Z82" s="34">
        <v>1.33737614E-2</v>
      </c>
      <c r="AA82" s="34">
        <v>4.2522224000000001E-3</v>
      </c>
      <c r="AB82" s="34">
        <v>4.0964399999999998E-3</v>
      </c>
      <c r="AC82" s="34">
        <v>3.9082454000000004E-3</v>
      </c>
      <c r="AD82" s="34">
        <v>4.2895842E-3</v>
      </c>
      <c r="AE82" s="34">
        <v>4.2462447000000004E-3</v>
      </c>
      <c r="AF82" s="34">
        <v>4.7497735000000003E-3</v>
      </c>
      <c r="AG82" s="34">
        <v>4.7630384E-3</v>
      </c>
      <c r="AH82" s="128">
        <v>4.4389424324000002</v>
      </c>
      <c r="AI82" s="128">
        <v>4.8253302574000001</v>
      </c>
      <c r="AJ82" s="128">
        <v>4.8976550102000003</v>
      </c>
      <c r="AK82" s="128">
        <v>4.7504959105999998</v>
      </c>
      <c r="AL82" s="128">
        <v>4.6799612044999996</v>
      </c>
      <c r="AM82" s="128">
        <v>4.7486596106999999</v>
      </c>
      <c r="AN82" s="128"/>
      <c r="AP82" s="34">
        <f t="shared" si="20"/>
        <v>2.2480612993199998</v>
      </c>
      <c r="AQ82" s="34">
        <f t="shared" si="21"/>
        <v>1.6501078605599999</v>
      </c>
      <c r="AR82" s="34">
        <f t="shared" si="22"/>
        <v>0.77662177880000005</v>
      </c>
      <c r="AS82" s="34">
        <f t="shared" si="23"/>
        <v>0.11956345662499999</v>
      </c>
      <c r="AT82" s="34">
        <f t="shared" si="24"/>
        <v>1.3302810450000001E-2</v>
      </c>
      <c r="AU82" s="34">
        <f t="shared" si="25"/>
        <v>4.329364085714286E-3</v>
      </c>
    </row>
    <row r="83" spans="1:47" s="31" customFormat="1">
      <c r="A83" s="61" t="s">
        <v>464</v>
      </c>
      <c r="B83" s="31">
        <v>3</v>
      </c>
      <c r="D83" s="31" t="s">
        <v>314</v>
      </c>
      <c r="E83" s="34" cm="1">
        <f t="array" ref="E83:AM83">TRANSPOSE(_xlfn._xlws.FILTER('Raw Data'!DP3:DP323,('Raw Data'!C3:C323=6)*('Raw Data'!DP3:DP323&lt;&gt;"")))</f>
        <v>1.3643811E-3</v>
      </c>
      <c r="F83" s="34">
        <v>1.0217624E-3</v>
      </c>
      <c r="G83" s="34">
        <v>3.3109563E-3</v>
      </c>
      <c r="H83" s="34">
        <v>7.0682799999999995E-4</v>
      </c>
      <c r="I83" s="34">
        <v>9.8051699999999998E-4</v>
      </c>
      <c r="J83" s="34">
        <v>1.303443E-3</v>
      </c>
      <c r="K83" s="34">
        <v>1.4699801999999999E-3</v>
      </c>
      <c r="L83" s="34">
        <v>1.7256699999999999E-3</v>
      </c>
      <c r="M83" s="34">
        <v>1.5785261000000001E-3</v>
      </c>
      <c r="N83" s="34">
        <v>1.73519E-3</v>
      </c>
      <c r="O83" s="34">
        <v>1.6387552000000001E-3</v>
      </c>
      <c r="P83" s="34">
        <v>4.0806108000000004E-3</v>
      </c>
      <c r="Q83" s="34">
        <v>3.9927792000000002E-3</v>
      </c>
      <c r="R83" s="34">
        <v>4.1010155999999997E-3</v>
      </c>
      <c r="S83" s="34">
        <v>4.1469521999999998E-3</v>
      </c>
      <c r="T83" s="34">
        <v>3.8670199000000001E-3</v>
      </c>
      <c r="U83" s="34">
        <v>8.9969774999999995E-3</v>
      </c>
      <c r="V83" s="34">
        <v>8.9595522999999996E-3</v>
      </c>
      <c r="W83" s="34">
        <v>8.1149329999999995E-3</v>
      </c>
      <c r="X83" s="34">
        <v>8.8593513000000002E-3</v>
      </c>
      <c r="Y83" s="34">
        <v>1.8964430300000001E-2</v>
      </c>
      <c r="Z83" s="34">
        <v>1.8891887699999999E-2</v>
      </c>
      <c r="AA83" s="34">
        <v>1.9868101900000001E-2</v>
      </c>
      <c r="AB83" s="34">
        <v>1.97243057E-2</v>
      </c>
      <c r="AC83" s="34">
        <v>2.0199151700000001E-2</v>
      </c>
      <c r="AD83" s="34">
        <v>2.0244378600000001E-2</v>
      </c>
      <c r="AE83" s="34">
        <v>1.9728412899999999E-2</v>
      </c>
      <c r="AF83" s="34">
        <v>1.9952580300000002E-2</v>
      </c>
      <c r="AG83" s="34">
        <v>1.9974250299999999E-2</v>
      </c>
      <c r="AH83" s="128">
        <v>7.1301586900000005E-2</v>
      </c>
      <c r="AI83" s="128">
        <v>6.4678508999999997E-3</v>
      </c>
      <c r="AJ83" s="128">
        <v>3.2771804999999999E-3</v>
      </c>
      <c r="AK83" s="128">
        <v>1.6810491E-3</v>
      </c>
      <c r="AL83" s="128">
        <v>9.7915960000000005E-4</v>
      </c>
      <c r="AM83" s="128">
        <v>8.3718750000000004E-4</v>
      </c>
      <c r="AN83" s="128"/>
      <c r="AP83" s="34">
        <f t="shared" si="20"/>
        <v>1.4768889600000001E-3</v>
      </c>
      <c r="AQ83" s="34">
        <f t="shared" si="21"/>
        <v>1.5625618599999999E-3</v>
      </c>
      <c r="AR83" s="34">
        <f t="shared" si="22"/>
        <v>3.6378554833333336E-3</v>
      </c>
      <c r="AS83" s="34">
        <f t="shared" si="23"/>
        <v>8.7327035249999997E-3</v>
      </c>
      <c r="AT83" s="34">
        <f t="shared" si="24"/>
        <v>1.8928159E-2</v>
      </c>
      <c r="AU83" s="34">
        <f t="shared" si="25"/>
        <v>1.9955883057142857E-2</v>
      </c>
    </row>
    <row r="84" spans="1:47">
      <c r="A84" s="61" t="s">
        <v>465</v>
      </c>
      <c r="B84" s="31">
        <v>7</v>
      </c>
      <c r="D84" s="31" t="s">
        <v>314</v>
      </c>
      <c r="E84" s="34" cm="1">
        <f t="array" ref="E84:AM84">TRANSPOSE(_xlfn._xlws.FILTER('Raw Data'!EA3:EA324,('Raw Data'!C3:C324=6)*('Raw Data'!EA3:EA324&lt;&gt;"")))</f>
        <v>0.74855005740000002</v>
      </c>
      <c r="F84" s="34">
        <v>0.75283348559999996</v>
      </c>
      <c r="G84" s="34">
        <v>0.68621927500000002</v>
      </c>
      <c r="H84" s="34">
        <v>0.67073148490000001</v>
      </c>
      <c r="I84" s="34">
        <v>0.67596054080000001</v>
      </c>
      <c r="J84" s="34">
        <v>1.2922348976</v>
      </c>
      <c r="K84" s="34">
        <v>1.3157613277</v>
      </c>
      <c r="L84" s="34">
        <v>1.2801251411000001</v>
      </c>
      <c r="M84" s="34">
        <v>1.2871149777999999</v>
      </c>
      <c r="N84" s="34">
        <v>1.2670625447999999</v>
      </c>
      <c r="O84" s="34">
        <v>1.3011875153000001</v>
      </c>
      <c r="P84" s="34">
        <v>2.0736136435999999</v>
      </c>
      <c r="Q84" s="34">
        <v>2.0508053302999998</v>
      </c>
      <c r="R84" s="34">
        <v>2.0607631206999999</v>
      </c>
      <c r="S84" s="34">
        <v>2.0352818965999999</v>
      </c>
      <c r="T84" s="34">
        <v>1.9875794649</v>
      </c>
      <c r="U84" s="34">
        <v>2.3657572269</v>
      </c>
      <c r="V84" s="34">
        <v>2.3350918293</v>
      </c>
      <c r="W84" s="34">
        <v>2.3100936412999999</v>
      </c>
      <c r="X84" s="34">
        <v>2.3110573292000001</v>
      </c>
      <c r="Y84" s="34">
        <v>1.7203065156999999</v>
      </c>
      <c r="Z84" s="34">
        <v>1.7095435858000001</v>
      </c>
      <c r="AA84" s="34">
        <v>1.1175214052</v>
      </c>
      <c r="AB84" s="34">
        <v>1.1070206165000001</v>
      </c>
      <c r="AC84" s="34">
        <v>1.0823580026999999</v>
      </c>
      <c r="AD84" s="34">
        <v>1.0624504089</v>
      </c>
      <c r="AE84" s="34">
        <v>1.0413007736</v>
      </c>
      <c r="AF84" s="34">
        <v>1.0312302113</v>
      </c>
      <c r="AG84" s="34">
        <v>1.0162655115000001</v>
      </c>
      <c r="AH84" s="128">
        <v>0.54921519760000004</v>
      </c>
      <c r="AI84" s="128">
        <v>0.1316027045</v>
      </c>
      <c r="AJ84" s="128">
        <v>0.1058187932</v>
      </c>
      <c r="AK84" s="128">
        <v>0.15445043150000001</v>
      </c>
      <c r="AL84" s="128">
        <v>0.1563546807</v>
      </c>
      <c r="AM84" s="128">
        <v>0.15307463709999999</v>
      </c>
      <c r="AN84" s="128"/>
      <c r="AP84" s="34">
        <f t="shared" si="20"/>
        <v>0.70685896874000009</v>
      </c>
      <c r="AQ84" s="34">
        <f t="shared" si="21"/>
        <v>1.2884597778</v>
      </c>
      <c r="AR84" s="34">
        <f t="shared" si="22"/>
        <v>1.9182051618999998</v>
      </c>
      <c r="AS84" s="34">
        <f t="shared" si="23"/>
        <v>2.3305000066749999</v>
      </c>
      <c r="AT84" s="34">
        <f t="shared" si="24"/>
        <v>1.71492505075</v>
      </c>
      <c r="AU84" s="34">
        <f t="shared" si="25"/>
        <v>1.0654495613857142</v>
      </c>
    </row>
    <row r="85" spans="1:47">
      <c r="A85" s="61" t="s">
        <v>466</v>
      </c>
      <c r="B85" s="31">
        <v>8</v>
      </c>
      <c r="D85" s="31" t="s">
        <v>314</v>
      </c>
      <c r="E85" s="34" cm="1">
        <f t="array" ref="E85:AM85">TRANSPOSE(_xlfn._xlws.FILTER('Raw Data'!EF3:EF325,('Raw Data'!C3:C325=6)*('Raw Data'!EF3:EF325&lt;&gt;"")))</f>
        <v>1.2701462507000001</v>
      </c>
      <c r="F85" s="34">
        <v>1.2195942402</v>
      </c>
      <c r="G85" s="34">
        <v>1.2996428013000001</v>
      </c>
      <c r="H85" s="34">
        <v>1.5658833981</v>
      </c>
      <c r="I85" s="34">
        <v>1.5736461878000001</v>
      </c>
      <c r="J85" s="34">
        <v>2.1427063942000002</v>
      </c>
      <c r="K85" s="34">
        <v>2.1059162617</v>
      </c>
      <c r="L85" s="34">
        <v>2.1262409686999999</v>
      </c>
      <c r="M85" s="34">
        <v>2.0927259922000001</v>
      </c>
      <c r="N85" s="34">
        <v>2.0588316917</v>
      </c>
      <c r="O85" s="34">
        <v>2.0252318381999999</v>
      </c>
      <c r="P85" s="34">
        <v>1.7215971946999999</v>
      </c>
      <c r="Q85" s="34">
        <v>1.6865950823</v>
      </c>
      <c r="R85" s="34">
        <v>1.6794844866</v>
      </c>
      <c r="S85" s="34">
        <v>1.6408084630999999</v>
      </c>
      <c r="T85" s="34">
        <v>1.6530735492999999</v>
      </c>
      <c r="U85" s="34">
        <v>0.72553145890000004</v>
      </c>
      <c r="V85" s="34">
        <v>0.69600099329999998</v>
      </c>
      <c r="W85" s="34">
        <v>0.7087699771</v>
      </c>
      <c r="X85" s="34">
        <v>0.66956865789999997</v>
      </c>
      <c r="Y85" s="34">
        <v>0.1988157928</v>
      </c>
      <c r="Z85" s="34">
        <v>0.1986086071</v>
      </c>
      <c r="AA85" s="34">
        <v>0.1442439854</v>
      </c>
      <c r="AB85" s="34">
        <v>0.14879289270000001</v>
      </c>
      <c r="AC85" s="34">
        <v>0.1504498869</v>
      </c>
      <c r="AD85" s="34">
        <v>0.15174414219999999</v>
      </c>
      <c r="AE85" s="34">
        <v>0.15279895069999999</v>
      </c>
      <c r="AF85" s="34">
        <v>0.1555850208</v>
      </c>
      <c r="AG85" s="34">
        <v>0.1555418968</v>
      </c>
      <c r="AH85" s="128">
        <v>0.1422791481</v>
      </c>
      <c r="AI85" s="128">
        <v>0.2358247936</v>
      </c>
      <c r="AJ85" s="128">
        <v>0.2219073027</v>
      </c>
      <c r="AK85" s="128">
        <v>0.2828427255</v>
      </c>
      <c r="AL85" s="128">
        <v>0.28744110470000001</v>
      </c>
      <c r="AM85" s="128">
        <v>0.28984615209999998</v>
      </c>
      <c r="AN85" s="128"/>
      <c r="AP85" s="34">
        <f t="shared" si="20"/>
        <v>1.38578257562</v>
      </c>
      <c r="AQ85" s="34">
        <f t="shared" si="21"/>
        <v>2.1052842617</v>
      </c>
      <c r="AR85" s="34">
        <f t="shared" si="22"/>
        <v>1.7344651023666666</v>
      </c>
      <c r="AS85" s="34">
        <f t="shared" si="23"/>
        <v>0.69996777180000014</v>
      </c>
      <c r="AT85" s="34">
        <f t="shared" si="24"/>
        <v>0.19871219995</v>
      </c>
      <c r="AU85" s="34">
        <f t="shared" si="25"/>
        <v>0.15130811078571429</v>
      </c>
    </row>
    <row r="86" spans="1:47">
      <c r="A86" s="61" t="s">
        <v>467</v>
      </c>
      <c r="B86" s="31" t="s">
        <v>492</v>
      </c>
      <c r="D86" s="31" t="s">
        <v>314</v>
      </c>
      <c r="E86" s="34" cm="1">
        <f t="array" ref="E86:AM86">TRANSPOSE(_xlfn._xlws.FILTER('Raw Data'!EH3:EH326,('Raw Data'!C3:C326=6)*('Raw Data'!EH3:EH326&lt;&gt;"")))</f>
        <v>3.3622168000000001E-2</v>
      </c>
      <c r="F86" s="34">
        <v>1.13696037E-2</v>
      </c>
      <c r="G86" s="34">
        <v>2.7876235499999999E-2</v>
      </c>
      <c r="H86" s="34">
        <v>2.8427080000000002E-3</v>
      </c>
      <c r="I86" s="34">
        <v>1.6558992E-3</v>
      </c>
      <c r="J86" s="34">
        <v>1.2159393E-3</v>
      </c>
      <c r="K86" s="34">
        <v>1.0327050999999999E-3</v>
      </c>
      <c r="L86" s="34">
        <v>2.6800383000000001E-3</v>
      </c>
      <c r="M86" s="34">
        <v>1.1537987E-3</v>
      </c>
      <c r="N86" s="34">
        <v>1.9839532000000002E-3</v>
      </c>
      <c r="O86" s="34">
        <v>1.3712189000000001E-3</v>
      </c>
      <c r="P86" s="34">
        <v>7.5779235999999996E-3</v>
      </c>
      <c r="Q86" s="34">
        <v>7.7154151999999998E-3</v>
      </c>
      <c r="R86" s="34">
        <v>7.7705658000000004E-3</v>
      </c>
      <c r="S86" s="34">
        <v>8.8737281000000005E-3</v>
      </c>
      <c r="T86" s="34">
        <v>7.9770172000000004E-3</v>
      </c>
      <c r="U86" s="34">
        <v>1.20099382E-2</v>
      </c>
      <c r="V86" s="34">
        <v>1.2340319299999999E-2</v>
      </c>
      <c r="W86" s="34">
        <v>1.3978137599999999E-2</v>
      </c>
      <c r="X86" s="34">
        <v>1.32489949E-2</v>
      </c>
      <c r="Y86" s="34">
        <v>1.58562828E-2</v>
      </c>
      <c r="Z86" s="34">
        <v>1.51241329E-2</v>
      </c>
      <c r="AA86" s="34">
        <v>1.97831802E-2</v>
      </c>
      <c r="AB86" s="34">
        <v>2.0483775100000001E-2</v>
      </c>
      <c r="AC86" s="34">
        <v>2.0569633699999999E-2</v>
      </c>
      <c r="AD86" s="34">
        <v>2.1524939699999999E-2</v>
      </c>
      <c r="AE86" s="34">
        <v>2.1784346600000001E-2</v>
      </c>
      <c r="AF86" s="34">
        <v>2.2902296900000001E-2</v>
      </c>
      <c r="AG86" s="34">
        <v>2.2316349700000002E-2</v>
      </c>
      <c r="AH86" s="128">
        <v>1.4074342300000001E-2</v>
      </c>
      <c r="AI86" s="128">
        <v>1.25273243E-2</v>
      </c>
      <c r="AJ86" s="128">
        <v>1.4506008500000001E-2</v>
      </c>
      <c r="AK86" s="128">
        <v>1.04993572E-2</v>
      </c>
      <c r="AL86" s="128">
        <v>1.0083481700000001E-2</v>
      </c>
      <c r="AM86" s="128">
        <v>1.09119192E-2</v>
      </c>
      <c r="AN86" s="128"/>
      <c r="AP86" s="34">
        <f t="shared" si="20"/>
        <v>1.5473322880000001E-2</v>
      </c>
      <c r="AQ86" s="34">
        <f t="shared" si="21"/>
        <v>1.61328692E-3</v>
      </c>
      <c r="AR86" s="34">
        <f t="shared" si="22"/>
        <v>6.8809781333333334E-3</v>
      </c>
      <c r="AS86" s="34">
        <f t="shared" si="23"/>
        <v>1.2894347499999998E-2</v>
      </c>
      <c r="AT86" s="34">
        <f t="shared" si="24"/>
        <v>1.549020785E-2</v>
      </c>
      <c r="AU86" s="34">
        <f t="shared" si="25"/>
        <v>2.1337788842857142E-2</v>
      </c>
    </row>
    <row r="87" spans="1:47" s="137" customFormat="1">
      <c r="A87" s="135" t="s">
        <v>468</v>
      </c>
      <c r="B87" s="136"/>
      <c r="C87" s="136"/>
      <c r="D87" s="136" t="s">
        <v>314</v>
      </c>
      <c r="E87" s="142">
        <f>SUM(E68:E86)</f>
        <v>100.00002458399999</v>
      </c>
      <c r="F87" s="142">
        <f t="shared" ref="F87:AM87" si="26">SUM(F68:F86)</f>
        <v>100.00001084370001</v>
      </c>
      <c r="G87" s="142">
        <f t="shared" si="26"/>
        <v>100.00000166910002</v>
      </c>
      <c r="H87" s="142">
        <f t="shared" si="26"/>
        <v>99.999984306100004</v>
      </c>
      <c r="I87" s="142">
        <f t="shared" si="26"/>
        <v>99.999976463899998</v>
      </c>
      <c r="J87" s="142">
        <f t="shared" si="26"/>
        <v>100.00000538030001</v>
      </c>
      <c r="K87" s="142">
        <f t="shared" si="26"/>
        <v>100.00002297559999</v>
      </c>
      <c r="L87" s="142">
        <f t="shared" si="26"/>
        <v>99.999988594399994</v>
      </c>
      <c r="M87" s="142">
        <f t="shared" si="26"/>
        <v>99.999994630200021</v>
      </c>
      <c r="N87" s="142">
        <f t="shared" si="26"/>
        <v>99.999984186600003</v>
      </c>
      <c r="O87" s="142">
        <f t="shared" si="26"/>
        <v>100.00001225910002</v>
      </c>
      <c r="P87" s="142">
        <f t="shared" si="26"/>
        <v>100.00000262249999</v>
      </c>
      <c r="Q87" s="142">
        <f t="shared" si="26"/>
        <v>100.0000023115</v>
      </c>
      <c r="R87" s="142">
        <f t="shared" si="26"/>
        <v>100.00000430430002</v>
      </c>
      <c r="S87" s="142">
        <f t="shared" si="26"/>
        <v>99.999934935100015</v>
      </c>
      <c r="T87" s="142">
        <f t="shared" si="26"/>
        <v>100.00002096040002</v>
      </c>
      <c r="U87" s="142">
        <f t="shared" si="26"/>
        <v>99.9999857209</v>
      </c>
      <c r="V87" s="142">
        <f t="shared" si="26"/>
        <v>100.0000238595</v>
      </c>
      <c r="W87" s="142">
        <f t="shared" si="26"/>
        <v>100.00000592860002</v>
      </c>
      <c r="X87" s="142">
        <f t="shared" si="26"/>
        <v>100.0000222772</v>
      </c>
      <c r="Y87" s="142">
        <f t="shared" si="26"/>
        <v>99.999989637100001</v>
      </c>
      <c r="Z87" s="142">
        <f t="shared" si="26"/>
        <v>99.999998159</v>
      </c>
      <c r="AA87" s="142">
        <f t="shared" si="26"/>
        <v>100.00001222349998</v>
      </c>
      <c r="AB87" s="142">
        <f t="shared" si="26"/>
        <v>99.999996842000002</v>
      </c>
      <c r="AC87" s="142">
        <f t="shared" si="26"/>
        <v>99.99998849310002</v>
      </c>
      <c r="AD87" s="142">
        <f t="shared" si="26"/>
        <v>99.9999737686</v>
      </c>
      <c r="AE87" s="142">
        <f t="shared" si="26"/>
        <v>99.999974143300022</v>
      </c>
      <c r="AF87" s="142">
        <f t="shared" si="26"/>
        <v>99.999975070799991</v>
      </c>
      <c r="AG87" s="142">
        <f t="shared" si="26"/>
        <v>100.00001669260001</v>
      </c>
      <c r="AH87" s="142">
        <f t="shared" si="26"/>
        <v>99.999986961100021</v>
      </c>
      <c r="AI87" s="142">
        <f t="shared" si="26"/>
        <v>100.00002608519999</v>
      </c>
      <c r="AJ87" s="142">
        <f t="shared" si="26"/>
        <v>100.0000238738</v>
      </c>
      <c r="AK87" s="142">
        <f t="shared" si="26"/>
        <v>100.00000736060002</v>
      </c>
      <c r="AL87" s="142">
        <f t="shared" si="26"/>
        <v>100.0000019349</v>
      </c>
      <c r="AM87" s="142">
        <f t="shared" si="26"/>
        <v>100.00000834810002</v>
      </c>
      <c r="AN87" s="136"/>
      <c r="AO87" s="136"/>
      <c r="AP87" s="136"/>
      <c r="AQ87" s="136"/>
      <c r="AR87" s="136"/>
      <c r="AS87" s="136"/>
    </row>
    <row r="88" spans="1:47">
      <c r="A88" s="61" t="s">
        <v>264</v>
      </c>
      <c r="B88" s="31">
        <v>3</v>
      </c>
      <c r="C88" s="61" t="s">
        <v>461</v>
      </c>
      <c r="D88" s="31" t="s">
        <v>12</v>
      </c>
      <c r="E88" s="57">
        <f t="shared" ref="E88:T106" si="27">E$62*E68/100</f>
        <v>2.1217541782920456E-3</v>
      </c>
      <c r="F88" s="57">
        <f t="shared" si="27"/>
        <v>2.13826772389587E-3</v>
      </c>
      <c r="G88" s="57">
        <f t="shared" si="27"/>
        <v>1.6615180283450764E-3</v>
      </c>
      <c r="H88" s="57">
        <f t="shared" si="27"/>
        <v>2.2196308392928906E-3</v>
      </c>
      <c r="I88" s="57">
        <f t="shared" si="27"/>
        <v>2.376383890577947E-3</v>
      </c>
      <c r="J88" s="57">
        <f t="shared" si="27"/>
        <v>7.5376773076974079E-3</v>
      </c>
      <c r="K88" s="57">
        <f t="shared" si="27"/>
        <v>7.8145157615110601E-3</v>
      </c>
      <c r="L88" s="57">
        <f t="shared" si="27"/>
        <v>7.6883019064846389E-3</v>
      </c>
      <c r="M88" s="57">
        <f t="shared" si="27"/>
        <v>8.0975278330390529E-3</v>
      </c>
      <c r="N88" s="57">
        <f t="shared" si="27"/>
        <v>8.5930736850445763E-3</v>
      </c>
      <c r="O88" s="57">
        <f t="shared" si="27"/>
        <v>8.8199753224950349E-3</v>
      </c>
      <c r="P88" s="57">
        <f t="shared" si="27"/>
        <v>2.3905935572430575E-2</v>
      </c>
      <c r="Q88" s="57">
        <f t="shared" si="27"/>
        <v>2.4461905447099797E-2</v>
      </c>
      <c r="R88" s="57">
        <f t="shared" si="27"/>
        <v>2.4998491058422986E-2</v>
      </c>
      <c r="S88" s="57">
        <f t="shared" si="27"/>
        <v>2.6238720422863793E-2</v>
      </c>
      <c r="T88" s="57">
        <f t="shared" si="27"/>
        <v>2.5720995584730674E-2</v>
      </c>
      <c r="U88" s="57">
        <f t="shared" ref="F88:AM95" si="28">U$62*U68/100</f>
        <v>5.8194855214342631E-2</v>
      </c>
      <c r="V88" s="57">
        <f t="shared" si="28"/>
        <v>5.8100509051018392E-2</v>
      </c>
      <c r="W88" s="57">
        <f t="shared" si="28"/>
        <v>5.7572940564843883E-2</v>
      </c>
      <c r="X88" s="57">
        <f t="shared" si="28"/>
        <v>6.0744656544962118E-2</v>
      </c>
      <c r="Y88" s="57">
        <f t="shared" si="28"/>
        <v>9.9483424399317844E-2</v>
      </c>
      <c r="Z88" s="57">
        <f t="shared" si="28"/>
        <v>9.8869347364535537E-2</v>
      </c>
      <c r="AA88" s="57">
        <f t="shared" si="28"/>
        <v>0.12422432130091736</v>
      </c>
      <c r="AB88" s="57">
        <f t="shared" si="28"/>
        <v>0.12436165337262128</v>
      </c>
      <c r="AC88" s="57">
        <f t="shared" si="28"/>
        <v>0.12629869162294172</v>
      </c>
      <c r="AD88" s="57">
        <f t="shared" si="28"/>
        <v>0.1275012113331061</v>
      </c>
      <c r="AE88" s="57">
        <f t="shared" si="28"/>
        <v>0.12784970700635301</v>
      </c>
      <c r="AF88" s="57">
        <f t="shared" si="28"/>
        <v>0.12962812736451373</v>
      </c>
      <c r="AG88" s="57">
        <f t="shared" si="28"/>
        <v>0.12817641084430906</v>
      </c>
      <c r="AH88" s="125">
        <f t="shared" si="28"/>
        <v>6.6415256663573838E-5</v>
      </c>
      <c r="AI88" s="125">
        <f t="shared" si="28"/>
        <v>1.3280318380391642E-4</v>
      </c>
      <c r="AJ88" s="125">
        <f t="shared" si="28"/>
        <v>1.1018605855877537E-4</v>
      </c>
      <c r="AK88" s="125">
        <f t="shared" si="28"/>
        <v>2.0592285472543852E-4</v>
      </c>
      <c r="AL88" s="125">
        <f t="shared" si="28"/>
        <v>1.9475684302444659E-4</v>
      </c>
      <c r="AM88" s="125">
        <f t="shared" si="28"/>
        <v>1.9753656060026499E-4</v>
      </c>
      <c r="AN88" s="67"/>
    </row>
    <row r="89" spans="1:47">
      <c r="A89" s="66" t="s">
        <v>265</v>
      </c>
      <c r="B89" s="31">
        <v>4</v>
      </c>
      <c r="C89" s="61" t="s">
        <v>462</v>
      </c>
      <c r="D89" s="31" t="s">
        <v>12</v>
      </c>
      <c r="E89" s="57">
        <f t="shared" si="27"/>
        <v>6.9215652980351774E-3</v>
      </c>
      <c r="F89" s="57">
        <f t="shared" si="28"/>
        <v>6.7111622978202508E-3</v>
      </c>
      <c r="G89" s="57">
        <f t="shared" si="28"/>
        <v>5.4202007739149634E-3</v>
      </c>
      <c r="H89" s="57">
        <f t="shared" si="28"/>
        <v>7.4251737147334939E-3</v>
      </c>
      <c r="I89" s="57">
        <f t="shared" si="28"/>
        <v>7.896693024124957E-3</v>
      </c>
      <c r="J89" s="57">
        <f t="shared" si="28"/>
        <v>2.2465908432123208E-2</v>
      </c>
      <c r="K89" s="57">
        <f t="shared" si="28"/>
        <v>2.3288388618277124E-2</v>
      </c>
      <c r="L89" s="57">
        <f t="shared" si="28"/>
        <v>2.2937139499022902E-2</v>
      </c>
      <c r="M89" s="57">
        <f t="shared" si="28"/>
        <v>2.3888127195601475E-2</v>
      </c>
      <c r="N89" s="57">
        <f t="shared" si="28"/>
        <v>2.5253416779823304E-2</v>
      </c>
      <c r="O89" s="57">
        <f t="shared" si="28"/>
        <v>2.571620492223432E-2</v>
      </c>
      <c r="P89" s="57">
        <f t="shared" si="28"/>
        <v>6.0564578927159857E-2</v>
      </c>
      <c r="Q89" s="57">
        <f t="shared" si="28"/>
        <v>6.1593066751472698E-2</v>
      </c>
      <c r="R89" s="57">
        <f t="shared" si="28"/>
        <v>6.2910632601742136E-2</v>
      </c>
      <c r="S89" s="57">
        <f t="shared" si="28"/>
        <v>6.5626022965823719E-2</v>
      </c>
      <c r="T89" s="57">
        <f t="shared" si="28"/>
        <v>6.4566556446130088E-2</v>
      </c>
      <c r="U89" s="57">
        <f t="shared" si="28"/>
        <v>0.1239857069324522</v>
      </c>
      <c r="V89" s="57">
        <f t="shared" si="28"/>
        <v>0.12281903440324374</v>
      </c>
      <c r="W89" s="57">
        <f t="shared" si="28"/>
        <v>0.12195612406349142</v>
      </c>
      <c r="X89" s="57">
        <f t="shared" si="28"/>
        <v>0.12768948790969037</v>
      </c>
      <c r="Y89" s="57">
        <f t="shared" si="28"/>
        <v>0.18337127679078474</v>
      </c>
      <c r="Z89" s="57">
        <f t="shared" si="28"/>
        <v>0.18235213494167943</v>
      </c>
      <c r="AA89" s="57">
        <f t="shared" si="28"/>
        <v>0.22132714551993302</v>
      </c>
      <c r="AB89" s="57">
        <f t="shared" si="28"/>
        <v>0.22254713126430034</v>
      </c>
      <c r="AC89" s="57">
        <f t="shared" si="28"/>
        <v>0.22598551827792956</v>
      </c>
      <c r="AD89" s="57">
        <f t="shared" si="28"/>
        <v>0.2286044687532964</v>
      </c>
      <c r="AE89" s="57">
        <f t="shared" si="28"/>
        <v>0.22954570145059844</v>
      </c>
      <c r="AF89" s="57">
        <f t="shared" si="28"/>
        <v>0.23300256737205818</v>
      </c>
      <c r="AG89" s="57">
        <f t="shared" si="28"/>
        <v>0.22995792055235417</v>
      </c>
      <c r="AH89" s="125">
        <f t="shared" si="28"/>
        <v>1.7620854618784784E-4</v>
      </c>
      <c r="AI89" s="125">
        <f t="shared" si="28"/>
        <v>4.8994025795044975E-4</v>
      </c>
      <c r="AJ89" s="125">
        <f t="shared" si="28"/>
        <v>3.8467610907657213E-4</v>
      </c>
      <c r="AK89" s="125">
        <f t="shared" si="28"/>
        <v>7.7178621864405826E-4</v>
      </c>
      <c r="AL89" s="125">
        <f t="shared" si="28"/>
        <v>8.1114317634580499E-4</v>
      </c>
      <c r="AM89" s="125">
        <f t="shared" si="28"/>
        <v>8.2022649947448626E-4</v>
      </c>
      <c r="AN89" s="67"/>
    </row>
    <row r="90" spans="1:47">
      <c r="A90" s="66" t="s">
        <v>266</v>
      </c>
      <c r="B90" s="31">
        <v>4</v>
      </c>
      <c r="C90" s="61" t="s">
        <v>461</v>
      </c>
      <c r="D90" s="31" t="s">
        <v>12</v>
      </c>
      <c r="E90" s="57">
        <f t="shared" si="27"/>
        <v>1.470324798557138E-3</v>
      </c>
      <c r="F90" s="57">
        <f t="shared" si="28"/>
        <v>1.3215575327264915E-3</v>
      </c>
      <c r="G90" s="57">
        <f t="shared" si="28"/>
        <v>1.1788199871633834E-3</v>
      </c>
      <c r="H90" s="57">
        <f t="shared" si="28"/>
        <v>1.5300487879394351E-3</v>
      </c>
      <c r="I90" s="57">
        <f t="shared" si="28"/>
        <v>1.6080691333538533E-3</v>
      </c>
      <c r="J90" s="57">
        <f t="shared" si="28"/>
        <v>4.6833638755868299E-3</v>
      </c>
      <c r="K90" s="57">
        <f t="shared" si="28"/>
        <v>4.8684050663201518E-3</v>
      </c>
      <c r="L90" s="57">
        <f t="shared" si="28"/>
        <v>4.819080179822118E-3</v>
      </c>
      <c r="M90" s="57">
        <f t="shared" si="28"/>
        <v>4.9318563757678882E-3</v>
      </c>
      <c r="N90" s="57">
        <f t="shared" si="28"/>
        <v>5.2009493868107274E-3</v>
      </c>
      <c r="O90" s="57">
        <f t="shared" si="28"/>
        <v>5.2684676251772578E-3</v>
      </c>
      <c r="P90" s="57">
        <f t="shared" si="28"/>
        <v>1.2109440265906357E-2</v>
      </c>
      <c r="Q90" s="57">
        <f t="shared" si="28"/>
        <v>1.2221961028085159E-2</v>
      </c>
      <c r="R90" s="57">
        <f t="shared" si="28"/>
        <v>1.2458831139767429E-2</v>
      </c>
      <c r="S90" s="57">
        <f t="shared" si="28"/>
        <v>1.2879627359146273E-2</v>
      </c>
      <c r="T90" s="57">
        <f t="shared" si="28"/>
        <v>1.2747435006708023E-2</v>
      </c>
      <c r="U90" s="57">
        <f t="shared" si="28"/>
        <v>2.1702856526302026E-2</v>
      </c>
      <c r="V90" s="57">
        <f t="shared" si="28"/>
        <v>2.1388766154554966E-2</v>
      </c>
      <c r="W90" s="57">
        <f t="shared" si="28"/>
        <v>2.1121065908498462E-2</v>
      </c>
      <c r="X90" s="57">
        <f t="shared" si="28"/>
        <v>2.1897429477606832E-2</v>
      </c>
      <c r="Y90" s="57">
        <f t="shared" si="28"/>
        <v>2.6616917330906684E-2</v>
      </c>
      <c r="Z90" s="57">
        <f t="shared" si="28"/>
        <v>2.6439825651589199E-2</v>
      </c>
      <c r="AA90" s="57">
        <f t="shared" si="28"/>
        <v>2.8811734883748601E-2</v>
      </c>
      <c r="AB90" s="57">
        <f t="shared" si="28"/>
        <v>2.9083027450294341E-2</v>
      </c>
      <c r="AC90" s="57">
        <f t="shared" si="28"/>
        <v>2.9256315630076205E-2</v>
      </c>
      <c r="AD90" s="57">
        <f t="shared" si="28"/>
        <v>2.9740637296736448E-2</v>
      </c>
      <c r="AE90" s="57">
        <f t="shared" si="28"/>
        <v>2.9740441599160877E-2</v>
      </c>
      <c r="AF90" s="57">
        <f t="shared" si="28"/>
        <v>3.0094120413187455E-2</v>
      </c>
      <c r="AG90" s="57">
        <f t="shared" si="28"/>
        <v>2.972345240777241E-2</v>
      </c>
      <c r="AH90" s="125">
        <f t="shared" si="28"/>
        <v>3.2209193799516226E-5</v>
      </c>
      <c r="AI90" s="125">
        <f t="shared" si="28"/>
        <v>8.8268852857258329E-5</v>
      </c>
      <c r="AJ90" s="125">
        <f t="shared" si="28"/>
        <v>6.6733770576745045E-5</v>
      </c>
      <c r="AK90" s="125">
        <f t="shared" si="28"/>
        <v>1.29746534859318E-4</v>
      </c>
      <c r="AL90" s="125">
        <f t="shared" si="28"/>
        <v>1.4559551884666782E-4</v>
      </c>
      <c r="AM90" s="125">
        <f t="shared" si="28"/>
        <v>1.4124361036952637E-4</v>
      </c>
      <c r="AN90" s="67"/>
    </row>
    <row r="91" spans="1:47">
      <c r="A91" s="66" t="s">
        <v>267</v>
      </c>
      <c r="B91" s="31">
        <v>5</v>
      </c>
      <c r="C91" s="61" t="s">
        <v>462</v>
      </c>
      <c r="D91" s="31" t="s">
        <v>12</v>
      </c>
      <c r="E91" s="57">
        <f t="shared" si="27"/>
        <v>2.8456745138392614E-3</v>
      </c>
      <c r="F91" s="57">
        <f t="shared" si="28"/>
        <v>2.2695426183925839E-3</v>
      </c>
      <c r="G91" s="57">
        <f t="shared" si="28"/>
        <v>2.1955748960821339E-3</v>
      </c>
      <c r="H91" s="57">
        <f t="shared" si="28"/>
        <v>2.0700769319180901E-3</v>
      </c>
      <c r="I91" s="57">
        <f t="shared" si="28"/>
        <v>2.1971973106080698E-3</v>
      </c>
      <c r="J91" s="57">
        <f t="shared" si="28"/>
        <v>6.1692370815875528E-3</v>
      </c>
      <c r="K91" s="57">
        <f t="shared" si="28"/>
        <v>6.3429754770255795E-3</v>
      </c>
      <c r="L91" s="57">
        <f t="shared" si="28"/>
        <v>6.2695049877257714E-3</v>
      </c>
      <c r="M91" s="57">
        <f t="shared" si="28"/>
        <v>6.4560163157698002E-3</v>
      </c>
      <c r="N91" s="57">
        <f t="shared" si="28"/>
        <v>6.7513705197720861E-3</v>
      </c>
      <c r="O91" s="57">
        <f t="shared" si="28"/>
        <v>6.848826124270041E-3</v>
      </c>
      <c r="P91" s="57">
        <f t="shared" si="28"/>
        <v>1.5105438760636899E-2</v>
      </c>
      <c r="Q91" s="57">
        <f t="shared" si="28"/>
        <v>1.5205683479853604E-2</v>
      </c>
      <c r="R91" s="57">
        <f t="shared" si="28"/>
        <v>1.5551221373574066E-2</v>
      </c>
      <c r="S91" s="57">
        <f t="shared" si="28"/>
        <v>1.6043337007719028E-2</v>
      </c>
      <c r="T91" s="57">
        <f t="shared" si="28"/>
        <v>1.5794010712948458E-2</v>
      </c>
      <c r="U91" s="57">
        <f t="shared" si="28"/>
        <v>2.6002320289030743E-2</v>
      </c>
      <c r="V91" s="57">
        <f t="shared" si="28"/>
        <v>2.5456947251519039E-2</v>
      </c>
      <c r="W91" s="57">
        <f t="shared" si="28"/>
        <v>2.5281936740630919E-2</v>
      </c>
      <c r="X91" s="57">
        <f t="shared" si="28"/>
        <v>2.6172370081196102E-2</v>
      </c>
      <c r="Y91" s="57">
        <f t="shared" si="28"/>
        <v>3.0737886610173844E-2</v>
      </c>
      <c r="Z91" s="57">
        <f t="shared" si="28"/>
        <v>3.05891594008245E-2</v>
      </c>
      <c r="AA91" s="57">
        <f t="shared" si="28"/>
        <v>3.5203946452236033E-2</v>
      </c>
      <c r="AB91" s="57">
        <f t="shared" si="28"/>
        <v>3.5853755252032389E-2</v>
      </c>
      <c r="AC91" s="57">
        <f t="shared" si="28"/>
        <v>3.6504338324455057E-2</v>
      </c>
      <c r="AD91" s="57">
        <f t="shared" si="28"/>
        <v>3.7134163466345071E-2</v>
      </c>
      <c r="AE91" s="57">
        <f t="shared" si="28"/>
        <v>3.766517204896265E-2</v>
      </c>
      <c r="AF91" s="57">
        <f t="shared" si="28"/>
        <v>3.851876102458078E-2</v>
      </c>
      <c r="AG91" s="57">
        <f t="shared" si="28"/>
        <v>3.7834946358675792E-2</v>
      </c>
      <c r="AH91" s="125">
        <f t="shared" si="28"/>
        <v>7.9376411562486897E-5</v>
      </c>
      <c r="AI91" s="125">
        <f t="shared" si="28"/>
        <v>1.3314084544272127E-4</v>
      </c>
      <c r="AJ91" s="125">
        <f t="shared" si="28"/>
        <v>1.1508727976574615E-4</v>
      </c>
      <c r="AK91" s="125">
        <f t="shared" si="28"/>
        <v>2.129764829203474E-4</v>
      </c>
      <c r="AL91" s="125">
        <f t="shared" si="28"/>
        <v>2.1935410012109539E-4</v>
      </c>
      <c r="AM91" s="125">
        <f t="shared" si="28"/>
        <v>2.22873188992899E-4</v>
      </c>
      <c r="AN91" s="67"/>
    </row>
    <row r="92" spans="1:47">
      <c r="A92" s="66" t="s">
        <v>268</v>
      </c>
      <c r="B92" s="31">
        <v>5</v>
      </c>
      <c r="C92" s="61" t="s">
        <v>461</v>
      </c>
      <c r="D92" s="31" t="s">
        <v>12</v>
      </c>
      <c r="E92" s="57">
        <f t="shared" si="27"/>
        <v>7.029915821274615E-4</v>
      </c>
      <c r="F92" s="57">
        <f t="shared" si="28"/>
        <v>3.4634586847337125E-4</v>
      </c>
      <c r="G92" s="57">
        <f t="shared" si="28"/>
        <v>5.4360794007926214E-4</v>
      </c>
      <c r="H92" s="57">
        <f t="shared" si="28"/>
        <v>1.4331683689704442E-4</v>
      </c>
      <c r="I92" s="57">
        <f t="shared" si="28"/>
        <v>1.3892052167964301E-4</v>
      </c>
      <c r="J92" s="57">
        <f t="shared" si="28"/>
        <v>3.7230831797350453E-4</v>
      </c>
      <c r="K92" s="57">
        <f t="shared" si="28"/>
        <v>3.7759243198420454E-4</v>
      </c>
      <c r="L92" s="57">
        <f t="shared" si="28"/>
        <v>3.7324403970316459E-4</v>
      </c>
      <c r="M92" s="57">
        <f t="shared" si="28"/>
        <v>3.990863178659091E-4</v>
      </c>
      <c r="N92" s="57">
        <f t="shared" si="28"/>
        <v>4.2172620707803005E-4</v>
      </c>
      <c r="O92" s="57">
        <f t="shared" si="28"/>
        <v>4.4305205085760804E-4</v>
      </c>
      <c r="P92" s="57">
        <f t="shared" si="28"/>
        <v>1.2218838965175371E-3</v>
      </c>
      <c r="Q92" s="57">
        <f t="shared" si="28"/>
        <v>1.2689946812806145E-3</v>
      </c>
      <c r="R92" s="57">
        <f t="shared" si="28"/>
        <v>1.2999586511879002E-3</v>
      </c>
      <c r="S92" s="57">
        <f t="shared" si="28"/>
        <v>1.3798550699257483E-3</v>
      </c>
      <c r="T92" s="57">
        <f t="shared" si="28"/>
        <v>1.3766759832376438E-3</v>
      </c>
      <c r="U92" s="57">
        <f t="shared" si="28"/>
        <v>3.4914674697065005E-3</v>
      </c>
      <c r="V92" s="57">
        <f t="shared" si="28"/>
        <v>3.513188974104573E-3</v>
      </c>
      <c r="W92" s="57">
        <f t="shared" si="28"/>
        <v>3.5197222844566434E-3</v>
      </c>
      <c r="X92" s="57">
        <f t="shared" si="28"/>
        <v>3.737662693339811E-3</v>
      </c>
      <c r="Y92" s="57">
        <f t="shared" si="28"/>
        <v>7.0643319292906246E-3</v>
      </c>
      <c r="Z92" s="57">
        <f t="shared" si="28"/>
        <v>7.0920154024744844E-3</v>
      </c>
      <c r="AA92" s="57">
        <f t="shared" si="28"/>
        <v>9.8406060744931703E-3</v>
      </c>
      <c r="AB92" s="57">
        <f t="shared" si="28"/>
        <v>9.9604001532477733E-3</v>
      </c>
      <c r="AC92" s="57">
        <f t="shared" si="28"/>
        <v>1.0245690537145333E-2</v>
      </c>
      <c r="AD92" s="57">
        <f t="shared" si="28"/>
        <v>1.0495859050330363E-2</v>
      </c>
      <c r="AE92" s="57">
        <f t="shared" si="28"/>
        <v>1.0732633705611385E-2</v>
      </c>
      <c r="AF92" s="57">
        <f t="shared" si="28"/>
        <v>1.1057507130794271E-2</v>
      </c>
      <c r="AG92" s="57">
        <f t="shared" si="28"/>
        <v>1.0849472767834316E-2</v>
      </c>
      <c r="AH92" s="125">
        <f t="shared" si="28"/>
        <v>2.4143719318539461E-5</v>
      </c>
      <c r="AI92" s="125">
        <f t="shared" si="28"/>
        <v>2.0430858346741176E-5</v>
      </c>
      <c r="AJ92" s="125">
        <f t="shared" si="28"/>
        <v>1.6693624496510901E-5</v>
      </c>
      <c r="AK92" s="125">
        <f t="shared" si="28"/>
        <v>2.1331322445373526E-5</v>
      </c>
      <c r="AL92" s="125">
        <f t="shared" si="28"/>
        <v>2.718105774058889E-5</v>
      </c>
      <c r="AM92" s="125">
        <f t="shared" si="28"/>
        <v>2.2526903740874655E-5</v>
      </c>
      <c r="AN92" s="67"/>
    </row>
    <row r="93" spans="1:47">
      <c r="A93" s="66" t="s">
        <v>269</v>
      </c>
      <c r="B93" s="31">
        <v>6</v>
      </c>
      <c r="C93" s="61" t="s">
        <v>462</v>
      </c>
      <c r="D93" s="31" t="s">
        <v>12</v>
      </c>
      <c r="E93" s="57">
        <f t="shared" si="27"/>
        <v>1.6772134433994986E-3</v>
      </c>
      <c r="F93" s="57">
        <f t="shared" si="28"/>
        <v>1.6518802228546348E-3</v>
      </c>
      <c r="G93" s="57">
        <f t="shared" si="28"/>
        <v>1.2639765755643947E-3</v>
      </c>
      <c r="H93" s="57">
        <f t="shared" si="28"/>
        <v>1.404643302715424E-3</v>
      </c>
      <c r="I93" s="57">
        <f t="shared" si="28"/>
        <v>1.5063032069779134E-3</v>
      </c>
      <c r="J93" s="57">
        <f t="shared" si="28"/>
        <v>4.4870135998983122E-3</v>
      </c>
      <c r="K93" s="57">
        <f t="shared" si="28"/>
        <v>4.6165131031573091E-3</v>
      </c>
      <c r="L93" s="57">
        <f t="shared" si="28"/>
        <v>4.5836940715169982E-3</v>
      </c>
      <c r="M93" s="57">
        <f t="shared" si="28"/>
        <v>4.7225263052649248E-3</v>
      </c>
      <c r="N93" s="57">
        <f t="shared" si="28"/>
        <v>4.9517107515327733E-3</v>
      </c>
      <c r="O93" s="57">
        <f t="shared" si="28"/>
        <v>4.9910140159733166E-3</v>
      </c>
      <c r="P93" s="57">
        <f t="shared" si="28"/>
        <v>1.4923038795466416E-2</v>
      </c>
      <c r="Q93" s="57">
        <f t="shared" si="28"/>
        <v>1.5014798898605979E-2</v>
      </c>
      <c r="R93" s="57">
        <f t="shared" si="28"/>
        <v>1.5021642260908663E-2</v>
      </c>
      <c r="S93" s="57">
        <f t="shared" si="28"/>
        <v>1.5736578175397694E-2</v>
      </c>
      <c r="T93" s="57">
        <f t="shared" si="28"/>
        <v>1.4936565345057036E-2</v>
      </c>
      <c r="U93" s="57">
        <f t="shared" si="28"/>
        <v>4.2963597810816406E-2</v>
      </c>
      <c r="V93" s="57">
        <f t="shared" si="28"/>
        <v>4.2654956116906444E-2</v>
      </c>
      <c r="W93" s="57">
        <f t="shared" si="28"/>
        <v>4.151380342433672E-2</v>
      </c>
      <c r="X93" s="57">
        <f t="shared" si="28"/>
        <v>4.3556168480028211E-2</v>
      </c>
      <c r="Y93" s="57">
        <f t="shared" si="28"/>
        <v>9.8934746409793065E-2</v>
      </c>
      <c r="Z93" s="57">
        <f t="shared" si="28"/>
        <v>9.6795474236354054E-2</v>
      </c>
      <c r="AA93" s="57">
        <f t="shared" si="28"/>
        <v>0.14984881026764585</v>
      </c>
      <c r="AB93" s="57">
        <f t="shared" si="28"/>
        <v>0.14488630739309627</v>
      </c>
      <c r="AC93" s="57">
        <f t="shared" si="28"/>
        <v>0.14675248878517114</v>
      </c>
      <c r="AD93" s="57">
        <f t="shared" si="28"/>
        <v>0.1449455359844144</v>
      </c>
      <c r="AE93" s="57">
        <f t="shared" si="28"/>
        <v>0.14391144043002618</v>
      </c>
      <c r="AF93" s="57">
        <f t="shared" si="28"/>
        <v>0.14707272658687859</v>
      </c>
      <c r="AG93" s="57">
        <f t="shared" si="28"/>
        <v>0.14194589376948544</v>
      </c>
      <c r="AH93" s="125">
        <f t="shared" si="28"/>
        <v>5.5669493559943429E-5</v>
      </c>
      <c r="AI93" s="125">
        <f t="shared" si="28"/>
        <v>8.9215988247084879E-5</v>
      </c>
      <c r="AJ93" s="125">
        <f t="shared" si="28"/>
        <v>7.4713133135406021E-5</v>
      </c>
      <c r="AK93" s="125">
        <f t="shared" si="28"/>
        <v>1.3468378499121062E-4</v>
      </c>
      <c r="AL93" s="125">
        <f t="shared" si="28"/>
        <v>1.2556666972965687E-4</v>
      </c>
      <c r="AM93" s="125">
        <f t="shared" si="28"/>
        <v>1.2137267129712549E-4</v>
      </c>
      <c r="AN93" s="67"/>
    </row>
    <row r="94" spans="1:47">
      <c r="A94" s="66" t="s">
        <v>270</v>
      </c>
      <c r="B94" s="31">
        <v>6</v>
      </c>
      <c r="C94" s="61" t="s">
        <v>462</v>
      </c>
      <c r="D94" s="31" t="s">
        <v>12</v>
      </c>
      <c r="E94" s="57">
        <f t="shared" si="27"/>
        <v>9.3739238465654125E-3</v>
      </c>
      <c r="F94" s="57">
        <f t="shared" si="28"/>
        <v>9.3064096733881455E-3</v>
      </c>
      <c r="G94" s="57">
        <f t="shared" si="28"/>
        <v>7.1180686394689751E-3</v>
      </c>
      <c r="H94" s="57">
        <f t="shared" si="28"/>
        <v>7.8341418342626166E-3</v>
      </c>
      <c r="I94" s="57">
        <f t="shared" si="28"/>
        <v>8.2285959068872892E-3</v>
      </c>
      <c r="J94" s="57">
        <f t="shared" si="28"/>
        <v>2.1666796548101563E-2</v>
      </c>
      <c r="K94" s="57">
        <f t="shared" si="28"/>
        <v>2.1990851587377049E-2</v>
      </c>
      <c r="L94" s="57">
        <f t="shared" si="28"/>
        <v>2.1819175231926145E-2</v>
      </c>
      <c r="M94" s="57">
        <f t="shared" si="28"/>
        <v>2.2373548321072301E-2</v>
      </c>
      <c r="N94" s="57">
        <f t="shared" si="28"/>
        <v>2.3315699561320305E-2</v>
      </c>
      <c r="O94" s="57">
        <f t="shared" si="28"/>
        <v>2.3376600357780206E-2</v>
      </c>
      <c r="P94" s="57">
        <f t="shared" si="28"/>
        <v>5.6709667689675031E-2</v>
      </c>
      <c r="Q94" s="57">
        <f t="shared" si="28"/>
        <v>5.7027101671747189E-2</v>
      </c>
      <c r="R94" s="57">
        <f t="shared" si="28"/>
        <v>5.7282631602881856E-2</v>
      </c>
      <c r="S94" s="57">
        <f t="shared" si="28"/>
        <v>5.8641461458257549E-2</v>
      </c>
      <c r="T94" s="57">
        <f t="shared" si="28"/>
        <v>5.6468156051102662E-2</v>
      </c>
      <c r="U94" s="57">
        <f t="shared" si="28"/>
        <v>0.12279959066132427</v>
      </c>
      <c r="V94" s="57">
        <f t="shared" si="28"/>
        <v>0.12128528413393191</v>
      </c>
      <c r="W94" s="57">
        <f t="shared" si="28"/>
        <v>0.1191194889164182</v>
      </c>
      <c r="X94" s="57">
        <f t="shared" si="28"/>
        <v>0.12369761677835638</v>
      </c>
      <c r="Y94" s="57">
        <f t="shared" si="28"/>
        <v>0.19392953525698292</v>
      </c>
      <c r="Z94" s="57">
        <f t="shared" si="28"/>
        <v>0.19193527196142096</v>
      </c>
      <c r="AA94" s="57">
        <f t="shared" si="28"/>
        <v>0.22487143207091356</v>
      </c>
      <c r="AB94" s="57">
        <f t="shared" si="28"/>
        <v>0.22219813222722828</v>
      </c>
      <c r="AC94" s="57">
        <f t="shared" si="28"/>
        <v>0.22564165219901855</v>
      </c>
      <c r="AD94" s="57">
        <f t="shared" si="28"/>
        <v>0.22578824362431074</v>
      </c>
      <c r="AE94" s="57">
        <f t="shared" si="28"/>
        <v>0.22482744698327845</v>
      </c>
      <c r="AF94" s="57">
        <f t="shared" si="28"/>
        <v>0.227234226322932</v>
      </c>
      <c r="AG94" s="57">
        <f t="shared" si="28"/>
        <v>0.22450778014004097</v>
      </c>
      <c r="AH94" s="125">
        <f t="shared" si="28"/>
        <v>2.4174636275319246E-4</v>
      </c>
      <c r="AI94" s="125">
        <f t="shared" si="28"/>
        <v>5.7417829342644455E-4</v>
      </c>
      <c r="AJ94" s="125">
        <f t="shared" si="28"/>
        <v>4.5325382078793066E-4</v>
      </c>
      <c r="AK94" s="125">
        <f t="shared" si="28"/>
        <v>7.6667389214704574E-4</v>
      </c>
      <c r="AL94" s="125">
        <f t="shared" si="28"/>
        <v>7.9793830538455357E-4</v>
      </c>
      <c r="AM94" s="125">
        <f t="shared" si="28"/>
        <v>8.0856078510808146E-4</v>
      </c>
      <c r="AN94" s="67"/>
    </row>
    <row r="95" spans="1:47">
      <c r="A95" s="66" t="s">
        <v>169</v>
      </c>
      <c r="B95" s="31">
        <v>6</v>
      </c>
      <c r="C95" s="61" t="s">
        <v>462</v>
      </c>
      <c r="D95" s="31" t="s">
        <v>12</v>
      </c>
      <c r="E95" s="57">
        <f t="shared" si="27"/>
        <v>8.8167633229142853E-2</v>
      </c>
      <c r="F95" s="57">
        <f t="shared" si="28"/>
        <v>8.5422489477400915E-2</v>
      </c>
      <c r="G95" s="57">
        <f t="shared" si="28"/>
        <v>7.2742937392474005E-2</v>
      </c>
      <c r="H95" s="57">
        <f t="shared" si="28"/>
        <v>7.0062141579348147E-2</v>
      </c>
      <c r="I95" s="57">
        <f t="shared" si="28"/>
        <v>7.1668869606906507E-2</v>
      </c>
      <c r="J95" s="57">
        <f t="shared" si="28"/>
        <v>0.16285834750996375</v>
      </c>
      <c r="K95" s="57">
        <f t="shared" si="28"/>
        <v>0.16216949331032646</v>
      </c>
      <c r="L95" s="57">
        <f t="shared" si="28"/>
        <v>0.16339361952788495</v>
      </c>
      <c r="M95" s="57">
        <f t="shared" si="28"/>
        <v>0.16274317201114755</v>
      </c>
      <c r="N95" s="57">
        <f t="shared" si="28"/>
        <v>0.16665430523697425</v>
      </c>
      <c r="O95" s="57">
        <f t="shared" si="28"/>
        <v>0.16566679096852457</v>
      </c>
      <c r="P95" s="57">
        <f t="shared" si="28"/>
        <v>0.33601470737174849</v>
      </c>
      <c r="Q95" s="57">
        <f t="shared" si="28"/>
        <v>0.33362957573076818</v>
      </c>
      <c r="R95" s="57">
        <f t="shared" si="28"/>
        <v>0.33439812726156021</v>
      </c>
      <c r="S95" s="57">
        <f t="shared" si="28"/>
        <v>0.33589616328210836</v>
      </c>
      <c r="T95" s="57">
        <f t="shared" si="28"/>
        <v>0.32406873329569436</v>
      </c>
      <c r="U95" s="57">
        <f t="shared" si="28"/>
        <v>0.59362199640050206</v>
      </c>
      <c r="V95" s="57">
        <f t="shared" si="28"/>
        <v>0.58119609910534342</v>
      </c>
      <c r="W95" s="57">
        <f t="shared" si="28"/>
        <v>0.57052008428750578</v>
      </c>
      <c r="X95" s="57">
        <f t="shared" si="28"/>
        <v>0.58745393855973316</v>
      </c>
      <c r="Y95" s="57">
        <f t="shared" si="28"/>
        <v>0.80121691281612439</v>
      </c>
      <c r="Z95" s="57">
        <f t="shared" si="28"/>
        <v>0.79325097710461878</v>
      </c>
      <c r="AA95" s="57">
        <f t="shared" si="28"/>
        <v>0.87682067388967799</v>
      </c>
      <c r="AB95" s="57">
        <f t="shared" si="28"/>
        <v>0.86522138194985676</v>
      </c>
      <c r="AC95" s="57">
        <f t="shared" si="28"/>
        <v>0.8773129473067578</v>
      </c>
      <c r="AD95" s="57">
        <f t="shared" si="28"/>
        <v>0.87790476655014527</v>
      </c>
      <c r="AE95" s="57">
        <f t="shared" si="28"/>
        <v>0.87360405194925372</v>
      </c>
      <c r="AF95" s="57">
        <f t="shared" si="28"/>
        <v>0.88057006571404517</v>
      </c>
      <c r="AG95" s="57">
        <f t="shared" si="28"/>
        <v>0.87200200611134937</v>
      </c>
      <c r="AH95" s="125">
        <f t="shared" si="28"/>
        <v>2.7655544431055782E-3</v>
      </c>
      <c r="AI95" s="125">
        <f t="shared" si="28"/>
        <v>5.4154076882489645E-3</v>
      </c>
      <c r="AJ95" s="125">
        <f t="shared" si="28"/>
        <v>4.5819210608737714E-3</v>
      </c>
      <c r="AK95" s="125">
        <f t="shared" si="28"/>
        <v>6.79816256105642E-3</v>
      </c>
      <c r="AL95" s="125">
        <f t="shared" ref="F95:AM103" si="29">AL$62*AL75/100</f>
        <v>7.1096864664311078E-3</v>
      </c>
      <c r="AM95" s="125">
        <f t="shared" si="29"/>
        <v>7.2588870551574857E-3</v>
      </c>
      <c r="AN95" s="67"/>
    </row>
    <row r="96" spans="1:47">
      <c r="A96" s="66" t="s">
        <v>171</v>
      </c>
      <c r="B96" s="31">
        <v>6</v>
      </c>
      <c r="C96" s="61" t="s">
        <v>462</v>
      </c>
      <c r="D96" s="31" t="s">
        <v>12</v>
      </c>
      <c r="E96" s="57">
        <f t="shared" si="27"/>
        <v>6.0853129897521362E-2</v>
      </c>
      <c r="F96" s="57">
        <f t="shared" si="29"/>
        <v>5.9192400469877046E-2</v>
      </c>
      <c r="G96" s="57">
        <f t="shared" si="29"/>
        <v>5.1074941971801679E-2</v>
      </c>
      <c r="H96" s="57">
        <f t="shared" si="29"/>
        <v>4.9326540989470008E-2</v>
      </c>
      <c r="I96" s="57">
        <f t="shared" si="29"/>
        <v>5.021169301542977E-2</v>
      </c>
      <c r="J96" s="57">
        <f t="shared" si="29"/>
        <v>0.10379377985044043</v>
      </c>
      <c r="K96" s="57">
        <f t="shared" si="29"/>
        <v>0.10297246084749535</v>
      </c>
      <c r="L96" s="57">
        <f t="shared" si="29"/>
        <v>0.10411127950224955</v>
      </c>
      <c r="M96" s="57">
        <f t="shared" si="29"/>
        <v>0.1030151268642885</v>
      </c>
      <c r="N96" s="57">
        <f t="shared" si="29"/>
        <v>0.10530433995969858</v>
      </c>
      <c r="O96" s="57">
        <f t="shared" si="29"/>
        <v>0.10462624244209751</v>
      </c>
      <c r="P96" s="57">
        <f t="shared" si="29"/>
        <v>0.20963901210911673</v>
      </c>
      <c r="Q96" s="57">
        <f t="shared" si="29"/>
        <v>0.20729455773944522</v>
      </c>
      <c r="R96" s="57">
        <f t="shared" si="29"/>
        <v>0.20821915049904458</v>
      </c>
      <c r="S96" s="57">
        <f t="shared" si="29"/>
        <v>0.20793677220071924</v>
      </c>
      <c r="T96" s="57">
        <f t="shared" si="29"/>
        <v>0.20100294745050204</v>
      </c>
      <c r="U96" s="57">
        <f t="shared" si="29"/>
        <v>0.37373049390633944</v>
      </c>
      <c r="V96" s="57">
        <f t="shared" si="29"/>
        <v>0.36581453535573089</v>
      </c>
      <c r="W96" s="57">
        <f t="shared" si="29"/>
        <v>0.35868552471367232</v>
      </c>
      <c r="X96" s="57">
        <f t="shared" si="29"/>
        <v>0.36953217852061904</v>
      </c>
      <c r="Y96" s="57">
        <f t="shared" si="29"/>
        <v>0.51050532989995345</v>
      </c>
      <c r="Z96" s="57">
        <f t="shared" si="29"/>
        <v>0.50512457879047812</v>
      </c>
      <c r="AA96" s="57">
        <f t="shared" si="29"/>
        <v>0.5581814350798121</v>
      </c>
      <c r="AB96" s="57">
        <f t="shared" si="29"/>
        <v>0.55055396999353223</v>
      </c>
      <c r="AC96" s="57">
        <f t="shared" si="29"/>
        <v>0.55818571679999551</v>
      </c>
      <c r="AD96" s="57">
        <f t="shared" si="29"/>
        <v>0.55827424413927262</v>
      </c>
      <c r="AE96" s="57">
        <f t="shared" si="29"/>
        <v>0.5554689539858042</v>
      </c>
      <c r="AF96" s="57">
        <f t="shared" si="29"/>
        <v>0.56056948238148485</v>
      </c>
      <c r="AG96" s="57">
        <f t="shared" si="29"/>
        <v>0.55394127106971414</v>
      </c>
      <c r="AH96" s="125">
        <f t="shared" si="29"/>
        <v>1.2393112068578627E-2</v>
      </c>
      <c r="AI96" s="125">
        <f t="shared" si="29"/>
        <v>1.3018582470528258E-2</v>
      </c>
      <c r="AJ96" s="125">
        <f t="shared" si="29"/>
        <v>1.2967593845857425E-2</v>
      </c>
      <c r="AK96" s="125">
        <f t="shared" si="29"/>
        <v>1.3690484600695933E-2</v>
      </c>
      <c r="AL96" s="125">
        <f t="shared" si="29"/>
        <v>1.3728567589192718E-2</v>
      </c>
      <c r="AM96" s="125">
        <f t="shared" si="29"/>
        <v>1.4059223271909766E-2</v>
      </c>
      <c r="AN96" s="67"/>
    </row>
    <row r="97" spans="1:47">
      <c r="A97" s="66" t="s">
        <v>174</v>
      </c>
      <c r="B97" s="31">
        <v>6</v>
      </c>
      <c r="C97" s="61" t="s">
        <v>461</v>
      </c>
      <c r="D97" s="31" t="s">
        <v>12</v>
      </c>
      <c r="E97" s="57">
        <f t="shared" si="27"/>
        <v>2.3949420945184046</v>
      </c>
      <c r="F97" s="57">
        <f t="shared" si="29"/>
        <v>2.390351595176551</v>
      </c>
      <c r="G97" s="57">
        <f t="shared" si="29"/>
        <v>2.1778925833573748</v>
      </c>
      <c r="H97" s="57">
        <f t="shared" si="29"/>
        <v>2.3334339083310045</v>
      </c>
      <c r="I97" s="57">
        <f t="shared" si="29"/>
        <v>2.3210457096748538</v>
      </c>
      <c r="J97" s="57">
        <f t="shared" si="29"/>
        <v>2.2066204438404564</v>
      </c>
      <c r="K97" s="57">
        <f t="shared" si="29"/>
        <v>2.2095493791245557</v>
      </c>
      <c r="L97" s="57">
        <f t="shared" si="29"/>
        <v>2.2359270498178119</v>
      </c>
      <c r="M97" s="57">
        <f t="shared" si="29"/>
        <v>2.1771845999201722</v>
      </c>
      <c r="N97" s="57">
        <f t="shared" si="29"/>
        <v>2.1861399220686355</v>
      </c>
      <c r="O97" s="57">
        <f t="shared" si="29"/>
        <v>2.2264792368393249</v>
      </c>
      <c r="P97" s="57">
        <f t="shared" si="29"/>
        <v>1.8716748848436391</v>
      </c>
      <c r="Q97" s="57">
        <f t="shared" si="29"/>
        <v>1.8555337886952799</v>
      </c>
      <c r="R97" s="57">
        <f t="shared" si="29"/>
        <v>1.9121124289181848</v>
      </c>
      <c r="S97" s="57">
        <f t="shared" si="29"/>
        <v>1.8588745477120401</v>
      </c>
      <c r="T97" s="57">
        <f t="shared" si="29"/>
        <v>1.8834067864552795</v>
      </c>
      <c r="U97" s="57">
        <f t="shared" si="29"/>
        <v>1.4249358975348216</v>
      </c>
      <c r="V97" s="57">
        <f t="shared" si="29"/>
        <v>1.3754325234128768</v>
      </c>
      <c r="W97" s="57">
        <f t="shared" si="29"/>
        <v>1.3898801811992711</v>
      </c>
      <c r="X97" s="57">
        <f t="shared" si="29"/>
        <v>1.3959060538547103</v>
      </c>
      <c r="Y97" s="57">
        <f t="shared" si="29"/>
        <v>0.84476126824518583</v>
      </c>
      <c r="Z97" s="57">
        <f t="shared" si="29"/>
        <v>0.85490283479457918</v>
      </c>
      <c r="AA97" s="57">
        <f t="shared" si="29"/>
        <v>0.64935186249775612</v>
      </c>
      <c r="AB97" s="57">
        <f t="shared" si="29"/>
        <v>0.65336915311134858</v>
      </c>
      <c r="AC97" s="57">
        <f t="shared" si="29"/>
        <v>0.66408293407319041</v>
      </c>
      <c r="AD97" s="57">
        <f t="shared" si="29"/>
        <v>0.67300120460981017</v>
      </c>
      <c r="AE97" s="57">
        <f t="shared" si="29"/>
        <v>0.67428464725494908</v>
      </c>
      <c r="AF97" s="57">
        <f t="shared" si="29"/>
        <v>0.67263244341775386</v>
      </c>
      <c r="AG97" s="57">
        <f t="shared" si="29"/>
        <v>0.68087758625755213</v>
      </c>
      <c r="AH97" s="125">
        <f t="shared" si="29"/>
        <v>2.648346086329282</v>
      </c>
      <c r="AI97" s="125">
        <f t="shared" si="29"/>
        <v>2.5199622706896783</v>
      </c>
      <c r="AJ97" s="125">
        <f t="shared" si="29"/>
        <v>2.5725533746149143</v>
      </c>
      <c r="AK97" s="125">
        <f t="shared" si="29"/>
        <v>2.5293617295097617</v>
      </c>
      <c r="AL97" s="125">
        <f t="shared" si="29"/>
        <v>2.5270628982427792</v>
      </c>
      <c r="AM97" s="125">
        <f t="shared" si="29"/>
        <v>2.588176950047179</v>
      </c>
      <c r="AN97" s="67"/>
    </row>
    <row r="98" spans="1:47">
      <c r="A98" s="66" t="s">
        <v>272</v>
      </c>
      <c r="B98" s="31">
        <v>6</v>
      </c>
      <c r="C98" s="61" t="s">
        <v>463</v>
      </c>
      <c r="D98" s="31" t="s">
        <v>12</v>
      </c>
      <c r="E98" s="57">
        <f t="shared" si="27"/>
        <v>1.3089018620855158E-2</v>
      </c>
      <c r="F98" s="57">
        <f t="shared" si="29"/>
        <v>1.3041812772142707E-2</v>
      </c>
      <c r="G98" s="57">
        <f t="shared" si="29"/>
        <v>1.2019810697348352E-2</v>
      </c>
      <c r="H98" s="57">
        <f t="shared" si="29"/>
        <v>1.2567006808667675E-2</v>
      </c>
      <c r="I98" s="57">
        <f t="shared" si="29"/>
        <v>1.2303586216253139E-2</v>
      </c>
      <c r="J98" s="57">
        <f t="shared" si="29"/>
        <v>1.0965021238532102E-2</v>
      </c>
      <c r="K98" s="57">
        <f t="shared" si="29"/>
        <v>1.1058241665626006E-2</v>
      </c>
      <c r="L98" s="57">
        <f t="shared" si="29"/>
        <v>1.098694332023358E-2</v>
      </c>
      <c r="M98" s="57">
        <f t="shared" si="29"/>
        <v>1.0448684378870454E-2</v>
      </c>
      <c r="N98" s="57">
        <f t="shared" si="29"/>
        <v>9.9179566393626135E-3</v>
      </c>
      <c r="O98" s="57">
        <f t="shared" si="29"/>
        <v>1.0462267984596464E-2</v>
      </c>
      <c r="P98" s="57">
        <f t="shared" si="29"/>
        <v>9.9797269590971502E-3</v>
      </c>
      <c r="Q98" s="57">
        <f t="shared" si="29"/>
        <v>9.7749439138220037E-3</v>
      </c>
      <c r="R98" s="57">
        <f t="shared" si="29"/>
        <v>1.0157874513985959E-2</v>
      </c>
      <c r="S98" s="57">
        <f t="shared" si="29"/>
        <v>9.6728372429390821E-3</v>
      </c>
      <c r="T98" s="57">
        <f t="shared" si="29"/>
        <v>9.618070142462614E-3</v>
      </c>
      <c r="U98" s="57">
        <f t="shared" si="29"/>
        <v>1.0208018782391647E-2</v>
      </c>
      <c r="V98" s="57">
        <f t="shared" si="29"/>
        <v>9.8111214837450309E-3</v>
      </c>
      <c r="W98" s="57">
        <f t="shared" si="29"/>
        <v>9.769904232660399E-3</v>
      </c>
      <c r="X98" s="57">
        <f t="shared" si="29"/>
        <v>1.0054975526328556E-2</v>
      </c>
      <c r="Y98" s="57">
        <f t="shared" si="29"/>
        <v>8.7499545492381193E-3</v>
      </c>
      <c r="Z98" s="57">
        <f t="shared" si="29"/>
        <v>8.7171999331910627E-3</v>
      </c>
      <c r="AA98" s="57">
        <f t="shared" si="29"/>
        <v>7.8234312447642684E-3</v>
      </c>
      <c r="AB98" s="57">
        <f t="shared" si="29"/>
        <v>7.6133905758856077E-3</v>
      </c>
      <c r="AC98" s="57">
        <f t="shared" si="29"/>
        <v>7.5862486100881686E-3</v>
      </c>
      <c r="AD98" s="57">
        <f t="shared" si="29"/>
        <v>7.5753834905787224E-3</v>
      </c>
      <c r="AE98" s="57">
        <f t="shared" si="29"/>
        <v>7.4058699571003962E-3</v>
      </c>
      <c r="AF98" s="57">
        <f t="shared" si="29"/>
        <v>7.480992593540365E-3</v>
      </c>
      <c r="AG98" s="57">
        <f t="shared" si="29"/>
        <v>7.3258684461989174E-3</v>
      </c>
      <c r="AH98" s="125">
        <f t="shared" si="29"/>
        <v>1.5383538183201735E-3</v>
      </c>
      <c r="AI98" s="125">
        <f t="shared" si="29"/>
        <v>1.5965967235835189E-2</v>
      </c>
      <c r="AJ98" s="125">
        <f t="shared" si="29"/>
        <v>1.6301462262673892E-2</v>
      </c>
      <c r="AK98" s="125">
        <f t="shared" si="29"/>
        <v>1.5616006906637782E-2</v>
      </c>
      <c r="AL98" s="125">
        <f t="shared" si="29"/>
        <v>1.5479820861913775E-2</v>
      </c>
      <c r="AM98" s="125">
        <f t="shared" si="29"/>
        <v>1.5804985504988982E-2</v>
      </c>
      <c r="AN98" s="67"/>
    </row>
    <row r="99" spans="1:47">
      <c r="A99" s="66" t="s">
        <v>273</v>
      </c>
      <c r="B99" s="31">
        <v>7</v>
      </c>
      <c r="C99" s="61" t="s">
        <v>462</v>
      </c>
      <c r="D99" s="31" t="s">
        <v>12</v>
      </c>
      <c r="E99" s="57">
        <f t="shared" si="27"/>
        <v>2.4030961217024516E-2</v>
      </c>
      <c r="F99" s="57">
        <f t="shared" si="29"/>
        <v>2.3141723173773415E-2</v>
      </c>
      <c r="G99" s="57">
        <f t="shared" si="29"/>
        <v>2.0958489235346191E-2</v>
      </c>
      <c r="H99" s="57">
        <f t="shared" si="29"/>
        <v>1.9984935183757747E-2</v>
      </c>
      <c r="I99" s="57">
        <f t="shared" si="29"/>
        <v>2.016222045927403E-2</v>
      </c>
      <c r="J99" s="57">
        <f t="shared" si="29"/>
        <v>3.6130649988488715E-2</v>
      </c>
      <c r="K99" s="57">
        <f t="shared" si="29"/>
        <v>3.5710826532454477E-2</v>
      </c>
      <c r="L99" s="57">
        <f t="shared" si="29"/>
        <v>3.6387246527636335E-2</v>
      </c>
      <c r="M99" s="57">
        <f t="shared" si="29"/>
        <v>3.5356415127168528E-2</v>
      </c>
      <c r="N99" s="57">
        <f t="shared" si="29"/>
        <v>3.5663145340595871E-2</v>
      </c>
      <c r="O99" s="57">
        <f t="shared" si="29"/>
        <v>3.5433180178873119E-2</v>
      </c>
      <c r="P99" s="57">
        <f t="shared" si="29"/>
        <v>4.8340574217865619E-2</v>
      </c>
      <c r="Q99" s="57">
        <f t="shared" si="29"/>
        <v>4.7456212376814383E-2</v>
      </c>
      <c r="R99" s="57">
        <f t="shared" si="29"/>
        <v>4.7810668363905122E-2</v>
      </c>
      <c r="S99" s="57">
        <f t="shared" si="29"/>
        <v>4.6724443073865689E-2</v>
      </c>
      <c r="T99" s="57">
        <f t="shared" si="29"/>
        <v>4.5959467324377765E-2</v>
      </c>
      <c r="U99" s="57">
        <f t="shared" si="29"/>
        <v>4.6753262172410527E-2</v>
      </c>
      <c r="V99" s="57">
        <f t="shared" si="29"/>
        <v>4.4679390151617968E-2</v>
      </c>
      <c r="W99" s="57">
        <f t="shared" si="29"/>
        <v>4.4316761952499645E-2</v>
      </c>
      <c r="X99" s="57">
        <f t="shared" si="29"/>
        <v>4.4238878860281459E-2</v>
      </c>
      <c r="Y99" s="57">
        <f t="shared" si="29"/>
        <v>2.56498190795218E-2</v>
      </c>
      <c r="Z99" s="57">
        <f t="shared" si="29"/>
        <v>2.5600320234730752E-2</v>
      </c>
      <c r="AA99" s="57">
        <f t="shared" si="29"/>
        <v>1.3322585830646091E-2</v>
      </c>
      <c r="AB99" s="57">
        <f t="shared" si="29"/>
        <v>1.323057225327999E-2</v>
      </c>
      <c r="AC99" s="57">
        <f t="shared" si="29"/>
        <v>1.3006158678840564E-2</v>
      </c>
      <c r="AD99" s="57">
        <f t="shared" si="29"/>
        <v>1.2880497531958428E-2</v>
      </c>
      <c r="AE99" s="57">
        <f t="shared" si="29"/>
        <v>1.2641440324697363E-2</v>
      </c>
      <c r="AF99" s="57">
        <f t="shared" si="29"/>
        <v>1.2124018124627354E-2</v>
      </c>
      <c r="AG99" s="57">
        <f t="shared" si="29"/>
        <v>1.2330714362222946E-2</v>
      </c>
      <c r="AH99" s="125">
        <f t="shared" si="29"/>
        <v>4.4828892455070734E-4</v>
      </c>
      <c r="AI99" s="125">
        <f t="shared" si="29"/>
        <v>1.5613369033355396E-3</v>
      </c>
      <c r="AJ99" s="125">
        <f t="shared" si="29"/>
        <v>1.2774145138588888E-3</v>
      </c>
      <c r="AK99" s="125">
        <f t="shared" si="29"/>
        <v>2.0686787240142574E-3</v>
      </c>
      <c r="AL99" s="125">
        <f t="shared" si="29"/>
        <v>2.2171658997072242E-3</v>
      </c>
      <c r="AM99" s="125">
        <f t="shared" si="29"/>
        <v>2.2852781142568899E-3</v>
      </c>
      <c r="AN99" s="67"/>
    </row>
    <row r="100" spans="1:47">
      <c r="A100" s="66" t="s">
        <v>274</v>
      </c>
      <c r="B100" s="31">
        <v>7</v>
      </c>
      <c r="C100" s="61" t="s">
        <v>462</v>
      </c>
      <c r="D100" s="31" t="s">
        <v>12</v>
      </c>
      <c r="E100" s="57">
        <f t="shared" si="27"/>
        <v>2.2514332364391786E-2</v>
      </c>
      <c r="F100" s="57">
        <f t="shared" si="29"/>
        <v>2.1591945670899705E-2</v>
      </c>
      <c r="G100" s="57">
        <f t="shared" si="29"/>
        <v>1.9451628855532054E-2</v>
      </c>
      <c r="H100" s="57">
        <f t="shared" si="29"/>
        <v>1.8078868556883763E-2</v>
      </c>
      <c r="I100" s="57">
        <f t="shared" si="29"/>
        <v>1.8287024360411488E-2</v>
      </c>
      <c r="J100" s="57">
        <f t="shared" si="29"/>
        <v>3.6104580442907215E-2</v>
      </c>
      <c r="K100" s="57">
        <f t="shared" si="29"/>
        <v>3.5685538955447578E-2</v>
      </c>
      <c r="L100" s="57">
        <f t="shared" si="29"/>
        <v>3.6301209955542764E-2</v>
      </c>
      <c r="M100" s="57">
        <f t="shared" si="29"/>
        <v>3.5391456547734977E-2</v>
      </c>
      <c r="N100" s="57">
        <f t="shared" si="29"/>
        <v>3.5710369825289356E-2</v>
      </c>
      <c r="O100" s="57">
        <f t="shared" si="29"/>
        <v>3.5442881420745372E-2</v>
      </c>
      <c r="P100" s="57">
        <f t="shared" si="29"/>
        <v>5.3142651493217972E-2</v>
      </c>
      <c r="Q100" s="57">
        <f t="shared" si="29"/>
        <v>5.2265110652204433E-2</v>
      </c>
      <c r="R100" s="57">
        <f t="shared" si="29"/>
        <v>5.2624816067571641E-2</v>
      </c>
      <c r="S100" s="57">
        <f t="shared" si="29"/>
        <v>5.1476231461871455E-2</v>
      </c>
      <c r="T100" s="57">
        <f t="shared" si="29"/>
        <v>5.0614136552275257E-2</v>
      </c>
      <c r="U100" s="57">
        <f t="shared" si="29"/>
        <v>5.3574851887536745E-2</v>
      </c>
      <c r="V100" s="57">
        <f t="shared" si="29"/>
        <v>5.1335419736393322E-2</v>
      </c>
      <c r="W100" s="57">
        <f t="shared" si="29"/>
        <v>5.0914970059432817E-2</v>
      </c>
      <c r="X100" s="57">
        <f t="shared" si="29"/>
        <v>5.0938941214018929E-2</v>
      </c>
      <c r="Y100" s="57">
        <f t="shared" si="29"/>
        <v>2.9231558267578773E-2</v>
      </c>
      <c r="Z100" s="57">
        <f t="shared" si="29"/>
        <v>2.9188283406612572E-2</v>
      </c>
      <c r="AA100" s="57">
        <f t="shared" si="29"/>
        <v>1.4872739917940327E-2</v>
      </c>
      <c r="AB100" s="57">
        <f t="shared" si="29"/>
        <v>1.4926347483961901E-2</v>
      </c>
      <c r="AC100" s="57">
        <f t="shared" si="29"/>
        <v>1.4666548610122662E-2</v>
      </c>
      <c r="AD100" s="57">
        <f t="shared" si="29"/>
        <v>1.4511004291213265E-2</v>
      </c>
      <c r="AE100" s="57">
        <f t="shared" si="29"/>
        <v>1.4343255419060608E-2</v>
      </c>
      <c r="AF100" s="57">
        <f t="shared" si="29"/>
        <v>1.3720334305510042E-2</v>
      </c>
      <c r="AG100" s="57">
        <f t="shared" si="29"/>
        <v>1.3998221603543809E-2</v>
      </c>
      <c r="AH100" s="125">
        <f t="shared" si="29"/>
        <v>2.1429187413355346E-4</v>
      </c>
      <c r="AI100" s="125">
        <f t="shared" si="29"/>
        <v>8.8163846605736199E-4</v>
      </c>
      <c r="AJ100" s="125">
        <f t="shared" si="29"/>
        <v>7.6062817672274479E-4</v>
      </c>
      <c r="AK100" s="125">
        <f t="shared" si="29"/>
        <v>1.2415005841821295E-3</v>
      </c>
      <c r="AL100" s="125">
        <f t="shared" si="29"/>
        <v>1.3312523516856743E-3</v>
      </c>
      <c r="AM100" s="125">
        <f t="shared" si="29"/>
        <v>1.35698659591977E-3</v>
      </c>
      <c r="AN100" s="67"/>
    </row>
    <row r="101" spans="1:47">
      <c r="A101" s="66" t="s">
        <v>177</v>
      </c>
      <c r="B101" s="31">
        <v>7</v>
      </c>
      <c r="C101" s="61" t="s">
        <v>462</v>
      </c>
      <c r="D101" s="31" t="s">
        <v>12</v>
      </c>
      <c r="E101" s="57">
        <f t="shared" si="27"/>
        <v>0.22313947202148884</v>
      </c>
      <c r="F101" s="57">
        <f t="shared" si="29"/>
        <v>0.22303392950652245</v>
      </c>
      <c r="G101" s="57">
        <f t="shared" si="29"/>
        <v>0.20561147283873829</v>
      </c>
      <c r="H101" s="57">
        <f t="shared" si="29"/>
        <v>0.23529521461209638</v>
      </c>
      <c r="I101" s="57">
        <f t="shared" si="29"/>
        <v>0.23279638687379112</v>
      </c>
      <c r="J101" s="57">
        <f t="shared" si="29"/>
        <v>0.18695201578096196</v>
      </c>
      <c r="K101" s="57">
        <f t="shared" si="29"/>
        <v>0.18859796836235898</v>
      </c>
      <c r="L101" s="57">
        <f t="shared" si="29"/>
        <v>0.19091605719224661</v>
      </c>
      <c r="M101" s="57">
        <f t="shared" si="29"/>
        <v>0.18546939115584815</v>
      </c>
      <c r="N101" s="57">
        <f t="shared" si="29"/>
        <v>0.18553643136488024</v>
      </c>
      <c r="O101" s="57">
        <f t="shared" si="29"/>
        <v>0.1900227349558371</v>
      </c>
      <c r="P101" s="57">
        <f t="shared" si="29"/>
        <v>0.11614476528294145</v>
      </c>
      <c r="Q101" s="57">
        <f t="shared" si="29"/>
        <v>0.11507645757117563</v>
      </c>
      <c r="R101" s="57">
        <f t="shared" si="29"/>
        <v>0.12032540274647351</v>
      </c>
      <c r="S101" s="57">
        <f t="shared" si="29"/>
        <v>0.11592056288888747</v>
      </c>
      <c r="T101" s="57">
        <f t="shared" si="29"/>
        <v>0.11998505308973449</v>
      </c>
      <c r="U101" s="57">
        <f t="shared" si="29"/>
        <v>5.6014349521988881E-2</v>
      </c>
      <c r="V101" s="57">
        <f t="shared" si="29"/>
        <v>5.3608785522788437E-2</v>
      </c>
      <c r="W101" s="57">
        <f t="shared" si="29"/>
        <v>5.5129245213027298E-2</v>
      </c>
      <c r="X101" s="57">
        <f t="shared" si="29"/>
        <v>5.4435868789137032E-2</v>
      </c>
      <c r="Y101" s="57">
        <f t="shared" si="29"/>
        <v>1.8427939832538338E-2</v>
      </c>
      <c r="Z101" s="57">
        <f t="shared" si="29"/>
        <v>1.8680326582985327E-2</v>
      </c>
      <c r="AA101" s="57">
        <f t="shared" si="29"/>
        <v>8.1640556593697861E-3</v>
      </c>
      <c r="AB101" s="57">
        <f t="shared" si="29"/>
        <v>8.2853516465519594E-3</v>
      </c>
      <c r="AC101" s="57">
        <f t="shared" si="29"/>
        <v>8.1460715811991977E-3</v>
      </c>
      <c r="AD101" s="57">
        <f t="shared" si="29"/>
        <v>8.2087344834856461E-3</v>
      </c>
      <c r="AE101" s="57">
        <f t="shared" si="29"/>
        <v>8.1431635428336705E-3</v>
      </c>
      <c r="AF101" s="57">
        <f t="shared" si="29"/>
        <v>7.8114783871257535E-3</v>
      </c>
      <c r="AG101" s="57">
        <f t="shared" si="29"/>
        <v>8.1133907030088818E-3</v>
      </c>
      <c r="AH101" s="125">
        <f t="shared" si="29"/>
        <v>0.30042986922305209</v>
      </c>
      <c r="AI101" s="125">
        <f t="shared" si="29"/>
        <v>0.29413136141269391</v>
      </c>
      <c r="AJ101" s="125">
        <f t="shared" si="29"/>
        <v>0.30074456030110924</v>
      </c>
      <c r="AK101" s="125">
        <f t="shared" si="29"/>
        <v>0.29180843959989961</v>
      </c>
      <c r="AL101" s="125">
        <f t="shared" si="29"/>
        <v>0.29127135225100426</v>
      </c>
      <c r="AM101" s="125">
        <f t="shared" si="29"/>
        <v>0.29832413590112478</v>
      </c>
      <c r="AN101" s="67"/>
    </row>
    <row r="102" spans="1:47">
      <c r="A102" s="66" t="s">
        <v>175</v>
      </c>
      <c r="B102" s="31">
        <v>8</v>
      </c>
      <c r="C102" s="61" t="s">
        <v>461</v>
      </c>
      <c r="D102" s="31" t="s">
        <v>12</v>
      </c>
      <c r="E102" s="57">
        <f t="shared" si="27"/>
        <v>5.2165341878589767E-2</v>
      </c>
      <c r="F102" s="57">
        <f t="shared" si="29"/>
        <v>5.2606987951686585E-2</v>
      </c>
      <c r="G102" s="57">
        <f t="shared" si="29"/>
        <v>5.0023030547234268E-2</v>
      </c>
      <c r="H102" s="57">
        <f t="shared" si="29"/>
        <v>8.5277503458945178E-2</v>
      </c>
      <c r="I102" s="57">
        <f t="shared" si="29"/>
        <v>8.424940354119094E-2</v>
      </c>
      <c r="J102" s="57">
        <f t="shared" si="29"/>
        <v>4.8636657604949889E-2</v>
      </c>
      <c r="K102" s="57">
        <f t="shared" si="29"/>
        <v>4.9386357288117473E-2</v>
      </c>
      <c r="L102" s="57">
        <f t="shared" si="29"/>
        <v>4.9786792905924859E-2</v>
      </c>
      <c r="M102" s="57">
        <f t="shared" si="29"/>
        <v>4.8546107984567828E-2</v>
      </c>
      <c r="N102" s="57">
        <f t="shared" si="29"/>
        <v>4.7852880643726371E-2</v>
      </c>
      <c r="O102" s="57">
        <f t="shared" si="29"/>
        <v>4.976141663596427E-2</v>
      </c>
      <c r="P102" s="57">
        <f t="shared" si="29"/>
        <v>1.7287170209252713E-2</v>
      </c>
      <c r="Q102" s="57">
        <f t="shared" si="29"/>
        <v>1.7075983968498087E-2</v>
      </c>
      <c r="R102" s="57">
        <f t="shared" si="29"/>
        <v>1.8264338652884862E-2</v>
      </c>
      <c r="S102" s="57">
        <f t="shared" si="29"/>
        <v>1.7448634237750716E-2</v>
      </c>
      <c r="T102" s="57">
        <f t="shared" si="29"/>
        <v>1.8662025518884597E-2</v>
      </c>
      <c r="U102" s="57">
        <f t="shared" si="29"/>
        <v>3.7142134138183147E-3</v>
      </c>
      <c r="V102" s="57">
        <f t="shared" si="29"/>
        <v>3.4959152805632012E-3</v>
      </c>
      <c r="W102" s="57">
        <f t="shared" si="29"/>
        <v>3.6714185095547379E-3</v>
      </c>
      <c r="X102" s="57">
        <f t="shared" si="29"/>
        <v>3.4717525134613609E-3</v>
      </c>
      <c r="Y102" s="57">
        <f t="shared" si="29"/>
        <v>3.8854644057394042E-4</v>
      </c>
      <c r="Z102" s="57">
        <f t="shared" si="29"/>
        <v>3.9141951200319776E-4</v>
      </c>
      <c r="AA102" s="57">
        <f t="shared" si="29"/>
        <v>1.2592231964893467E-4</v>
      </c>
      <c r="AB102" s="57">
        <f t="shared" si="29"/>
        <v>1.2044837394503873E-4</v>
      </c>
      <c r="AC102" s="57">
        <f t="shared" si="29"/>
        <v>1.1653462466217185E-4</v>
      </c>
      <c r="AD102" s="57">
        <f t="shared" si="29"/>
        <v>1.2844312870921606E-4</v>
      </c>
      <c r="AE102" s="57">
        <f t="shared" si="29"/>
        <v>1.2684389726399481E-4</v>
      </c>
      <c r="AF102" s="57">
        <f t="shared" si="29"/>
        <v>1.4290439584405308E-4</v>
      </c>
      <c r="AG102" s="57">
        <f t="shared" si="29"/>
        <v>1.4231978049071296E-4</v>
      </c>
      <c r="AH102" s="125">
        <f t="shared" si="29"/>
        <v>0.1389420205018107</v>
      </c>
      <c r="AI102" s="125">
        <f t="shared" si="29"/>
        <v>0.14520871633319551</v>
      </c>
      <c r="AJ102" s="125">
        <f t="shared" si="29"/>
        <v>0.15042895942949708</v>
      </c>
      <c r="AK102" s="125">
        <f t="shared" si="29"/>
        <v>0.14345831074515963</v>
      </c>
      <c r="AL102" s="125">
        <f t="shared" si="29"/>
        <v>0.14111745707748943</v>
      </c>
      <c r="AM102" s="125">
        <f t="shared" si="29"/>
        <v>0.14675278819193241</v>
      </c>
      <c r="AN102" s="67"/>
    </row>
    <row r="103" spans="1:47">
      <c r="A103" s="61" t="s">
        <v>464</v>
      </c>
      <c r="B103" s="31">
        <v>3</v>
      </c>
      <c r="C103" s="61"/>
      <c r="D103" s="31" t="s">
        <v>12</v>
      </c>
      <c r="E103" s="57">
        <f t="shared" si="27"/>
        <v>4.0452595766908692E-5</v>
      </c>
      <c r="F103" s="57">
        <f t="shared" si="29"/>
        <v>3.0149078370398894E-5</v>
      </c>
      <c r="G103" s="57">
        <f t="shared" si="29"/>
        <v>8.8842217952747498E-5</v>
      </c>
      <c r="H103" s="57">
        <f t="shared" si="29"/>
        <v>2.0582015763547169E-5</v>
      </c>
      <c r="I103" s="57">
        <f t="shared" si="29"/>
        <v>2.8434920680689614E-5</v>
      </c>
      <c r="J103" s="57">
        <f t="shared" si="29"/>
        <v>3.8598009385460506E-5</v>
      </c>
      <c r="K103" s="57">
        <f t="shared" si="29"/>
        <v>4.3599460729433426E-5</v>
      </c>
      <c r="L103" s="57">
        <f t="shared" si="29"/>
        <v>5.1745513342351293E-5</v>
      </c>
      <c r="M103" s="57">
        <f t="shared" si="29"/>
        <v>4.6220315091461631E-5</v>
      </c>
      <c r="N103" s="57">
        <f t="shared" si="29"/>
        <v>5.110717690981351E-5</v>
      </c>
      <c r="O103" s="57">
        <f t="shared" si="29"/>
        <v>4.9048084595048084E-5</v>
      </c>
      <c r="P103" s="57">
        <f t="shared" si="29"/>
        <v>1.2076260949578535E-4</v>
      </c>
      <c r="Q103" s="57">
        <f t="shared" si="29"/>
        <v>1.1718543171249065E-4</v>
      </c>
      <c r="R103" s="57">
        <f t="shared" si="29"/>
        <v>1.2328610695173608E-4</v>
      </c>
      <c r="S103" s="57">
        <f t="shared" si="29"/>
        <v>1.2230608988630823E-4</v>
      </c>
      <c r="T103" s="57">
        <f t="shared" si="29"/>
        <v>1.1418447776079688E-4</v>
      </c>
      <c r="U103" s="57">
        <f t="shared" ref="F103:AM106" si="30">U$62*U83/100</f>
        <v>2.750224466631162E-4</v>
      </c>
      <c r="V103" s="57">
        <f t="shared" si="30"/>
        <v>2.6621402333087361E-4</v>
      </c>
      <c r="W103" s="57">
        <f t="shared" si="30"/>
        <v>2.404518710217103E-4</v>
      </c>
      <c r="X103" s="57">
        <f t="shared" si="30"/>
        <v>2.6702356279732547E-4</v>
      </c>
      <c r="Y103" s="57">
        <f t="shared" si="30"/>
        <v>5.5688030020100993E-4</v>
      </c>
      <c r="Z103" s="57">
        <f t="shared" si="30"/>
        <v>5.5292249077759181E-4</v>
      </c>
      <c r="AA103" s="57">
        <f t="shared" si="30"/>
        <v>5.8835997813035503E-4</v>
      </c>
      <c r="AB103" s="57">
        <f t="shared" si="30"/>
        <v>5.7995736511699402E-4</v>
      </c>
      <c r="AC103" s="57">
        <f t="shared" si="30"/>
        <v>6.0229088016166285E-4</v>
      </c>
      <c r="AD103" s="57">
        <f t="shared" si="30"/>
        <v>6.0617794287798322E-4</v>
      </c>
      <c r="AE103" s="57">
        <f t="shared" si="30"/>
        <v>5.8932750132588202E-4</v>
      </c>
      <c r="AF103" s="57">
        <f t="shared" si="30"/>
        <v>6.0030471627782998E-4</v>
      </c>
      <c r="AG103" s="57">
        <f t="shared" si="30"/>
        <v>5.9683140874164636E-4</v>
      </c>
      <c r="AH103" s="125">
        <f t="shared" si="30"/>
        <v>2.2317898237565435E-3</v>
      </c>
      <c r="AI103" s="125">
        <f t="shared" si="30"/>
        <v>1.9463710803694498E-4</v>
      </c>
      <c r="AJ103" s="125">
        <f t="shared" si="30"/>
        <v>1.0065691671849862E-4</v>
      </c>
      <c r="AK103" s="125">
        <f t="shared" si="30"/>
        <v>5.0765324021763399E-5</v>
      </c>
      <c r="AL103" s="125">
        <f t="shared" si="30"/>
        <v>2.9525140655471373E-5</v>
      </c>
      <c r="AM103" s="125">
        <f t="shared" si="30"/>
        <v>2.587247980200516E-5</v>
      </c>
      <c r="AN103" s="67"/>
    </row>
    <row r="104" spans="1:47">
      <c r="A104" s="61" t="s">
        <v>465</v>
      </c>
      <c r="B104" s="31">
        <v>7</v>
      </c>
      <c r="D104" s="31" t="s">
        <v>12</v>
      </c>
      <c r="E104" s="57">
        <f t="shared" si="27"/>
        <v>2.2193793862505497E-2</v>
      </c>
      <c r="F104" s="57">
        <f t="shared" si="30"/>
        <v>2.2213809939781469E-2</v>
      </c>
      <c r="G104" s="57">
        <f t="shared" si="30"/>
        <v>1.8413182437027751E-2</v>
      </c>
      <c r="H104" s="57">
        <f t="shared" si="30"/>
        <v>1.9530926894971906E-2</v>
      </c>
      <c r="I104" s="57">
        <f t="shared" si="30"/>
        <v>1.9602805826848545E-2</v>
      </c>
      <c r="J104" s="57">
        <f t="shared" si="30"/>
        <v>3.8266111142400853E-2</v>
      </c>
      <c r="K104" s="57">
        <f t="shared" si="30"/>
        <v>3.9025344923940698E-2</v>
      </c>
      <c r="L104" s="57">
        <f t="shared" si="30"/>
        <v>3.8385515520736525E-2</v>
      </c>
      <c r="M104" s="57">
        <f t="shared" si="30"/>
        <v>3.768759973804401E-2</v>
      </c>
      <c r="N104" s="57">
        <f t="shared" si="30"/>
        <v>3.7319250129894767E-2</v>
      </c>
      <c r="O104" s="57">
        <f t="shared" si="30"/>
        <v>3.8944654652784523E-2</v>
      </c>
      <c r="P104" s="57">
        <f t="shared" si="30"/>
        <v>6.1367037181590416E-2</v>
      </c>
      <c r="Q104" s="57">
        <f t="shared" si="30"/>
        <v>6.0189781591098869E-2</v>
      </c>
      <c r="R104" s="57">
        <f t="shared" si="30"/>
        <v>6.1951352367646102E-2</v>
      </c>
      <c r="S104" s="57">
        <f t="shared" si="30"/>
        <v>6.0026583038390334E-2</v>
      </c>
      <c r="T104" s="57">
        <f t="shared" si="30"/>
        <v>5.8688791130268203E-2</v>
      </c>
      <c r="U104" s="57">
        <f t="shared" si="30"/>
        <v>7.2317213281125461E-2</v>
      </c>
      <c r="V104" s="57">
        <f t="shared" si="30"/>
        <v>6.9382282720198252E-2</v>
      </c>
      <c r="W104" s="57">
        <f t="shared" si="30"/>
        <v>6.8449898266065873E-2</v>
      </c>
      <c r="X104" s="57">
        <f t="shared" si="30"/>
        <v>6.9655976038771092E-2</v>
      </c>
      <c r="Y104" s="57">
        <f t="shared" si="30"/>
        <v>5.0515875971279198E-2</v>
      </c>
      <c r="Z104" s="57">
        <f t="shared" si="30"/>
        <v>5.0034444019767907E-2</v>
      </c>
      <c r="AA104" s="57">
        <f t="shared" si="30"/>
        <v>3.309349191145812E-2</v>
      </c>
      <c r="AB104" s="57">
        <f t="shared" si="30"/>
        <v>3.2549929495137075E-2</v>
      </c>
      <c r="AC104" s="57">
        <f t="shared" si="30"/>
        <v>3.2273353048593745E-2</v>
      </c>
      <c r="AD104" s="57">
        <f t="shared" si="30"/>
        <v>3.1812979593104133E-2</v>
      </c>
      <c r="AE104" s="57">
        <f t="shared" si="30"/>
        <v>3.1105755244731116E-2</v>
      </c>
      <c r="AF104" s="57">
        <f t="shared" si="30"/>
        <v>3.1026180579339559E-2</v>
      </c>
      <c r="AG104" s="57">
        <f t="shared" si="30"/>
        <v>3.0366054684119726E-2</v>
      </c>
      <c r="AH104" s="125">
        <f t="shared" si="30"/>
        <v>1.7190822004778117E-2</v>
      </c>
      <c r="AI104" s="125">
        <f t="shared" si="30"/>
        <v>3.96032162920154E-3</v>
      </c>
      <c r="AJ104" s="125">
        <f t="shared" si="30"/>
        <v>3.2501699111124414E-3</v>
      </c>
      <c r="AK104" s="125">
        <f t="shared" si="30"/>
        <v>4.6641863110355739E-3</v>
      </c>
      <c r="AL104" s="125">
        <f t="shared" si="30"/>
        <v>4.7146491131872829E-3</v>
      </c>
      <c r="AM104" s="125">
        <f t="shared" si="30"/>
        <v>4.7306254053829265E-3</v>
      </c>
      <c r="AN104" s="67"/>
    </row>
    <row r="105" spans="1:47">
      <c r="A105" s="61" t="s">
        <v>466</v>
      </c>
      <c r="B105" s="31">
        <v>8</v>
      </c>
      <c r="D105" s="31" t="s">
        <v>12</v>
      </c>
      <c r="E105" s="57">
        <f t="shared" si="27"/>
        <v>3.7658622539129112E-2</v>
      </c>
      <c r="F105" s="57">
        <f t="shared" si="30"/>
        <v>3.5986489939223536E-2</v>
      </c>
      <c r="G105" s="57">
        <f t="shared" si="30"/>
        <v>3.4873051333783517E-2</v>
      </c>
      <c r="H105" s="57">
        <f t="shared" si="30"/>
        <v>4.5596717707237139E-2</v>
      </c>
      <c r="I105" s="57">
        <f t="shared" si="30"/>
        <v>4.5635623379872661E-2</v>
      </c>
      <c r="J105" s="57">
        <f t="shared" si="30"/>
        <v>6.3450570154289704E-2</v>
      </c>
      <c r="K105" s="57">
        <f t="shared" si="30"/>
        <v>6.2461258560805373E-2</v>
      </c>
      <c r="L105" s="57">
        <f t="shared" si="30"/>
        <v>6.3756935228009876E-2</v>
      </c>
      <c r="M105" s="57">
        <f t="shared" si="30"/>
        <v>6.1276436771983481E-2</v>
      </c>
      <c r="N105" s="57">
        <f t="shared" si="30"/>
        <v>6.0639512384950647E-2</v>
      </c>
      <c r="O105" s="57">
        <f t="shared" si="30"/>
        <v>6.061536373743822E-2</v>
      </c>
      <c r="P105" s="57">
        <f t="shared" si="30"/>
        <v>5.0949374964305745E-2</v>
      </c>
      <c r="Q105" s="57">
        <f t="shared" si="30"/>
        <v>4.9500451425786129E-2</v>
      </c>
      <c r="R105" s="57">
        <f t="shared" si="30"/>
        <v>5.0489226141629207E-2</v>
      </c>
      <c r="S105" s="57">
        <f t="shared" si="30"/>
        <v>4.839237533871836E-2</v>
      </c>
      <c r="T105" s="57">
        <f t="shared" si="30"/>
        <v>4.8811577082136924E-2</v>
      </c>
      <c r="U105" s="57">
        <f t="shared" si="30"/>
        <v>2.2178274532501402E-2</v>
      </c>
      <c r="V105" s="57">
        <f t="shared" si="30"/>
        <v>2.068018785589068E-2</v>
      </c>
      <c r="W105" s="57">
        <f t="shared" si="30"/>
        <v>2.1001413951009799E-2</v>
      </c>
      <c r="X105" s="57">
        <f t="shared" si="30"/>
        <v>2.0181004513262907E-2</v>
      </c>
      <c r="Y105" s="57">
        <f t="shared" si="30"/>
        <v>5.838118869258402E-3</v>
      </c>
      <c r="Z105" s="57">
        <f t="shared" si="30"/>
        <v>5.8128212210154162E-3</v>
      </c>
      <c r="AA105" s="57">
        <f t="shared" si="30"/>
        <v>4.2715398039799291E-3</v>
      </c>
      <c r="AB105" s="57">
        <f t="shared" si="30"/>
        <v>4.374984615982078E-3</v>
      </c>
      <c r="AC105" s="57">
        <f t="shared" si="30"/>
        <v>4.4860594220510579E-3</v>
      </c>
      <c r="AD105" s="57">
        <f t="shared" si="30"/>
        <v>4.5436787060769632E-3</v>
      </c>
      <c r="AE105" s="57">
        <f t="shared" si="30"/>
        <v>4.5644129752194932E-3</v>
      </c>
      <c r="AF105" s="57">
        <f t="shared" si="30"/>
        <v>4.6810197159524412E-3</v>
      </c>
      <c r="AG105" s="57">
        <f t="shared" si="30"/>
        <v>4.6475981822202243E-3</v>
      </c>
      <c r="AH105" s="125">
        <f t="shared" si="30"/>
        <v>4.4534374151822716E-3</v>
      </c>
      <c r="AI105" s="125">
        <f t="shared" si="30"/>
        <v>7.0966780990132979E-3</v>
      </c>
      <c r="AJ105" s="125">
        <f t="shared" si="30"/>
        <v>6.8157688864255613E-3</v>
      </c>
      <c r="AK105" s="125">
        <f t="shared" si="30"/>
        <v>8.5414534335767952E-3</v>
      </c>
      <c r="AL105" s="125">
        <f t="shared" si="30"/>
        <v>8.6673705149105142E-3</v>
      </c>
      <c r="AM105" s="125">
        <f t="shared" si="30"/>
        <v>8.9574183989801145E-3</v>
      </c>
      <c r="AN105" s="67"/>
    </row>
    <row r="106" spans="1:47">
      <c r="A106" s="61" t="s">
        <v>467</v>
      </c>
      <c r="B106" s="31" t="s">
        <v>492</v>
      </c>
      <c r="D106" s="31" t="s">
        <v>12</v>
      </c>
      <c r="E106" s="57">
        <f t="shared" si="27"/>
        <v>9.9686515073471268E-4</v>
      </c>
      <c r="F106" s="57">
        <f t="shared" si="30"/>
        <v>3.3548217569141054E-4</v>
      </c>
      <c r="G106" s="57">
        <f t="shared" si="30"/>
        <v>7.4799736559287035E-4</v>
      </c>
      <c r="H106" s="57">
        <f t="shared" si="30"/>
        <v>8.2776376809013863E-5</v>
      </c>
      <c r="I106" s="57">
        <f t="shared" si="30"/>
        <v>4.8020954666994442E-5</v>
      </c>
      <c r="J106" s="57">
        <f t="shared" si="30"/>
        <v>3.6006819257574189E-5</v>
      </c>
      <c r="K106" s="57">
        <f t="shared" si="30"/>
        <v>3.0629926479646197E-5</v>
      </c>
      <c r="L106" s="57">
        <f t="shared" si="30"/>
        <v>8.0362964883588691E-5</v>
      </c>
      <c r="M106" s="57">
        <f t="shared" si="30"/>
        <v>3.378400868133812E-5</v>
      </c>
      <c r="N106" s="57">
        <f t="shared" si="30"/>
        <v>5.8434089162103648E-5</v>
      </c>
      <c r="O106" s="57">
        <f t="shared" si="30"/>
        <v>4.1040700042037264E-5</v>
      </c>
      <c r="P106" s="57">
        <f t="shared" si="30"/>
        <v>2.2426295310880811E-4</v>
      </c>
      <c r="Q106" s="57">
        <f t="shared" si="30"/>
        <v>2.2644233897359321E-4</v>
      </c>
      <c r="R106" s="57">
        <f t="shared" si="30"/>
        <v>2.336013562821616E-4</v>
      </c>
      <c r="S106" s="57">
        <f t="shared" si="30"/>
        <v>2.6171292416277652E-4</v>
      </c>
      <c r="T106" s="57">
        <f t="shared" si="30"/>
        <v>2.3554353652819173E-4</v>
      </c>
      <c r="U106" s="57">
        <f t="shared" si="30"/>
        <v>3.6712357989522831E-4</v>
      </c>
      <c r="V106" s="57">
        <f t="shared" si="30"/>
        <v>3.6666631769543103E-4</v>
      </c>
      <c r="W106" s="57">
        <f t="shared" si="30"/>
        <v>4.1418325195277883E-4</v>
      </c>
      <c r="X106" s="57">
        <f t="shared" si="30"/>
        <v>3.9932876594267063E-4</v>
      </c>
      <c r="Y106" s="57">
        <f t="shared" si="30"/>
        <v>4.6561121984962077E-4</v>
      </c>
      <c r="Z106" s="57">
        <f t="shared" si="30"/>
        <v>4.4264889600838166E-4</v>
      </c>
      <c r="AA106" s="57">
        <f t="shared" si="30"/>
        <v>5.8584516671020661E-4</v>
      </c>
      <c r="AB106" s="57">
        <f t="shared" si="30"/>
        <v>6.0228818267834346E-4</v>
      </c>
      <c r="AC106" s="57">
        <f t="shared" si="30"/>
        <v>6.1333777624809861E-4</v>
      </c>
      <c r="AD106" s="57">
        <f t="shared" si="30"/>
        <v>6.4452181643740998E-4</v>
      </c>
      <c r="AE106" s="57">
        <f t="shared" si="30"/>
        <v>6.5074238940908305E-4</v>
      </c>
      <c r="AF106" s="57">
        <f t="shared" si="30"/>
        <v>6.8905157307724873E-4</v>
      </c>
      <c r="AG106" s="57">
        <f t="shared" si="30"/>
        <v>6.6681343376488169E-4</v>
      </c>
      <c r="AH106" s="125">
        <f t="shared" si="30"/>
        <v>4.4053681393178455E-4</v>
      </c>
      <c r="AI106" s="125">
        <f t="shared" si="30"/>
        <v>3.7698490748958762E-4</v>
      </c>
      <c r="AJ106" s="125">
        <f t="shared" si="30"/>
        <v>4.4554460442515541E-4</v>
      </c>
      <c r="AK106" s="125">
        <f t="shared" si="30"/>
        <v>3.1706585505339164E-4</v>
      </c>
      <c r="AL106" s="125">
        <f t="shared" si="30"/>
        <v>3.040527974084834E-4</v>
      </c>
      <c r="AM106" s="125">
        <f t="shared" si="30"/>
        <v>3.372224371519071E-4</v>
      </c>
      <c r="AN106" s="67"/>
    </row>
    <row r="107" spans="1:47" s="137" customFormat="1">
      <c r="A107" s="135" t="s">
        <v>468</v>
      </c>
      <c r="B107" s="136"/>
      <c r="C107" s="136"/>
      <c r="D107" s="136" t="s">
        <v>12</v>
      </c>
      <c r="E107" s="138">
        <f>SUM(E88:E106)</f>
        <v>2.9649051655563712</v>
      </c>
      <c r="F107" s="138">
        <f t="shared" ref="F107:AM107" si="31">SUM(F88:F106)</f>
        <v>2.9506939812694726</v>
      </c>
      <c r="G107" s="138">
        <f t="shared" si="31"/>
        <v>2.6832797350908253</v>
      </c>
      <c r="H107" s="138">
        <f t="shared" si="31"/>
        <v>2.9118841547627139</v>
      </c>
      <c r="I107" s="138">
        <f t="shared" si="31"/>
        <v>2.8999919418243891</v>
      </c>
      <c r="J107" s="138">
        <f t="shared" si="31"/>
        <v>2.9612350875450026</v>
      </c>
      <c r="K107" s="138">
        <f t="shared" si="31"/>
        <v>2.9659903410039896</v>
      </c>
      <c r="L107" s="138">
        <f t="shared" si="31"/>
        <v>2.9985748978927043</v>
      </c>
      <c r="M107" s="138">
        <f t="shared" si="31"/>
        <v>2.9280676834879791</v>
      </c>
      <c r="N107" s="138">
        <f t="shared" si="31"/>
        <v>2.9453356017514611</v>
      </c>
      <c r="O107" s="138">
        <f t="shared" si="31"/>
        <v>2.9930089990196107</v>
      </c>
      <c r="P107" s="138">
        <f t="shared" si="31"/>
        <v>2.959424914103173</v>
      </c>
      <c r="Q107" s="138">
        <f t="shared" si="31"/>
        <v>2.9349340033937237</v>
      </c>
      <c r="R107" s="138">
        <f t="shared" si="31"/>
        <v>3.0062336816846051</v>
      </c>
      <c r="S107" s="138">
        <f t="shared" si="31"/>
        <v>2.949298771950474</v>
      </c>
      <c r="T107" s="138">
        <f t="shared" si="31"/>
        <v>2.9527777111858198</v>
      </c>
      <c r="U107" s="138">
        <f t="shared" si="31"/>
        <v>3.0568311123639695</v>
      </c>
      <c r="V107" s="138">
        <f t="shared" si="31"/>
        <v>2.9712878270514533</v>
      </c>
      <c r="W107" s="138">
        <f t="shared" si="31"/>
        <v>2.9630791194103501</v>
      </c>
      <c r="X107" s="138">
        <f t="shared" si="31"/>
        <v>3.0140313126842444</v>
      </c>
      <c r="Y107" s="138">
        <f t="shared" si="31"/>
        <v>2.9364459342185527</v>
      </c>
      <c r="Z107" s="138">
        <f t="shared" si="31"/>
        <v>2.9267720059456463</v>
      </c>
      <c r="AA107" s="138">
        <f t="shared" si="31"/>
        <v>2.9613299398697821</v>
      </c>
      <c r="AB107" s="138">
        <f t="shared" si="31"/>
        <v>2.9403181821600972</v>
      </c>
      <c r="AC107" s="138">
        <f t="shared" si="31"/>
        <v>2.9817628967886489</v>
      </c>
      <c r="AD107" s="138">
        <f t="shared" si="31"/>
        <v>2.9943017557922094</v>
      </c>
      <c r="AE107" s="138">
        <f t="shared" si="31"/>
        <v>2.9872010076656395</v>
      </c>
      <c r="AF107" s="138">
        <f t="shared" si="31"/>
        <v>3.0086563121195233</v>
      </c>
      <c r="AG107" s="138">
        <f t="shared" si="31"/>
        <v>2.9880045528833996</v>
      </c>
      <c r="AH107" s="142">
        <f t="shared" si="31"/>
        <v>3.1300699322243268</v>
      </c>
      <c r="AI107" s="138">
        <f t="shared" si="31"/>
        <v>3.0093018812233887</v>
      </c>
      <c r="AJ107" s="138">
        <f t="shared" si="31"/>
        <v>3.0714493983205866</v>
      </c>
      <c r="AK107" s="138">
        <f t="shared" si="31"/>
        <v>3.0198599052458275</v>
      </c>
      <c r="AL107" s="138">
        <f t="shared" si="31"/>
        <v>3.0153553339775581</v>
      </c>
      <c r="AM107" s="138">
        <f t="shared" si="31"/>
        <v>3.0904047136233692</v>
      </c>
      <c r="AN107" s="136"/>
      <c r="AO107" s="136"/>
      <c r="AP107" s="136"/>
      <c r="AQ107" s="136"/>
      <c r="AR107" s="136"/>
      <c r="AS107" s="136"/>
    </row>
    <row r="108" spans="1:47" s="137" customFormat="1">
      <c r="A108" s="135" t="s">
        <v>493</v>
      </c>
      <c r="B108" s="136"/>
      <c r="C108" s="136"/>
      <c r="D108" s="136"/>
      <c r="E108" s="136"/>
      <c r="F108" s="136"/>
      <c r="G108" s="136"/>
      <c r="H108" s="136"/>
      <c r="I108" s="136"/>
      <c r="J108" s="136"/>
      <c r="K108" s="136"/>
      <c r="Z108" s="138"/>
      <c r="AH108" s="142"/>
      <c r="AJ108" s="136"/>
      <c r="AK108" s="136"/>
      <c r="AL108" s="136"/>
      <c r="AM108" s="136"/>
      <c r="AN108" s="136"/>
      <c r="AO108" s="136"/>
      <c r="AP108" s="136"/>
      <c r="AQ108" s="136"/>
      <c r="AR108" s="136"/>
      <c r="AS108" s="136"/>
    </row>
    <row r="109" spans="1:47">
      <c r="B109" s="1"/>
      <c r="C109" s="61" t="s">
        <v>494</v>
      </c>
      <c r="D109" s="31" t="s">
        <v>495</v>
      </c>
      <c r="E109" s="57">
        <f>E103/E$64*100</f>
        <v>1.3646736755691178E-3</v>
      </c>
      <c r="F109" s="57">
        <f t="shared" ref="F109:AM109" si="32">F103/F$64*100</f>
        <v>1.0219826767763976E-3</v>
      </c>
      <c r="G109" s="57">
        <f t="shared" si="32"/>
        <v>3.3116107933880276E-3</v>
      </c>
      <c r="H109" s="57">
        <f t="shared" si="32"/>
        <v>7.0690290682324857E-4</v>
      </c>
      <c r="I109" s="57">
        <f t="shared" si="32"/>
        <v>9.8062926751635868E-4</v>
      </c>
      <c r="J109" s="57">
        <f t="shared" si="32"/>
        <v>1.3038257827119228E-3</v>
      </c>
      <c r="K109" s="57">
        <f t="shared" si="32"/>
        <v>1.4704165226134484E-3</v>
      </c>
      <c r="L109" s="57">
        <f t="shared" si="32"/>
        <v>1.7261778962836026E-3</v>
      </c>
      <c r="M109" s="57">
        <f t="shared" si="32"/>
        <v>1.5790178686074464E-3</v>
      </c>
      <c r="N109" s="57">
        <f t="shared" si="32"/>
        <v>1.7357667217280655E-3</v>
      </c>
      <c r="O109" s="57">
        <f t="shared" si="32"/>
        <v>1.6392914507682755E-3</v>
      </c>
      <c r="P109" s="57">
        <f t="shared" si="32"/>
        <v>4.0836021227812535E-3</v>
      </c>
      <c r="Q109" s="57">
        <f t="shared" si="32"/>
        <v>3.9957798374858234E-3</v>
      </c>
      <c r="R109" s="57">
        <f t="shared" si="32"/>
        <v>4.1040735801821599E-3</v>
      </c>
      <c r="S109" s="57">
        <f t="shared" si="32"/>
        <v>4.1502203690662477E-3</v>
      </c>
      <c r="T109" s="57">
        <f t="shared" si="32"/>
        <v>3.8700114347273878E-3</v>
      </c>
      <c r="U109" s="57">
        <f t="shared" si="32"/>
        <v>9.0098556588882085E-3</v>
      </c>
      <c r="V109" s="57">
        <f t="shared" si="32"/>
        <v>8.97263990765188E-3</v>
      </c>
      <c r="W109" s="57">
        <f t="shared" si="32"/>
        <v>8.126725479926291E-3</v>
      </c>
      <c r="X109" s="57">
        <f t="shared" si="32"/>
        <v>8.8725705560517218E-3</v>
      </c>
      <c r="Y109" s="57">
        <f t="shared" si="32"/>
        <v>1.9007138396438333E-2</v>
      </c>
      <c r="Z109" s="57">
        <f t="shared" si="32"/>
        <v>1.8934354623636067E-2</v>
      </c>
      <c r="AA109" s="57">
        <f t="shared" si="32"/>
        <v>1.9921579818286E-2</v>
      </c>
      <c r="AB109" s="57">
        <f t="shared" si="32"/>
        <v>1.9777828179703333E-2</v>
      </c>
      <c r="AC109" s="57">
        <f t="shared" si="32"/>
        <v>2.0254102253277357E-2</v>
      </c>
      <c r="AD109" s="57">
        <f t="shared" si="32"/>
        <v>2.0299759014556322E-2</v>
      </c>
      <c r="AE109" s="57">
        <f t="shared" si="32"/>
        <v>1.97826675141555E-2</v>
      </c>
      <c r="AF109" s="57">
        <f t="shared" si="32"/>
        <v>2.0007805233669625E-2</v>
      </c>
      <c r="AG109" s="57">
        <f t="shared" si="32"/>
        <v>2.0029312292044046E-2</v>
      </c>
      <c r="AH109" s="125">
        <f t="shared" si="32"/>
        <v>7.13115386147289E-2</v>
      </c>
      <c r="AI109" s="125">
        <f t="shared" si="32"/>
        <v>6.4676649185090212E-3</v>
      </c>
      <c r="AJ109" s="125">
        <f t="shared" si="32"/>
        <v>3.2770679178241412E-3</v>
      </c>
      <c r="AK109" s="125">
        <f t="shared" si="32"/>
        <v>1.6810167114149029E-3</v>
      </c>
      <c r="AL109" s="125">
        <f t="shared" si="32"/>
        <v>9.791460477482064E-4</v>
      </c>
      <c r="AM109" s="125">
        <f t="shared" si="32"/>
        <v>8.3717213735871909E-4</v>
      </c>
      <c r="AN109" s="67"/>
      <c r="AP109" s="34">
        <f t="shared" ref="AP109" si="33">AVERAGE(E109:I109)</f>
        <v>1.47715986401463E-3</v>
      </c>
      <c r="AQ109" s="34">
        <f t="shared" ref="AQ109" si="34">AVERAGE(J109:N109)</f>
        <v>1.5630409583888972E-3</v>
      </c>
      <c r="AR109" s="34">
        <f t="shared" ref="AR109" si="35">AVERAGE(O109:T109)</f>
        <v>3.6404964658351916E-3</v>
      </c>
      <c r="AS109" s="34">
        <f t="shared" ref="AS109" si="36">AVERAGE(U109:X109)</f>
        <v>8.7454479006295258E-3</v>
      </c>
      <c r="AT109" s="34">
        <f t="shared" ref="AT109" si="37">AVERAGE(Y109:Z109)</f>
        <v>1.89707465100372E-2</v>
      </c>
      <c r="AU109" s="34">
        <f t="shared" ref="AU109" si="38">AVERAGE(AA109:AG109)</f>
        <v>2.0010436329384599E-2</v>
      </c>
    </row>
    <row r="110" spans="1:47">
      <c r="B110" s="1"/>
      <c r="C110" s="61" t="s">
        <v>301</v>
      </c>
      <c r="D110" s="31" t="s">
        <v>495</v>
      </c>
      <c r="E110" s="57">
        <f>E88/E$64*100</f>
        <v>7.1577658200924099E-2</v>
      </c>
      <c r="F110" s="57">
        <f t="shared" ref="F110:AM110" si="39">F88/F$64*100</f>
        <v>7.2482234623703484E-2</v>
      </c>
      <c r="G110" s="57">
        <f t="shared" si="39"/>
        <v>6.1933404668069611E-2</v>
      </c>
      <c r="H110" s="57">
        <f t="shared" si="39"/>
        <v>7.623468519296546E-2</v>
      </c>
      <c r="I110" s="57">
        <f t="shared" si="39"/>
        <v>8.1953863002603267E-2</v>
      </c>
      <c r="J110" s="57">
        <f t="shared" si="39"/>
        <v>0.2546198151669582</v>
      </c>
      <c r="K110" s="57">
        <f t="shared" si="39"/>
        <v>0.26354897284754547</v>
      </c>
      <c r="L110" s="57">
        <f t="shared" si="39"/>
        <v>0.25647396177374204</v>
      </c>
      <c r="M110" s="57">
        <f t="shared" si="39"/>
        <v>0.27663465977272861</v>
      </c>
      <c r="N110" s="57">
        <f t="shared" si="39"/>
        <v>0.29184886040914282</v>
      </c>
      <c r="O110" s="57">
        <f t="shared" si="39"/>
        <v>0.29478236023946613</v>
      </c>
      <c r="P110" s="57">
        <f t="shared" si="39"/>
        <v>0.80838207834566889</v>
      </c>
      <c r="Q110" s="57">
        <f t="shared" si="39"/>
        <v>0.83410017050427909</v>
      </c>
      <c r="R110" s="57">
        <f t="shared" si="39"/>
        <v>0.83217524856598635</v>
      </c>
      <c r="S110" s="57">
        <f t="shared" si="39"/>
        <v>0.89036017796358702</v>
      </c>
      <c r="T110" s="57">
        <f t="shared" si="39"/>
        <v>0.87175200147612142</v>
      </c>
      <c r="U110" s="57">
        <f t="shared" si="39"/>
        <v>1.9064889136608916</v>
      </c>
      <c r="V110" s="57">
        <f t="shared" si="39"/>
        <v>1.9582550146808833</v>
      </c>
      <c r="W110" s="57">
        <f t="shared" si="39"/>
        <v>1.9458342372405748</v>
      </c>
      <c r="X110" s="57">
        <f t="shared" si="39"/>
        <v>2.0184033403351163</v>
      </c>
      <c r="Y110" s="57">
        <f t="shared" si="39"/>
        <v>3.3955146465531501</v>
      </c>
      <c r="Z110" s="57">
        <f t="shared" si="39"/>
        <v>3.3856956727784477</v>
      </c>
      <c r="AA110" s="57">
        <f t="shared" si="39"/>
        <v>4.2061744920731758</v>
      </c>
      <c r="AB110" s="57">
        <f t="shared" si="39"/>
        <v>4.2410072886156982</v>
      </c>
      <c r="AC110" s="57">
        <f t="shared" si="39"/>
        <v>4.2472278741786473</v>
      </c>
      <c r="AD110" s="57">
        <f t="shared" si="39"/>
        <v>4.2697757226825646</v>
      </c>
      <c r="AE110" s="57">
        <f t="shared" si="39"/>
        <v>4.2916854207526542</v>
      </c>
      <c r="AF110" s="57">
        <f t="shared" si="39"/>
        <v>4.3204296997629541</v>
      </c>
      <c r="AG110" s="57">
        <f t="shared" si="39"/>
        <v>4.3015252275124851</v>
      </c>
      <c r="AH110" s="125">
        <f t="shared" si="39"/>
        <v>2.1221416505070624E-3</v>
      </c>
      <c r="AI110" s="125">
        <f t="shared" si="39"/>
        <v>4.4129637026453289E-3</v>
      </c>
      <c r="AJ110" s="125">
        <f t="shared" si="39"/>
        <v>3.5873063597237592E-3</v>
      </c>
      <c r="AK110" s="125">
        <f t="shared" si="39"/>
        <v>6.8188230199678172E-3</v>
      </c>
      <c r="AL110" s="125">
        <f t="shared" si="39"/>
        <v>6.4587463052090998E-3</v>
      </c>
      <c r="AM110" s="125">
        <f t="shared" si="39"/>
        <v>6.3918150061285347E-3</v>
      </c>
      <c r="AN110" s="67"/>
      <c r="AP110" s="34">
        <f t="shared" ref="AP110:AP113" si="40">AVERAGE(E110:I110)</f>
        <v>7.2836369137653179E-2</v>
      </c>
      <c r="AQ110" s="34">
        <f t="shared" ref="AQ110:AQ113" si="41">AVERAGE(J110:N110)</f>
        <v>0.26862525399402343</v>
      </c>
      <c r="AR110" s="34">
        <f t="shared" ref="AR110:AR113" si="42">AVERAGE(O110:T110)</f>
        <v>0.7552586728491848</v>
      </c>
      <c r="AS110" s="34">
        <f t="shared" ref="AS110:AS113" si="43">AVERAGE(U110:X110)</f>
        <v>1.9572453764793663</v>
      </c>
      <c r="AT110" s="34">
        <f t="shared" ref="AT110:AT113" si="44">AVERAGE(Y110:Z110)</f>
        <v>3.3906051596657987</v>
      </c>
      <c r="AU110" s="34">
        <f t="shared" ref="AU110:AU113" si="45">AVERAGE(AA110:AG110)</f>
        <v>4.2682608179397397</v>
      </c>
    </row>
    <row r="111" spans="1:47">
      <c r="B111" s="1"/>
      <c r="C111" s="61" t="s">
        <v>302</v>
      </c>
      <c r="D111" s="31" t="s">
        <v>495</v>
      </c>
      <c r="E111" s="57">
        <f>SUM(E89:E90)/E$64*100</f>
        <v>0.28310152379533859</v>
      </c>
      <c r="F111" s="57">
        <f t="shared" ref="F111:AM111" si="46">SUM(F89:F90)/F$64*100</f>
        <v>0.27229026417859276</v>
      </c>
      <c r="G111" s="57">
        <f t="shared" si="46"/>
        <v>0.24597977044879593</v>
      </c>
      <c r="H111" s="57">
        <f t="shared" si="46"/>
        <v>0.30757302351309868</v>
      </c>
      <c r="I111" s="57">
        <f t="shared" si="46"/>
        <v>0.32778877975683535</v>
      </c>
      <c r="J111" s="57">
        <f t="shared" si="46"/>
        <v>0.91709188583163626</v>
      </c>
      <c r="K111" s="57">
        <f t="shared" si="46"/>
        <v>0.94960382456519088</v>
      </c>
      <c r="L111" s="57">
        <f t="shared" si="46"/>
        <v>0.92591936574335509</v>
      </c>
      <c r="M111" s="57">
        <f t="shared" si="46"/>
        <v>0.98457288623226891</v>
      </c>
      <c r="N111" s="57">
        <f t="shared" si="46"/>
        <v>1.0343297853576814</v>
      </c>
      <c r="O111" s="57">
        <f t="shared" si="46"/>
        <v>1.0355737483162464</v>
      </c>
      <c r="P111" s="57">
        <f t="shared" si="46"/>
        <v>2.4574806745808861</v>
      </c>
      <c r="Q111" s="57">
        <f t="shared" si="46"/>
        <v>2.5169391399150771</v>
      </c>
      <c r="R111" s="57">
        <f t="shared" si="46"/>
        <v>2.5089755248344376</v>
      </c>
      <c r="S111" s="57">
        <f t="shared" si="46"/>
        <v>2.6639372525795775</v>
      </c>
      <c r="T111" s="57">
        <f t="shared" si="46"/>
        <v>2.6203739497210874</v>
      </c>
      <c r="U111" s="57">
        <f t="shared" si="46"/>
        <v>4.7728210691181756</v>
      </c>
      <c r="V111" s="57">
        <f t="shared" si="46"/>
        <v>4.8604677172524715</v>
      </c>
      <c r="W111" s="57">
        <f t="shared" si="46"/>
        <v>4.8356830845231409</v>
      </c>
      <c r="X111" s="57">
        <f t="shared" si="46"/>
        <v>4.9704245755587229</v>
      </c>
      <c r="Y111" s="57">
        <f t="shared" si="46"/>
        <v>7.1672039141059019</v>
      </c>
      <c r="Z111" s="57">
        <f t="shared" si="46"/>
        <v>7.1499009180789361</v>
      </c>
      <c r="AA111" s="57">
        <f t="shared" si="46"/>
        <v>8.4695796057606536</v>
      </c>
      <c r="AB111" s="57">
        <f t="shared" si="46"/>
        <v>8.5811446551502808</v>
      </c>
      <c r="AC111" s="57">
        <f t="shared" si="46"/>
        <v>8.5833844967055946</v>
      </c>
      <c r="AD111" s="57">
        <f t="shared" si="46"/>
        <v>8.6514916239063648</v>
      </c>
      <c r="AE111" s="57">
        <f t="shared" si="46"/>
        <v>8.7037709040236138</v>
      </c>
      <c r="AF111" s="57">
        <f t="shared" si="46"/>
        <v>8.7688587880334588</v>
      </c>
      <c r="AG111" s="57">
        <f t="shared" si="46"/>
        <v>8.7147546849308455</v>
      </c>
      <c r="AH111" s="125">
        <f t="shared" si="46"/>
        <v>6.6594934500089987E-3</v>
      </c>
      <c r="AI111" s="125">
        <f t="shared" si="46"/>
        <v>1.9213513904159867E-2</v>
      </c>
      <c r="AJ111" s="125">
        <f t="shared" si="46"/>
        <v>1.4696464809644601E-2</v>
      </c>
      <c r="AK111" s="125">
        <f t="shared" si="46"/>
        <v>2.9852889816626944E-2</v>
      </c>
      <c r="AL111" s="125">
        <f t="shared" si="46"/>
        <v>3.1728448750061665E-2</v>
      </c>
      <c r="AM111" s="125">
        <f t="shared" si="46"/>
        <v>3.1110894395296899E-2</v>
      </c>
      <c r="AN111" s="67"/>
      <c r="AP111" s="34">
        <f t="shared" si="40"/>
        <v>0.28734667233853223</v>
      </c>
      <c r="AQ111" s="34">
        <f t="shared" si="41"/>
        <v>0.96230354954602648</v>
      </c>
      <c r="AR111" s="34">
        <f t="shared" si="42"/>
        <v>2.3005467149912184</v>
      </c>
      <c r="AS111" s="34">
        <f t="shared" si="43"/>
        <v>4.8598491116131282</v>
      </c>
      <c r="AT111" s="34">
        <f t="shared" si="44"/>
        <v>7.1585524160924194</v>
      </c>
      <c r="AU111" s="34">
        <f t="shared" si="45"/>
        <v>8.6389978226444022</v>
      </c>
    </row>
    <row r="112" spans="1:47">
      <c r="B112" s="1"/>
      <c r="C112" s="61" t="s">
        <v>496</v>
      </c>
      <c r="D112" s="31" t="s">
        <v>495</v>
      </c>
      <c r="E112" s="57">
        <f t="shared" ref="E112:AM112" si="47">E111+E110+E109</f>
        <v>0.35604385567183183</v>
      </c>
      <c r="F112" s="57">
        <f t="shared" si="47"/>
        <v>0.3457944814790726</v>
      </c>
      <c r="G112" s="57">
        <f t="shared" si="47"/>
        <v>0.3112247859102536</v>
      </c>
      <c r="H112" s="57">
        <f t="shared" si="47"/>
        <v>0.38451461161288736</v>
      </c>
      <c r="I112" s="57">
        <f t="shared" si="47"/>
        <v>0.41072327202695497</v>
      </c>
      <c r="J112" s="57">
        <f t="shared" si="47"/>
        <v>1.1730155267813063</v>
      </c>
      <c r="K112" s="57">
        <f t="shared" si="47"/>
        <v>1.2146232139353497</v>
      </c>
      <c r="L112" s="57">
        <f t="shared" si="47"/>
        <v>1.1841195054133808</v>
      </c>
      <c r="M112" s="57">
        <f t="shared" si="47"/>
        <v>1.2627865638736049</v>
      </c>
      <c r="N112" s="57">
        <f t="shared" si="47"/>
        <v>1.3279144124885522</v>
      </c>
      <c r="O112" s="57">
        <f t="shared" si="47"/>
        <v>1.3319954000064809</v>
      </c>
      <c r="P112" s="57">
        <f t="shared" si="47"/>
        <v>3.2699463550493366</v>
      </c>
      <c r="Q112" s="57">
        <f t="shared" si="47"/>
        <v>3.355035090256842</v>
      </c>
      <c r="R112" s="57">
        <f t="shared" si="47"/>
        <v>3.3452548469806063</v>
      </c>
      <c r="S112" s="57">
        <f t="shared" si="47"/>
        <v>3.5584476509122309</v>
      </c>
      <c r="T112" s="57">
        <f t="shared" si="47"/>
        <v>3.4959959626319361</v>
      </c>
      <c r="U112" s="57">
        <f t="shared" si="47"/>
        <v>6.6883198384379554</v>
      </c>
      <c r="V112" s="57">
        <f t="shared" si="47"/>
        <v>6.8276953718410072</v>
      </c>
      <c r="W112" s="57">
        <f t="shared" si="47"/>
        <v>6.7896440472436419</v>
      </c>
      <c r="X112" s="57">
        <f t="shared" si="47"/>
        <v>6.9977004864498911</v>
      </c>
      <c r="Y112" s="57">
        <f t="shared" si="47"/>
        <v>10.58172569905549</v>
      </c>
      <c r="Z112" s="57">
        <f t="shared" si="47"/>
        <v>10.554530945481021</v>
      </c>
      <c r="AA112" s="57">
        <f t="shared" si="47"/>
        <v>12.695675677652115</v>
      </c>
      <c r="AB112" s="57">
        <f t="shared" si="47"/>
        <v>12.841929771945683</v>
      </c>
      <c r="AC112" s="57">
        <f t="shared" si="47"/>
        <v>12.85086647313752</v>
      </c>
      <c r="AD112" s="57">
        <f t="shared" si="47"/>
        <v>12.941567105603486</v>
      </c>
      <c r="AE112" s="57">
        <f t="shared" si="47"/>
        <v>13.015238992290422</v>
      </c>
      <c r="AF112" s="57">
        <f t="shared" si="47"/>
        <v>13.109296293030082</v>
      </c>
      <c r="AG112" s="57">
        <f t="shared" si="47"/>
        <v>13.036309224735374</v>
      </c>
      <c r="AH112" s="125">
        <f t="shared" si="47"/>
        <v>8.0093173715244964E-2</v>
      </c>
      <c r="AI112" s="125">
        <f t="shared" si="47"/>
        <v>3.0094142525314217E-2</v>
      </c>
      <c r="AJ112" s="125">
        <f t="shared" si="47"/>
        <v>2.1560839087192502E-2</v>
      </c>
      <c r="AK112" s="125">
        <f t="shared" si="47"/>
        <v>3.8352729548009661E-2</v>
      </c>
      <c r="AL112" s="125">
        <f t="shared" si="47"/>
        <v>3.9166341103018976E-2</v>
      </c>
      <c r="AM112" s="125">
        <f t="shared" si="47"/>
        <v>3.8339881538784155E-2</v>
      </c>
      <c r="AN112" s="67"/>
      <c r="AP112" s="34">
        <f t="shared" si="40"/>
        <v>0.36166020134020005</v>
      </c>
      <c r="AQ112" s="34">
        <f t="shared" si="41"/>
        <v>1.232491844498439</v>
      </c>
      <c r="AR112" s="34">
        <f t="shared" si="42"/>
        <v>3.0594458843062391</v>
      </c>
      <c r="AS112" s="34">
        <f t="shared" si="43"/>
        <v>6.8258399359931232</v>
      </c>
      <c r="AT112" s="34">
        <f t="shared" si="44"/>
        <v>10.568128322268254</v>
      </c>
      <c r="AU112" s="34">
        <f t="shared" si="45"/>
        <v>12.927269076913527</v>
      </c>
    </row>
    <row r="113" spans="1:47">
      <c r="B113" s="1"/>
      <c r="C113" s="61" t="s">
        <v>497</v>
      </c>
      <c r="D113" s="31" t="s">
        <v>495</v>
      </c>
      <c r="E113" s="57">
        <f>(SUM(E91:E102,E104:E106))/E$64*100</f>
        <v>99.665424564001697</v>
      </c>
      <c r="F113" s="57">
        <f t="shared" ref="F113:AM113" si="48">(SUM(F91:F102,F104:F106))/F$64*100</f>
        <v>99.675774877222452</v>
      </c>
      <c r="G113" s="57">
        <f t="shared" si="48"/>
        <v>99.708544386583029</v>
      </c>
      <c r="H113" s="57">
        <f t="shared" si="48"/>
        <v>99.626067295529026</v>
      </c>
      <c r="I113" s="57">
        <f t="shared" si="48"/>
        <v>99.600703017825595</v>
      </c>
      <c r="J113" s="57">
        <f t="shared" si="48"/>
        <v>98.856356901599639</v>
      </c>
      <c r="K113" s="57">
        <f t="shared" si="48"/>
        <v>98.815081978724194</v>
      </c>
      <c r="L113" s="57">
        <f t="shared" si="48"/>
        <v>98.845300916953391</v>
      </c>
      <c r="M113" s="57">
        <f t="shared" si="48"/>
        <v>98.768361721691306</v>
      </c>
      <c r="N113" s="57">
        <f t="shared" si="48"/>
        <v>98.705306574511738</v>
      </c>
      <c r="O113" s="57">
        <f t="shared" si="48"/>
        <v>98.700739918279851</v>
      </c>
      <c r="P113" s="57">
        <f t="shared" si="48"/>
        <v>96.803362029904179</v>
      </c>
      <c r="Q113" s="57">
        <f t="shared" si="48"/>
        <v>96.720118823795659</v>
      </c>
      <c r="R113" s="57">
        <f t="shared" si="48"/>
        <v>96.729315872374841</v>
      </c>
      <c r="S113" s="57">
        <f t="shared" si="48"/>
        <v>96.520296172793181</v>
      </c>
      <c r="T113" s="57">
        <f t="shared" si="48"/>
        <v>96.581385224293541</v>
      </c>
      <c r="U113" s="57">
        <f t="shared" si="48"/>
        <v>93.454804587091743</v>
      </c>
      <c r="V113" s="57">
        <f t="shared" si="48"/>
        <v>93.318402871024304</v>
      </c>
      <c r="W113" s="57">
        <f t="shared" si="48"/>
        <v>93.355680156016433</v>
      </c>
      <c r="X113" s="57">
        <f t="shared" si="48"/>
        <v>93.151534284407546</v>
      </c>
      <c r="Y113" s="57">
        <f t="shared" si="48"/>
        <v>89.643464966163634</v>
      </c>
      <c r="Z113" s="57">
        <f t="shared" si="48"/>
        <v>89.670256411552671</v>
      </c>
      <c r="AA113" s="57">
        <f t="shared" si="48"/>
        <v>87.573501285851947</v>
      </c>
      <c r="AB113" s="57">
        <f t="shared" si="48"/>
        <v>87.42941998268482</v>
      </c>
      <c r="AC113" s="57">
        <f t="shared" si="48"/>
        <v>87.42116585512143</v>
      </c>
      <c r="AD113" s="57">
        <f t="shared" si="48"/>
        <v>87.331966060019752</v>
      </c>
      <c r="AE113" s="57">
        <f t="shared" si="48"/>
        <v>87.259742575083948</v>
      </c>
      <c r="AF113" s="57">
        <f t="shared" si="48"/>
        <v>87.167459620508765</v>
      </c>
      <c r="AG113" s="57">
        <f t="shared" si="48"/>
        <v>87.239372388491603</v>
      </c>
      <c r="AH113" s="125">
        <f t="shared" si="48"/>
        <v>99.933850999087824</v>
      </c>
      <c r="AI113" s="125">
        <f t="shared" si="48"/>
        <v>99.967056466069423</v>
      </c>
      <c r="AJ113" s="125">
        <f t="shared" si="48"/>
        <v>99.975027697454536</v>
      </c>
      <c r="AK113" s="125">
        <f t="shared" si="48"/>
        <v>99.959727942088477</v>
      </c>
      <c r="AL113" s="125">
        <f t="shared" si="48"/>
        <v>99.959451524023706</v>
      </c>
      <c r="AM113" s="125">
        <f t="shared" si="48"/>
        <v>99.95983343646779</v>
      </c>
      <c r="AN113" s="67"/>
      <c r="AP113" s="34">
        <f t="shared" si="40"/>
        <v>99.655302828232351</v>
      </c>
      <c r="AQ113" s="34">
        <f t="shared" si="41"/>
        <v>98.798081618696045</v>
      </c>
      <c r="AR113" s="34">
        <f t="shared" si="42"/>
        <v>97.009203006906873</v>
      </c>
      <c r="AS113" s="34">
        <f t="shared" si="43"/>
        <v>93.320105474635014</v>
      </c>
      <c r="AT113" s="34">
        <f t="shared" si="44"/>
        <v>89.65686068885816</v>
      </c>
      <c r="AU113" s="34">
        <f t="shared" si="45"/>
        <v>87.346089681108893</v>
      </c>
    </row>
    <row r="114" spans="1:47" s="137" customFormat="1">
      <c r="A114" s="135"/>
      <c r="C114" s="135" t="s">
        <v>11</v>
      </c>
      <c r="D114" s="136" t="s">
        <v>495</v>
      </c>
      <c r="E114" s="138">
        <f t="shared" ref="E114:AM114" si="49">SUM(E112:E113)</f>
        <v>100.02146841967352</v>
      </c>
      <c r="F114" s="138">
        <f t="shared" si="49"/>
        <v>100.02156935870153</v>
      </c>
      <c r="G114" s="138">
        <f t="shared" si="49"/>
        <v>100.01976917249328</v>
      </c>
      <c r="H114" s="138">
        <f t="shared" si="49"/>
        <v>100.01058190714191</v>
      </c>
      <c r="I114" s="138">
        <f t="shared" si="49"/>
        <v>100.01142628985255</v>
      </c>
      <c r="J114" s="138">
        <f t="shared" si="49"/>
        <v>100.02937242838095</v>
      </c>
      <c r="K114" s="138">
        <f t="shared" si="49"/>
        <v>100.02970519265955</v>
      </c>
      <c r="L114" s="138">
        <f t="shared" si="49"/>
        <v>100.02942042236677</v>
      </c>
      <c r="M114" s="138">
        <f t="shared" si="49"/>
        <v>100.03114828556491</v>
      </c>
      <c r="N114" s="138">
        <f t="shared" si="49"/>
        <v>100.03322098700029</v>
      </c>
      <c r="O114" s="138">
        <f t="shared" si="49"/>
        <v>100.03273531828633</v>
      </c>
      <c r="P114" s="138">
        <f t="shared" si="49"/>
        <v>100.07330838495352</v>
      </c>
      <c r="Q114" s="138">
        <f t="shared" si="49"/>
        <v>100.07515391405251</v>
      </c>
      <c r="R114" s="138">
        <f t="shared" si="49"/>
        <v>100.07457071935545</v>
      </c>
      <c r="S114" s="138">
        <f t="shared" si="49"/>
        <v>100.07874382370541</v>
      </c>
      <c r="T114" s="138">
        <f t="shared" si="49"/>
        <v>100.07738118692548</v>
      </c>
      <c r="U114" s="138">
        <f t="shared" si="49"/>
        <v>100.14312442552969</v>
      </c>
      <c r="V114" s="138">
        <f t="shared" si="49"/>
        <v>100.14609824286531</v>
      </c>
      <c r="W114" s="138">
        <f t="shared" si="49"/>
        <v>100.14532420326007</v>
      </c>
      <c r="X114" s="138">
        <f t="shared" si="49"/>
        <v>100.14923477085743</v>
      </c>
      <c r="Y114" s="138">
        <f t="shared" si="49"/>
        <v>100.22519066521912</v>
      </c>
      <c r="Z114" s="138">
        <f t="shared" si="49"/>
        <v>100.22478735703369</v>
      </c>
      <c r="AA114" s="138">
        <f t="shared" si="49"/>
        <v>100.26917696350407</v>
      </c>
      <c r="AB114" s="138">
        <f t="shared" si="49"/>
        <v>100.27134975463051</v>
      </c>
      <c r="AC114" s="138">
        <f t="shared" si="49"/>
        <v>100.27203232825894</v>
      </c>
      <c r="AD114" s="138">
        <f t="shared" si="49"/>
        <v>100.27353316562323</v>
      </c>
      <c r="AE114" s="138">
        <f t="shared" si="49"/>
        <v>100.27498156737437</v>
      </c>
      <c r="AF114" s="138">
        <f t="shared" si="49"/>
        <v>100.27675591353885</v>
      </c>
      <c r="AG114" s="138">
        <f t="shared" si="49"/>
        <v>100.27568161322698</v>
      </c>
      <c r="AH114" s="138">
        <f t="shared" si="49"/>
        <v>100.01394417280306</v>
      </c>
      <c r="AI114" s="138">
        <f t="shared" si="49"/>
        <v>99.997150608594737</v>
      </c>
      <c r="AJ114" s="138">
        <f t="shared" si="49"/>
        <v>99.996588536541722</v>
      </c>
      <c r="AK114" s="138">
        <f t="shared" si="49"/>
        <v>99.998080671636487</v>
      </c>
      <c r="AL114" s="138">
        <f t="shared" si="49"/>
        <v>99.998617865126718</v>
      </c>
      <c r="AM114" s="138">
        <f t="shared" si="49"/>
        <v>99.998173318006579</v>
      </c>
      <c r="AN114" s="136"/>
      <c r="AO114" s="136"/>
      <c r="AP114" s="136"/>
      <c r="AQ114" s="136"/>
      <c r="AR114" s="136"/>
      <c r="AS114" s="136"/>
    </row>
    <row r="115" spans="1:47">
      <c r="B115" s="1"/>
      <c r="C115" s="61" t="s">
        <v>498</v>
      </c>
      <c r="D115" s="31" t="s">
        <v>495</v>
      </c>
      <c r="E115" s="57">
        <f>SUM(E112:E113)-100</f>
        <v>2.1468419673524863E-2</v>
      </c>
      <c r="F115" s="57">
        <f t="shared" ref="F115:AM115" si="50">SUM(F112:F113)-100</f>
        <v>2.1569358701526653E-2</v>
      </c>
      <c r="G115" s="57">
        <f t="shared" si="50"/>
        <v>1.9769172493283804E-2</v>
      </c>
      <c r="H115" s="57">
        <f t="shared" si="50"/>
        <v>1.0581907141911984E-2</v>
      </c>
      <c r="I115" s="57">
        <f t="shared" si="50"/>
        <v>1.1426289852551008E-2</v>
      </c>
      <c r="J115" s="57">
        <f t="shared" si="50"/>
        <v>2.9372428380952442E-2</v>
      </c>
      <c r="K115" s="57">
        <f t="shared" si="50"/>
        <v>2.9705192659548629E-2</v>
      </c>
      <c r="L115" s="57">
        <f t="shared" si="50"/>
        <v>2.9420422366769117E-2</v>
      </c>
      <c r="M115" s="57">
        <f t="shared" si="50"/>
        <v>3.1148285564910339E-2</v>
      </c>
      <c r="N115" s="57">
        <f t="shared" si="50"/>
        <v>3.3220987000291302E-2</v>
      </c>
      <c r="O115" s="57">
        <f t="shared" si="50"/>
        <v>3.2735318286327697E-2</v>
      </c>
      <c r="P115" s="57">
        <f t="shared" si="50"/>
        <v>7.3308384953520545E-2</v>
      </c>
      <c r="Q115" s="57">
        <f t="shared" si="50"/>
        <v>7.5153914052506821E-2</v>
      </c>
      <c r="R115" s="57">
        <f t="shared" si="50"/>
        <v>7.4570719355449455E-2</v>
      </c>
      <c r="S115" s="57">
        <f t="shared" si="50"/>
        <v>7.8743823705409E-2</v>
      </c>
      <c r="T115" s="57">
        <f t="shared" si="50"/>
        <v>7.7381186925478573E-2</v>
      </c>
      <c r="U115" s="57">
        <f t="shared" si="50"/>
        <v>0.14312442552969173</v>
      </c>
      <c r="V115" s="57">
        <f t="shared" si="50"/>
        <v>0.14609824286530682</v>
      </c>
      <c r="W115" s="57">
        <f t="shared" si="50"/>
        <v>0.14532420326007411</v>
      </c>
      <c r="X115" s="57">
        <f t="shared" si="50"/>
        <v>0.14923477085743286</v>
      </c>
      <c r="Y115" s="57">
        <f t="shared" si="50"/>
        <v>0.22519066521911668</v>
      </c>
      <c r="Z115" s="57">
        <f t="shared" si="50"/>
        <v>0.22478735703369068</v>
      </c>
      <c r="AA115" s="57">
        <f t="shared" si="50"/>
        <v>0.26917696350406572</v>
      </c>
      <c r="AB115" s="57">
        <f t="shared" si="50"/>
        <v>0.27134975463050637</v>
      </c>
      <c r="AC115" s="57">
        <f t="shared" si="50"/>
        <v>0.27203232825894474</v>
      </c>
      <c r="AD115" s="57">
        <f t="shared" si="50"/>
        <v>0.27353316562323471</v>
      </c>
      <c r="AE115" s="57">
        <f t="shared" si="50"/>
        <v>0.2749815673743683</v>
      </c>
      <c r="AF115" s="57">
        <f t="shared" si="50"/>
        <v>0.27675591353884954</v>
      </c>
      <c r="AG115" s="57">
        <f t="shared" si="50"/>
        <v>0.27568161322697904</v>
      </c>
      <c r="AH115" s="125">
        <f t="shared" si="50"/>
        <v>1.3944172803064703E-2</v>
      </c>
      <c r="AI115" s="125">
        <f t="shared" si="50"/>
        <v>-2.8493914052631908E-3</v>
      </c>
      <c r="AJ115" s="125">
        <f t="shared" si="50"/>
        <v>-3.4114634582778081E-3</v>
      </c>
      <c r="AK115" s="125">
        <f t="shared" si="50"/>
        <v>-1.919328363513273E-3</v>
      </c>
      <c r="AL115" s="125">
        <f t="shared" si="50"/>
        <v>-1.3821348732818706E-3</v>
      </c>
      <c r="AM115" s="125">
        <f t="shared" si="50"/>
        <v>-1.8266819934211753E-3</v>
      </c>
      <c r="AN115" s="67"/>
      <c r="AP115" s="34">
        <f t="shared" ref="AP115:AP118" si="51">AVERAGE(E115:I115)</f>
        <v>1.6963029572559664E-2</v>
      </c>
      <c r="AQ115" s="34">
        <f t="shared" ref="AQ115:AQ118" si="52">AVERAGE(J115:N115)</f>
        <v>3.0573463194494367E-2</v>
      </c>
      <c r="AR115" s="34">
        <f t="shared" ref="AR115:AR118" si="53">AVERAGE(O115:T115)</f>
        <v>6.8648891213115348E-2</v>
      </c>
      <c r="AS115" s="34">
        <f t="shared" ref="AS115:AS118" si="54">AVERAGE(U115:X115)</f>
        <v>0.14594541062812638</v>
      </c>
      <c r="AT115" s="34">
        <f t="shared" ref="AT115:AT118" si="55">AVERAGE(Y115:Z115)</f>
        <v>0.22498901112640368</v>
      </c>
      <c r="AU115" s="34">
        <f t="shared" ref="AU115:AU118" si="56">AVERAGE(AA115:AG115)</f>
        <v>0.27335875802242121</v>
      </c>
    </row>
    <row r="116" spans="1:47">
      <c r="C116" s="61" t="s">
        <v>499</v>
      </c>
      <c r="D116" s="31" t="s">
        <v>495</v>
      </c>
      <c r="E116" s="34">
        <f>100*((E$64*$E$15/100)-E97)/(E$64*$E$15/100)</f>
        <v>4.1852498918157099</v>
      </c>
      <c r="F116" s="34">
        <f t="shared" ref="F116:AM116" si="57">100*((F$64*$E$15/100)-F97)/(F$64*$E$15/100)</f>
        <v>3.9082254295618344</v>
      </c>
      <c r="G116" s="34">
        <f t="shared" si="57"/>
        <v>3.7254965019996722</v>
      </c>
      <c r="H116" s="34">
        <f t="shared" si="57"/>
        <v>4.9565264673631217</v>
      </c>
      <c r="I116" s="34">
        <f t="shared" si="57"/>
        <v>5.072628071431291</v>
      </c>
      <c r="J116" s="34">
        <f t="shared" si="57"/>
        <v>11.6030604308596</v>
      </c>
      <c r="K116" s="34">
        <f t="shared" si="57"/>
        <v>11.627345049513286</v>
      </c>
      <c r="L116" s="34">
        <f t="shared" si="57"/>
        <v>11.544383059296626</v>
      </c>
      <c r="M116" s="34">
        <f t="shared" si="57"/>
        <v>11.792740148123766</v>
      </c>
      <c r="N116" s="34">
        <f t="shared" si="57"/>
        <v>11.947365262524457</v>
      </c>
      <c r="O116" s="34">
        <f t="shared" si="57"/>
        <v>11.751424114591</v>
      </c>
      <c r="P116" s="34">
        <f t="shared" si="57"/>
        <v>24.942122493211908</v>
      </c>
      <c r="Q116" s="34">
        <f t="shared" si="57"/>
        <v>24.967100648589206</v>
      </c>
      <c r="R116" s="34">
        <f t="shared" si="57"/>
        <v>24.51348800042992</v>
      </c>
      <c r="S116" s="34">
        <f t="shared" si="57"/>
        <v>25.19543687276424</v>
      </c>
      <c r="T116" s="34">
        <f t="shared" si="57"/>
        <v>24.29854205558361</v>
      </c>
      <c r="U116" s="34">
        <f t="shared" si="57"/>
        <v>44.639506346289309</v>
      </c>
      <c r="V116" s="34">
        <f t="shared" si="57"/>
        <v>45.022683998726045</v>
      </c>
      <c r="W116" s="34">
        <f t="shared" si="57"/>
        <v>44.291723122821715</v>
      </c>
      <c r="X116" s="34">
        <f t="shared" si="57"/>
        <v>44.993881443474237</v>
      </c>
      <c r="Y116" s="34">
        <f t="shared" si="57"/>
        <v>65.806480066287506</v>
      </c>
      <c r="Z116" s="34">
        <f t="shared" si="57"/>
        <v>65.28174068165211</v>
      </c>
      <c r="AA116" s="34">
        <f t="shared" si="57"/>
        <v>73.925518707766571</v>
      </c>
      <c r="AB116" s="34">
        <f t="shared" si="57"/>
        <v>73.576150162008631</v>
      </c>
      <c r="AC116" s="34">
        <f t="shared" si="57"/>
        <v>73.515976465820998</v>
      </c>
      <c r="AD116" s="34">
        <f t="shared" si="57"/>
        <v>73.272303647398289</v>
      </c>
      <c r="AE116" s="34">
        <f t="shared" si="57"/>
        <v>73.15729061290881</v>
      </c>
      <c r="AF116" s="34">
        <f t="shared" si="57"/>
        <v>73.413544499144649</v>
      </c>
      <c r="AG116" s="34">
        <f t="shared" si="57"/>
        <v>72.901931255078168</v>
      </c>
      <c r="AH116" s="128">
        <f t="shared" si="57"/>
        <v>-0.35434632985857817</v>
      </c>
      <c r="AI116" s="128">
        <f t="shared" si="57"/>
        <v>0.69506273466712942</v>
      </c>
      <c r="AJ116" s="128">
        <f t="shared" si="57"/>
        <v>0.67441130674941818</v>
      </c>
      <c r="AK116" s="128">
        <f t="shared" si="57"/>
        <v>0.67221611170744844</v>
      </c>
      <c r="AL116" s="128">
        <f t="shared" si="57"/>
        <v>0.61370840852098929</v>
      </c>
      <c r="AM116" s="128">
        <f t="shared" si="57"/>
        <v>0.68253894225501255</v>
      </c>
      <c r="AN116" s="67"/>
      <c r="AP116" s="34">
        <f t="shared" si="51"/>
        <v>4.369625272434325</v>
      </c>
      <c r="AQ116" s="34">
        <f t="shared" si="52"/>
        <v>11.702978790063549</v>
      </c>
      <c r="AR116" s="34">
        <f t="shared" si="53"/>
        <v>22.611352364194982</v>
      </c>
      <c r="AS116" s="34">
        <f t="shared" si="54"/>
        <v>44.736948727827823</v>
      </c>
      <c r="AT116" s="34">
        <f t="shared" si="55"/>
        <v>65.544110373969801</v>
      </c>
      <c r="AU116" s="34">
        <f t="shared" si="56"/>
        <v>73.394673621446586</v>
      </c>
    </row>
    <row r="117" spans="1:47">
      <c r="C117" s="61" t="s">
        <v>500</v>
      </c>
      <c r="D117" s="31" t="s">
        <v>495</v>
      </c>
      <c r="E117" s="34">
        <f>((E$64*$E$19/100)-E101)/(E$64*$E$19/100)*100</f>
        <v>23.080401694667728</v>
      </c>
      <c r="F117" s="34">
        <f t="shared" ref="F117:AM117" si="58">((F$64*$E$19/100)-F101)/(F$64*$E$19/100)*100</f>
        <v>22.746419557115871</v>
      </c>
      <c r="G117" s="34">
        <f t="shared" si="58"/>
        <v>21.684914170932423</v>
      </c>
      <c r="H117" s="34">
        <f t="shared" si="58"/>
        <v>17.422231511815166</v>
      </c>
      <c r="I117" s="34">
        <f t="shared" si="58"/>
        <v>17.963475642975204</v>
      </c>
      <c r="J117" s="34">
        <f t="shared" si="58"/>
        <v>35.469802150495411</v>
      </c>
      <c r="K117" s="34">
        <f t="shared" si="58"/>
        <v>35.005822289473549</v>
      </c>
      <c r="L117" s="34">
        <f t="shared" si="58"/>
        <v>34.922105257014771</v>
      </c>
      <c r="M117" s="34">
        <f t="shared" si="58"/>
        <v>35.255247336634874</v>
      </c>
      <c r="N117" s="34">
        <f t="shared" si="58"/>
        <v>35.610233224435881</v>
      </c>
      <c r="O117" s="34">
        <f t="shared" si="58"/>
        <v>35.104008321017687</v>
      </c>
      <c r="P117" s="34">
        <f t="shared" si="58"/>
        <v>59.86818887201899</v>
      </c>
      <c r="Q117" s="34">
        <f t="shared" si="58"/>
        <v>59.904780233278174</v>
      </c>
      <c r="R117" s="34">
        <f t="shared" si="58"/>
        <v>59.070493286073898</v>
      </c>
      <c r="S117" s="34">
        <f t="shared" si="58"/>
        <v>59.805952274911533</v>
      </c>
      <c r="T117" s="34">
        <f t="shared" si="58"/>
        <v>58.446222184841368</v>
      </c>
      <c r="U117" s="34">
        <f t="shared" si="58"/>
        <v>81.248881597355506</v>
      </c>
      <c r="V117" s="34">
        <f t="shared" si="58"/>
        <v>81.536949163522735</v>
      </c>
      <c r="W117" s="34">
        <f t="shared" si="58"/>
        <v>80.960845317521262</v>
      </c>
      <c r="X117" s="34">
        <f t="shared" si="58"/>
        <v>81.517393346508257</v>
      </c>
      <c r="Y117" s="34">
        <f t="shared" si="58"/>
        <v>93.572976991295391</v>
      </c>
      <c r="Z117" s="34">
        <f t="shared" si="58"/>
        <v>93.463445257418073</v>
      </c>
      <c r="AA117" s="34">
        <f t="shared" si="58"/>
        <v>97.175348997469968</v>
      </c>
      <c r="AB117" s="34">
        <f t="shared" si="58"/>
        <v>97.1128346031322</v>
      </c>
      <c r="AC117" s="34">
        <f t="shared" si="58"/>
        <v>97.200805217219141</v>
      </c>
      <c r="AD117" s="34">
        <f t="shared" si="58"/>
        <v>97.191042630661073</v>
      </c>
      <c r="AE117" s="34">
        <f t="shared" si="58"/>
        <v>97.206816372442219</v>
      </c>
      <c r="AF117" s="34">
        <f t="shared" si="58"/>
        <v>97.339647909229981</v>
      </c>
      <c r="AG117" s="34">
        <f t="shared" si="58"/>
        <v>97.217757727112016</v>
      </c>
      <c r="AH117" s="128">
        <f t="shared" si="58"/>
        <v>1.9093054617934306</v>
      </c>
      <c r="AI117" s="128">
        <f t="shared" si="58"/>
        <v>0.12854234945126713</v>
      </c>
      <c r="AJ117" s="128">
        <f t="shared" si="58"/>
        <v>-5.0159881334035095E-2</v>
      </c>
      <c r="AK117" s="128">
        <f t="shared" si="58"/>
        <v>1.262778091219092</v>
      </c>
      <c r="AL117" s="128">
        <f t="shared" si="58"/>
        <v>1.2967485981307973</v>
      </c>
      <c r="AM117" s="128">
        <f t="shared" si="58"/>
        <v>1.3622203737418777</v>
      </c>
      <c r="AN117" s="67"/>
      <c r="AP117" s="34">
        <f t="shared" si="51"/>
        <v>20.579488515501275</v>
      </c>
      <c r="AQ117" s="34">
        <f t="shared" si="52"/>
        <v>35.252642051610898</v>
      </c>
      <c r="AR117" s="34">
        <f t="shared" si="53"/>
        <v>55.366607528690274</v>
      </c>
      <c r="AS117" s="34">
        <f t="shared" si="54"/>
        <v>81.316017356226936</v>
      </c>
      <c r="AT117" s="34">
        <f t="shared" si="55"/>
        <v>93.518211124356725</v>
      </c>
      <c r="AU117" s="34">
        <f t="shared" si="56"/>
        <v>97.206321922466671</v>
      </c>
    </row>
    <row r="118" spans="1:47">
      <c r="C118" s="61" t="s">
        <v>501</v>
      </c>
      <c r="D118" s="31" t="s">
        <v>495</v>
      </c>
      <c r="E118" s="34">
        <f>((E$64*$E$20/100)-E102)/(E$64*$E$20/100)*100</f>
        <v>62.56190565238149</v>
      </c>
      <c r="F118" s="34">
        <f t="shared" ref="F118:AM118" si="59">((F$64*$E$20/100)-F102)/(F$64*$E$20/100)*100</f>
        <v>62.063069643093037</v>
      </c>
      <c r="G118" s="34">
        <f t="shared" si="59"/>
        <v>60.332105157359194</v>
      </c>
      <c r="H118" s="34">
        <f t="shared" si="59"/>
        <v>37.690309263738278</v>
      </c>
      <c r="I118" s="34">
        <f t="shared" si="59"/>
        <v>38.188551409698221</v>
      </c>
      <c r="J118" s="34">
        <f t="shared" si="59"/>
        <v>65.048353743149249</v>
      </c>
      <c r="K118" s="34">
        <f t="shared" si="59"/>
        <v>64.566381295035356</v>
      </c>
      <c r="L118" s="34">
        <f t="shared" si="59"/>
        <v>64.667346054995207</v>
      </c>
      <c r="M118" s="34">
        <f t="shared" si="59"/>
        <v>64.717624524612845</v>
      </c>
      <c r="N118" s="34">
        <f t="shared" si="59"/>
        <v>65.424632132151814</v>
      </c>
      <c r="O118" s="34">
        <f t="shared" si="59"/>
        <v>64.61851030571647</v>
      </c>
      <c r="P118" s="34">
        <f t="shared" si="59"/>
        <v>87.563903106943414</v>
      </c>
      <c r="Q118" s="34">
        <f t="shared" si="59"/>
        <v>87.613091708767925</v>
      </c>
      <c r="R118" s="34">
        <f t="shared" si="59"/>
        <v>87.06536411491517</v>
      </c>
      <c r="S118" s="34">
        <f t="shared" si="59"/>
        <v>87.403967529954812</v>
      </c>
      <c r="T118" s="34">
        <f t="shared" si="59"/>
        <v>86.544085644039157</v>
      </c>
      <c r="U118" s="34">
        <f t="shared" si="59"/>
        <v>97.411394895287913</v>
      </c>
      <c r="V118" s="34">
        <f t="shared" si="59"/>
        <v>97.493316707833728</v>
      </c>
      <c r="W118" s="34">
        <f t="shared" si="59"/>
        <v>97.360202708769023</v>
      </c>
      <c r="X118" s="34">
        <f t="shared" si="59"/>
        <v>97.545868154684584</v>
      </c>
      <c r="Y118" s="34">
        <f t="shared" si="59"/>
        <v>99.717871425916854</v>
      </c>
      <c r="Z118" s="34">
        <f t="shared" si="59"/>
        <v>99.714846977534933</v>
      </c>
      <c r="AA118" s="34">
        <f t="shared" si="59"/>
        <v>99.909294708154178</v>
      </c>
      <c r="AB118" s="34">
        <f t="shared" si="59"/>
        <v>99.912615837162448</v>
      </c>
      <c r="AC118" s="34">
        <f t="shared" si="59"/>
        <v>99.916629779573327</v>
      </c>
      <c r="AD118" s="34">
        <f t="shared" si="59"/>
        <v>99.908493723106844</v>
      </c>
      <c r="AE118" s="34">
        <f t="shared" si="59"/>
        <v>99.909416942008562</v>
      </c>
      <c r="AF118" s="34">
        <f t="shared" si="59"/>
        <v>99.898673616812999</v>
      </c>
      <c r="AG118" s="34">
        <f t="shared" si="59"/>
        <v>99.898391769063295</v>
      </c>
      <c r="AH118" s="128">
        <f t="shared" si="59"/>
        <v>5.5527361249920695</v>
      </c>
      <c r="AI118" s="128">
        <f t="shared" si="59"/>
        <v>-2.6511482360497132</v>
      </c>
      <c r="AJ118" s="128">
        <f t="shared" si="59"/>
        <v>-4.1891578116449999</v>
      </c>
      <c r="AK118" s="128">
        <f t="shared" si="59"/>
        <v>-1.0601266101236215</v>
      </c>
      <c r="AL118" s="128">
        <f t="shared" si="59"/>
        <v>0.43985992940109053</v>
      </c>
      <c r="AM118" s="128">
        <f t="shared" si="59"/>
        <v>-1.0211545060959024</v>
      </c>
      <c r="AN118" s="67"/>
      <c r="AP118" s="34">
        <f t="shared" si="51"/>
        <v>52.167188225254037</v>
      </c>
      <c r="AQ118" s="34">
        <f t="shared" si="52"/>
        <v>64.884867549988911</v>
      </c>
      <c r="AR118" s="34">
        <f t="shared" si="53"/>
        <v>83.468153735056163</v>
      </c>
      <c r="AS118" s="34">
        <f t="shared" si="54"/>
        <v>97.452695616643808</v>
      </c>
      <c r="AT118" s="34">
        <f t="shared" si="55"/>
        <v>99.716359201725894</v>
      </c>
      <c r="AU118" s="34">
        <f t="shared" si="56"/>
        <v>99.907645196554526</v>
      </c>
    </row>
    <row r="119" spans="1:47">
      <c r="C119" s="6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67"/>
      <c r="AI119" s="67"/>
      <c r="AJ119" s="67"/>
      <c r="AK119" s="67"/>
      <c r="AL119" s="67"/>
      <c r="AM119" s="67"/>
      <c r="AN119" s="67"/>
      <c r="AP119" s="34"/>
      <c r="AQ119" s="34"/>
      <c r="AR119" s="34"/>
      <c r="AS119" s="34"/>
      <c r="AT119" s="34"/>
      <c r="AU119" s="34"/>
    </row>
    <row r="120" spans="1:47">
      <c r="C120" s="61" t="s">
        <v>502</v>
      </c>
      <c r="D120" s="31" t="s">
        <v>314</v>
      </c>
      <c r="E120" s="34">
        <f>100*(E93)/((E$64*$E$15/100)-E97)</f>
        <v>1.603261245385647</v>
      </c>
      <c r="F120" s="34">
        <f t="shared" ref="F120:AM120" si="60">100*(F93)/((F$64*$E$15/100)-F97)</f>
        <v>1.6991173533991457</v>
      </c>
      <c r="G120" s="34">
        <f t="shared" si="60"/>
        <v>1.499787387954546</v>
      </c>
      <c r="H120" s="34">
        <f t="shared" si="60"/>
        <v>1.1542912902319415</v>
      </c>
      <c r="I120" s="34">
        <f t="shared" si="60"/>
        <v>1.2144709870017407</v>
      </c>
      <c r="J120" s="34">
        <f t="shared" si="60"/>
        <v>1.5491533966674957</v>
      </c>
      <c r="K120" s="34">
        <f t="shared" si="60"/>
        <v>1.5879897791574822</v>
      </c>
      <c r="L120" s="34">
        <f t="shared" si="60"/>
        <v>1.5707702995112078</v>
      </c>
      <c r="M120" s="34">
        <f t="shared" si="60"/>
        <v>1.622440332359377</v>
      </c>
      <c r="N120" s="34">
        <f t="shared" si="60"/>
        <v>1.6693504823058756</v>
      </c>
      <c r="O120" s="34">
        <f t="shared" si="60"/>
        <v>1.6834000868600656</v>
      </c>
      <c r="P120" s="34">
        <f t="shared" si="60"/>
        <v>2.3993285772286082</v>
      </c>
      <c r="Q120" s="34">
        <f t="shared" si="60"/>
        <v>2.4318359202518631</v>
      </c>
      <c r="R120" s="34">
        <f t="shared" si="60"/>
        <v>2.4191803043838078</v>
      </c>
      <c r="S120" s="34">
        <f t="shared" si="60"/>
        <v>2.5134278349652681</v>
      </c>
      <c r="T120" s="34">
        <f t="shared" si="60"/>
        <v>2.4707604437928983</v>
      </c>
      <c r="U120" s="34">
        <f t="shared" si="60"/>
        <v>3.739261911428724</v>
      </c>
      <c r="V120" s="34">
        <f t="shared" si="60"/>
        <v>3.786887140427825</v>
      </c>
      <c r="W120" s="34">
        <f t="shared" si="60"/>
        <v>3.7567501408424122</v>
      </c>
      <c r="X120" s="34">
        <f t="shared" si="60"/>
        <v>3.8146176965839893</v>
      </c>
      <c r="Y120" s="34">
        <f t="shared" si="60"/>
        <v>6.085412189325357</v>
      </c>
      <c r="Z120" s="34">
        <f t="shared" si="60"/>
        <v>6.0214975148063239</v>
      </c>
      <c r="AA120" s="34">
        <f t="shared" si="60"/>
        <v>8.1394396193515064</v>
      </c>
      <c r="AB120" s="34">
        <f t="shared" si="60"/>
        <v>7.9639357963730388</v>
      </c>
      <c r="AC120" s="34">
        <f t="shared" si="60"/>
        <v>7.960959061548289</v>
      </c>
      <c r="AD120" s="34">
        <f t="shared" si="60"/>
        <v>7.8561666234356009</v>
      </c>
      <c r="AE120" s="34">
        <f t="shared" si="60"/>
        <v>7.8310642167556104</v>
      </c>
      <c r="AF120" s="34">
        <f t="shared" si="60"/>
        <v>7.9184208711442734</v>
      </c>
      <c r="AG120" s="34">
        <f t="shared" si="60"/>
        <v>7.749132780983599</v>
      </c>
      <c r="AH120" s="128">
        <f t="shared" si="60"/>
        <v>-0.59532042045778466</v>
      </c>
      <c r="AI120" s="128">
        <f t="shared" si="60"/>
        <v>0.50581940769887601</v>
      </c>
      <c r="AJ120" s="128">
        <f t="shared" si="60"/>
        <v>0.42772916112333564</v>
      </c>
      <c r="AK120" s="128">
        <f t="shared" si="60"/>
        <v>0.78680334597548618</v>
      </c>
      <c r="AL120" s="128">
        <f t="shared" si="60"/>
        <v>0.80467912846507206</v>
      </c>
      <c r="AM120" s="128">
        <f t="shared" si="60"/>
        <v>0.68237816083345482</v>
      </c>
      <c r="AN120" s="67"/>
      <c r="AP120" s="34">
        <f t="shared" ref="AP120:AP132" si="61">AVERAGE(E120:I120)</f>
        <v>1.4341856527946042</v>
      </c>
      <c r="AQ120" s="34">
        <f t="shared" ref="AQ120:AQ132" si="62">AVERAGE(J120:N120)</f>
        <v>1.5999408580002876</v>
      </c>
      <c r="AR120" s="34">
        <f t="shared" ref="AR120:AR132" si="63">AVERAGE(O120:T120)</f>
        <v>2.3196555279137518</v>
      </c>
      <c r="AS120" s="34">
        <f t="shared" ref="AS120:AS132" si="64">AVERAGE(U120:X120)</f>
        <v>3.7743792223207375</v>
      </c>
      <c r="AT120" s="34">
        <f t="shared" ref="AT120:AT132" si="65">AVERAGE(Y120:Z120)</f>
        <v>6.0534548520658404</v>
      </c>
      <c r="AU120" s="34">
        <f t="shared" ref="AU120:AU132" si="66">AVERAGE(AA120:AG120)</f>
        <v>7.917016995655989</v>
      </c>
    </row>
    <row r="121" spans="1:47">
      <c r="C121" s="61" t="s">
        <v>503</v>
      </c>
      <c r="D121" s="31" t="s">
        <v>314</v>
      </c>
      <c r="E121" s="34">
        <f>100*(E94)/((E$64*$E$15/100)-E97)</f>
        <v>8.9606059858029212</v>
      </c>
      <c r="F121" s="34">
        <f t="shared" ref="F121:AM121" si="67">100*(F94)/((F$64*$E$15/100)-F97)</f>
        <v>9.572535559853959</v>
      </c>
      <c r="G121" s="34">
        <f t="shared" si="67"/>
        <v>8.4460343478307305</v>
      </c>
      <c r="H121" s="34">
        <f t="shared" si="67"/>
        <v>6.4378491452239404</v>
      </c>
      <c r="I121" s="34">
        <f t="shared" si="67"/>
        <v>6.6343820728667025</v>
      </c>
      <c r="J121" s="34">
        <f t="shared" si="67"/>
        <v>7.4805192184297775</v>
      </c>
      <c r="K121" s="34">
        <f t="shared" si="67"/>
        <v>7.5644207598675788</v>
      </c>
      <c r="L121" s="34">
        <f t="shared" si="67"/>
        <v>7.4771378454577695</v>
      </c>
      <c r="M121" s="34">
        <f t="shared" si="67"/>
        <v>7.6865103183502068</v>
      </c>
      <c r="N121" s="34">
        <f t="shared" si="67"/>
        <v>7.8603287350620867</v>
      </c>
      <c r="O121" s="34">
        <f t="shared" si="67"/>
        <v>7.8846044003957827</v>
      </c>
      <c r="P121" s="34">
        <f t="shared" si="67"/>
        <v>9.1177894903222665</v>
      </c>
      <c r="Q121" s="34">
        <f t="shared" si="67"/>
        <v>9.2362578553140278</v>
      </c>
      <c r="R121" s="34">
        <f t="shared" si="67"/>
        <v>9.2251573929162838</v>
      </c>
      <c r="S121" s="34">
        <f t="shared" si="67"/>
        <v>9.36614554126235</v>
      </c>
      <c r="T121" s="34">
        <f t="shared" si="67"/>
        <v>9.3407877301029067</v>
      </c>
      <c r="U121" s="34">
        <f t="shared" si="67"/>
        <v>10.687648509346355</v>
      </c>
      <c r="V121" s="34">
        <f t="shared" si="67"/>
        <v>10.76765104507701</v>
      </c>
      <c r="W121" s="34">
        <f t="shared" si="67"/>
        <v>10.779599069486613</v>
      </c>
      <c r="X121" s="34">
        <f t="shared" si="67"/>
        <v>10.833347708358326</v>
      </c>
      <c r="Y121" s="34">
        <f t="shared" si="67"/>
        <v>11.928480140180852</v>
      </c>
      <c r="Z121" s="34">
        <f t="shared" si="67"/>
        <v>11.939997941404835</v>
      </c>
      <c r="AA121" s="34">
        <f t="shared" si="67"/>
        <v>12.214494330579912</v>
      </c>
      <c r="AB121" s="34">
        <f t="shared" si="67"/>
        <v>12.213518937511218</v>
      </c>
      <c r="AC121" s="34">
        <f t="shared" si="67"/>
        <v>12.240500795636367</v>
      </c>
      <c r="AD121" s="34">
        <f t="shared" si="67"/>
        <v>12.237907511109492</v>
      </c>
      <c r="AE121" s="34">
        <f t="shared" si="67"/>
        <v>12.234177976082055</v>
      </c>
      <c r="AF121" s="34">
        <f t="shared" si="67"/>
        <v>12.234329791192964</v>
      </c>
      <c r="AG121" s="34">
        <f t="shared" si="67"/>
        <v>12.256364396805452</v>
      </c>
      <c r="AH121" s="128">
        <f t="shared" si="67"/>
        <v>-2.5851958966252342</v>
      </c>
      <c r="AI121" s="128">
        <f t="shared" si="67"/>
        <v>3.2553640888913806</v>
      </c>
      <c r="AJ121" s="128">
        <f t="shared" si="67"/>
        <v>2.5948567327541876</v>
      </c>
      <c r="AK121" s="128">
        <f t="shared" si="67"/>
        <v>4.4787988669364358</v>
      </c>
      <c r="AL121" s="128">
        <f t="shared" si="67"/>
        <v>5.1134931071130323</v>
      </c>
      <c r="AM121" s="128">
        <f t="shared" si="67"/>
        <v>4.5458686503934107</v>
      </c>
      <c r="AN121" s="67"/>
      <c r="AP121" s="34">
        <f t="shared" si="61"/>
        <v>8.0102814223156518</v>
      </c>
      <c r="AQ121" s="34">
        <f t="shared" si="62"/>
        <v>7.6137833754334849</v>
      </c>
      <c r="AR121" s="34">
        <f t="shared" si="63"/>
        <v>9.0284570683856042</v>
      </c>
      <c r="AS121" s="34">
        <f t="shared" si="64"/>
        <v>10.767061583067076</v>
      </c>
      <c r="AT121" s="34">
        <f t="shared" si="65"/>
        <v>11.934239040792843</v>
      </c>
      <c r="AU121" s="34">
        <f t="shared" si="66"/>
        <v>12.233041962702492</v>
      </c>
    </row>
    <row r="122" spans="1:47">
      <c r="C122" s="66" t="s">
        <v>504</v>
      </c>
      <c r="D122" s="31" t="s">
        <v>314</v>
      </c>
      <c r="E122" s="34">
        <f>(E95)/((E$64*$E$15/100)-E97)*100</f>
        <v>84.280119510102637</v>
      </c>
      <c r="F122" s="34">
        <f t="shared" ref="F122:AM122" si="68">(F95)/((F$64*$E$15/100)-F97)*100</f>
        <v>87.86522910891486</v>
      </c>
      <c r="G122" s="34">
        <f t="shared" si="68"/>
        <v>86.314052153446326</v>
      </c>
      <c r="H122" s="34">
        <f t="shared" si="68"/>
        <v>57.574844548575868</v>
      </c>
      <c r="I122" s="34">
        <f t="shared" si="68"/>
        <v>57.783693485872689</v>
      </c>
      <c r="J122" s="34">
        <f t="shared" si="68"/>
        <v>56.227278256173186</v>
      </c>
      <c r="K122" s="34">
        <f t="shared" si="68"/>
        <v>55.783118581819146</v>
      </c>
      <c r="L122" s="34">
        <f t="shared" si="68"/>
        <v>55.992795478842936</v>
      </c>
      <c r="M122" s="34">
        <f t="shared" si="68"/>
        <v>55.910982601117198</v>
      </c>
      <c r="N122" s="34">
        <f t="shared" si="68"/>
        <v>56.183500770835003</v>
      </c>
      <c r="O122" s="34">
        <f t="shared" si="68"/>
        <v>55.877120243241087</v>
      </c>
      <c r="P122" s="34">
        <f t="shared" si="68"/>
        <v>54.024498683945588</v>
      </c>
      <c r="Q122" s="34">
        <f t="shared" si="68"/>
        <v>54.035514681172181</v>
      </c>
      <c r="R122" s="34">
        <f t="shared" si="68"/>
        <v>53.853589989904449</v>
      </c>
      <c r="S122" s="34">
        <f t="shared" si="68"/>
        <v>53.64894178654275</v>
      </c>
      <c r="T122" s="34">
        <f t="shared" si="68"/>
        <v>53.606447586830718</v>
      </c>
      <c r="U122" s="34">
        <f t="shared" si="68"/>
        <v>51.664856623526255</v>
      </c>
      <c r="V122" s="34">
        <f t="shared" si="68"/>
        <v>51.598319026203299</v>
      </c>
      <c r="W122" s="34">
        <f t="shared" si="68"/>
        <v>51.62864469662253</v>
      </c>
      <c r="X122" s="34">
        <f t="shared" si="68"/>
        <v>51.448790565346577</v>
      </c>
      <c r="Y122" s="34">
        <f t="shared" si="68"/>
        <v>49.282333502421046</v>
      </c>
      <c r="Z122" s="34">
        <f t="shared" si="68"/>
        <v>49.34692272481464</v>
      </c>
      <c r="AA122" s="34">
        <f t="shared" si="68"/>
        <v>47.626864166468856</v>
      </c>
      <c r="AB122" s="34">
        <f t="shared" si="68"/>
        <v>47.558445373328247</v>
      </c>
      <c r="AC122" s="34">
        <f t="shared" si="68"/>
        <v>47.592054591316113</v>
      </c>
      <c r="AD122" s="34">
        <f t="shared" si="68"/>
        <v>47.583156519341763</v>
      </c>
      <c r="AE122" s="34">
        <f t="shared" si="68"/>
        <v>47.537912277091813</v>
      </c>
      <c r="AF122" s="34">
        <f t="shared" si="68"/>
        <v>47.410043647596765</v>
      </c>
      <c r="AG122" s="34">
        <f t="shared" si="68"/>
        <v>47.604472036467939</v>
      </c>
      <c r="AH122" s="128">
        <f t="shared" si="68"/>
        <v>-29.57438497434357</v>
      </c>
      <c r="AI122" s="128">
        <f t="shared" si="68"/>
        <v>30.703222181787957</v>
      </c>
      <c r="AJ122" s="128">
        <f t="shared" si="68"/>
        <v>26.231281830317688</v>
      </c>
      <c r="AK122" s="128">
        <f t="shared" si="68"/>
        <v>39.713890204923565</v>
      </c>
      <c r="AL122" s="128">
        <f t="shared" si="68"/>
        <v>45.561583514040485</v>
      </c>
      <c r="AM122" s="128">
        <f t="shared" si="68"/>
        <v>40.810719130258185</v>
      </c>
      <c r="AN122" s="67"/>
      <c r="AP122" s="34">
        <f t="shared" si="61"/>
        <v>74.763587761382468</v>
      </c>
      <c r="AQ122" s="34">
        <f t="shared" si="62"/>
        <v>56.019535137757501</v>
      </c>
      <c r="AR122" s="34">
        <f t="shared" si="63"/>
        <v>54.17435216193946</v>
      </c>
      <c r="AS122" s="34">
        <f t="shared" si="64"/>
        <v>51.585152727924665</v>
      </c>
      <c r="AT122" s="34">
        <f t="shared" si="65"/>
        <v>49.314628113617843</v>
      </c>
      <c r="AU122" s="34">
        <f t="shared" si="66"/>
        <v>47.558992658801643</v>
      </c>
    </row>
    <row r="123" spans="1:47">
      <c r="C123" s="66" t="s">
        <v>505</v>
      </c>
      <c r="D123" s="31" t="s">
        <v>314</v>
      </c>
      <c r="E123" s="34">
        <f>100*(E96)/((E$64*$E$15/100)-E97)</f>
        <v>58.169975448900466</v>
      </c>
      <c r="F123" s="34">
        <f t="shared" ref="F123:AM123" si="69">100*(F96)/((F$64*$E$15/100)-F97)</f>
        <v>60.885065052667812</v>
      </c>
      <c r="G123" s="34">
        <f t="shared" si="69"/>
        <v>60.603618208362832</v>
      </c>
      <c r="H123" s="34">
        <f t="shared" si="69"/>
        <v>40.534986021963306</v>
      </c>
      <c r="I123" s="34">
        <f t="shared" si="69"/>
        <v>40.483645054319766</v>
      </c>
      <c r="J123" s="34">
        <f t="shared" si="69"/>
        <v>35.835078951379167</v>
      </c>
      <c r="K123" s="34">
        <f t="shared" si="69"/>
        <v>35.420502813840848</v>
      </c>
      <c r="L123" s="34">
        <f t="shared" si="69"/>
        <v>35.6775350044513</v>
      </c>
      <c r="M123" s="34">
        <f t="shared" si="69"/>
        <v>35.391205016985843</v>
      </c>
      <c r="N123" s="34">
        <f t="shared" si="69"/>
        <v>35.500831838008708</v>
      </c>
      <c r="O123" s="34">
        <f t="shared" si="69"/>
        <v>35.28898637655336</v>
      </c>
      <c r="P123" s="34">
        <f t="shared" si="69"/>
        <v>33.70579407782455</v>
      </c>
      <c r="Q123" s="34">
        <f t="shared" si="69"/>
        <v>33.573966257404194</v>
      </c>
      <c r="R123" s="34">
        <f t="shared" si="69"/>
        <v>33.532929298527073</v>
      </c>
      <c r="S123" s="34">
        <f t="shared" si="69"/>
        <v>33.211417713362707</v>
      </c>
      <c r="T123" s="34">
        <f t="shared" si="69"/>
        <v>33.249285908345257</v>
      </c>
      <c r="U123" s="34">
        <f t="shared" si="69"/>
        <v>32.526982659994893</v>
      </c>
      <c r="V123" s="34">
        <f t="shared" si="69"/>
        <v>32.476844095758644</v>
      </c>
      <c r="W123" s="34">
        <f t="shared" si="69"/>
        <v>32.458887992331732</v>
      </c>
      <c r="X123" s="34">
        <f t="shared" si="69"/>
        <v>32.363360617643437</v>
      </c>
      <c r="Y123" s="34">
        <f t="shared" si="69"/>
        <v>31.40085227914658</v>
      </c>
      <c r="Z123" s="34">
        <f t="shared" si="69"/>
        <v>31.42302282054527</v>
      </c>
      <c r="AA123" s="34">
        <f t="shared" si="69"/>
        <v>30.319120180936487</v>
      </c>
      <c r="AB123" s="34">
        <f t="shared" si="69"/>
        <v>30.262186595527112</v>
      </c>
      <c r="AC123" s="34">
        <f t="shared" si="69"/>
        <v>30.280192703858066</v>
      </c>
      <c r="AD123" s="34">
        <f t="shared" si="69"/>
        <v>30.258920730075435</v>
      </c>
      <c r="AE123" s="34">
        <f t="shared" si="69"/>
        <v>30.226318603154766</v>
      </c>
      <c r="AF123" s="34">
        <f t="shared" si="69"/>
        <v>30.181157254836066</v>
      </c>
      <c r="AG123" s="34">
        <f t="shared" si="69"/>
        <v>30.240849864646311</v>
      </c>
      <c r="AH123" s="128">
        <f t="shared" si="69"/>
        <v>-132.52990490208745</v>
      </c>
      <c r="AI123" s="128">
        <f t="shared" si="69"/>
        <v>73.810219487612272</v>
      </c>
      <c r="AJ123" s="128">
        <f t="shared" si="69"/>
        <v>74.238862763583171</v>
      </c>
      <c r="AK123" s="128">
        <f t="shared" si="69"/>
        <v>79.977846572669336</v>
      </c>
      <c r="AL123" s="128">
        <f t="shared" si="69"/>
        <v>87.977899123466841</v>
      </c>
      <c r="AM123" s="128">
        <f t="shared" si="69"/>
        <v>79.04338609757454</v>
      </c>
      <c r="AN123" s="67"/>
      <c r="AP123" s="34">
        <f t="shared" si="61"/>
        <v>52.135457957242828</v>
      </c>
      <c r="AQ123" s="34">
        <f t="shared" si="62"/>
        <v>35.565030724933173</v>
      </c>
      <c r="AR123" s="34">
        <f t="shared" si="63"/>
        <v>33.76039660533619</v>
      </c>
      <c r="AS123" s="34">
        <f t="shared" si="64"/>
        <v>32.456518841432171</v>
      </c>
      <c r="AT123" s="34">
        <f t="shared" si="65"/>
        <v>31.411937549845923</v>
      </c>
      <c r="AU123" s="34">
        <f t="shared" si="66"/>
        <v>30.252677990433462</v>
      </c>
    </row>
    <row r="124" spans="1:47" s="86" customFormat="1">
      <c r="A124" s="83"/>
      <c r="B124" s="84"/>
      <c r="C124" s="83" t="s">
        <v>506</v>
      </c>
      <c r="D124" s="84" t="s">
        <v>314</v>
      </c>
      <c r="E124" s="141">
        <f>SUM(E120:E123)</f>
        <v>153.01396219019168</v>
      </c>
      <c r="F124" s="141">
        <f t="shared" ref="F124:AM124" si="70">SUM(F120:F123)</f>
        <v>160.02194707483579</v>
      </c>
      <c r="G124" s="141">
        <f t="shared" si="70"/>
        <v>156.86349209759442</v>
      </c>
      <c r="H124" s="141">
        <f t="shared" si="70"/>
        <v>105.70197100599506</v>
      </c>
      <c r="I124" s="141">
        <f t="shared" si="70"/>
        <v>106.1161916000609</v>
      </c>
      <c r="J124" s="141">
        <f t="shared" si="70"/>
        <v>101.09202982264964</v>
      </c>
      <c r="K124" s="141">
        <f t="shared" si="70"/>
        <v>100.35603193468506</v>
      </c>
      <c r="L124" s="141">
        <f t="shared" si="70"/>
        <v>100.71823862826321</v>
      </c>
      <c r="M124" s="141">
        <f t="shared" si="70"/>
        <v>100.61113826881262</v>
      </c>
      <c r="N124" s="141">
        <f t="shared" si="70"/>
        <v>101.21401182621167</v>
      </c>
      <c r="O124" s="141">
        <f t="shared" si="70"/>
        <v>100.7341111070503</v>
      </c>
      <c r="P124" s="141">
        <f t="shared" si="70"/>
        <v>99.247410829321012</v>
      </c>
      <c r="Q124" s="141">
        <f t="shared" si="70"/>
        <v>99.277574714142261</v>
      </c>
      <c r="R124" s="141">
        <f t="shared" si="70"/>
        <v>99.030856985731617</v>
      </c>
      <c r="S124" s="141">
        <f t="shared" si="70"/>
        <v>98.739932876133068</v>
      </c>
      <c r="T124" s="141">
        <f t="shared" si="70"/>
        <v>98.667281669071784</v>
      </c>
      <c r="U124" s="141">
        <f t="shared" si="70"/>
        <v>98.618749704296221</v>
      </c>
      <c r="V124" s="141">
        <f t="shared" si="70"/>
        <v>98.629701307466775</v>
      </c>
      <c r="W124" s="141">
        <f t="shared" si="70"/>
        <v>98.623881899283276</v>
      </c>
      <c r="X124" s="141">
        <f t="shared" si="70"/>
        <v>98.460116587932333</v>
      </c>
      <c r="Y124" s="141">
        <f t="shared" si="70"/>
        <v>98.697078111073836</v>
      </c>
      <c r="Z124" s="141">
        <f t="shared" si="70"/>
        <v>98.731441001571071</v>
      </c>
      <c r="AA124" s="141">
        <f t="shared" si="70"/>
        <v>98.299918297336774</v>
      </c>
      <c r="AB124" s="141">
        <f t="shared" si="70"/>
        <v>97.998086702739613</v>
      </c>
      <c r="AC124" s="141">
        <f t="shared" si="70"/>
        <v>98.073707152358836</v>
      </c>
      <c r="AD124" s="141">
        <f t="shared" si="70"/>
        <v>97.936151383962283</v>
      </c>
      <c r="AE124" s="141">
        <f t="shared" si="70"/>
        <v>97.829473073084245</v>
      </c>
      <c r="AF124" s="141">
        <f t="shared" si="70"/>
        <v>97.743951564770072</v>
      </c>
      <c r="AG124" s="141">
        <f t="shared" si="70"/>
        <v>97.850819078903299</v>
      </c>
      <c r="AH124" s="155">
        <f t="shared" si="70"/>
        <v>-165.28480619351404</v>
      </c>
      <c r="AI124" s="155">
        <f t="shared" si="70"/>
        <v>108.27462516599049</v>
      </c>
      <c r="AJ124" s="155">
        <f t="shared" si="70"/>
        <v>103.49273048777837</v>
      </c>
      <c r="AK124" s="155">
        <f t="shared" si="70"/>
        <v>124.95733899050482</v>
      </c>
      <c r="AL124" s="155">
        <f t="shared" si="70"/>
        <v>139.45765487308543</v>
      </c>
      <c r="AM124" s="155">
        <f t="shared" si="70"/>
        <v>125.0823520390596</v>
      </c>
      <c r="AN124" s="89"/>
      <c r="AO124" s="84"/>
      <c r="AP124" s="34">
        <f t="shared" si="61"/>
        <v>136.34351279373556</v>
      </c>
      <c r="AQ124" s="34">
        <f t="shared" si="62"/>
        <v>100.79829009612443</v>
      </c>
      <c r="AR124" s="34">
        <f t="shared" si="63"/>
        <v>99.282861363575009</v>
      </c>
      <c r="AS124" s="34">
        <f t="shared" si="64"/>
        <v>98.583112374744644</v>
      </c>
      <c r="AT124" s="34">
        <f t="shared" si="65"/>
        <v>98.714259556322446</v>
      </c>
      <c r="AU124" s="34">
        <f t="shared" si="66"/>
        <v>97.961729607593597</v>
      </c>
    </row>
    <row r="125" spans="1:47">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67"/>
      <c r="AI125" s="67"/>
      <c r="AJ125" s="67"/>
      <c r="AK125" s="67"/>
      <c r="AL125" s="67"/>
      <c r="AM125" s="67"/>
      <c r="AN125" s="67"/>
      <c r="AP125" s="34"/>
      <c r="AQ125" s="34"/>
      <c r="AR125" s="34"/>
      <c r="AS125" s="34"/>
      <c r="AT125" s="34"/>
      <c r="AU125" s="34"/>
    </row>
    <row r="126" spans="1:47">
      <c r="C126" s="66" t="s">
        <v>507</v>
      </c>
      <c r="D126" s="31" t="s">
        <v>314</v>
      </c>
      <c r="E126" s="34">
        <f>100*(E99)/((E$64*$E$19/100)-E101)</f>
        <v>35.891233631740825</v>
      </c>
      <c r="F126" s="34">
        <f t="shared" ref="F126:AM126" si="71">100*(F99)/((F$64*$E$19/100)-F101)</f>
        <v>35.239548002866528</v>
      </c>
      <c r="G126" s="34">
        <f t="shared" si="71"/>
        <v>36.812927078492699</v>
      </c>
      <c r="H126" s="34">
        <f t="shared" si="71"/>
        <v>40.257704860468372</v>
      </c>
      <c r="I126" s="34">
        <f t="shared" si="71"/>
        <v>39.55296149282136</v>
      </c>
      <c r="J126" s="34">
        <f t="shared" si="71"/>
        <v>35.160079874288691</v>
      </c>
      <c r="K126" s="34">
        <f t="shared" si="71"/>
        <v>35.155806213277167</v>
      </c>
      <c r="L126" s="34">
        <f t="shared" si="71"/>
        <v>35.517289451716053</v>
      </c>
      <c r="M126" s="34">
        <f t="shared" si="71"/>
        <v>35.008764829405152</v>
      </c>
      <c r="N126" s="34">
        <f t="shared" si="71"/>
        <v>34.756215269150282</v>
      </c>
      <c r="O126" s="34">
        <f t="shared" si="71"/>
        <v>34.471940588575023</v>
      </c>
      <c r="P126" s="34">
        <f t="shared" si="71"/>
        <v>27.900038580197204</v>
      </c>
      <c r="Q126" s="34">
        <f t="shared" si="71"/>
        <v>27.60181924354195</v>
      </c>
      <c r="R126" s="34">
        <f t="shared" si="71"/>
        <v>27.531723788449646</v>
      </c>
      <c r="S126" s="34">
        <f t="shared" si="71"/>
        <v>27.089499810479957</v>
      </c>
      <c r="T126" s="34">
        <f t="shared" si="71"/>
        <v>27.233402643503879</v>
      </c>
      <c r="U126" s="34">
        <f t="shared" si="71"/>
        <v>19.262932659393691</v>
      </c>
      <c r="V126" s="34">
        <f t="shared" si="71"/>
        <v>18.872102030742074</v>
      </c>
      <c r="W126" s="34">
        <f t="shared" si="71"/>
        <v>18.904213021970573</v>
      </c>
      <c r="X126" s="34">
        <f t="shared" si="71"/>
        <v>18.426034950905674</v>
      </c>
      <c r="Y126" s="34">
        <f t="shared" si="71"/>
        <v>9.5601989166905508</v>
      </c>
      <c r="Z126" s="34">
        <f t="shared" si="71"/>
        <v>9.5844688451277218</v>
      </c>
      <c r="AA126" s="34">
        <f t="shared" si="71"/>
        <v>4.7434164730591499</v>
      </c>
      <c r="AB126" s="34">
        <f t="shared" si="71"/>
        <v>4.7474753293142653</v>
      </c>
      <c r="AC126" s="34">
        <f t="shared" si="71"/>
        <v>4.597948298853952</v>
      </c>
      <c r="AD126" s="34">
        <f t="shared" si="71"/>
        <v>4.5349795955673704</v>
      </c>
      <c r="AE126" s="34">
        <f t="shared" si="71"/>
        <v>4.4607323917872952</v>
      </c>
      <c r="AF126" s="34">
        <f t="shared" si="71"/>
        <v>4.2419220990310613</v>
      </c>
      <c r="AG126" s="34">
        <f t="shared" si="71"/>
        <v>4.3494585088847755</v>
      </c>
      <c r="AH126" s="128">
        <f t="shared" si="71"/>
        <v>7.6659731753935816</v>
      </c>
      <c r="AI126" s="128">
        <f t="shared" si="71"/>
        <v>412.43018845453372</v>
      </c>
      <c r="AJ126" s="128">
        <f t="shared" si="71"/>
        <v>-847.21834689557693</v>
      </c>
      <c r="AK126" s="128">
        <f t="shared" si="71"/>
        <v>55.430534296227698</v>
      </c>
      <c r="AL126" s="128">
        <f t="shared" si="71"/>
        <v>57.939679739804518</v>
      </c>
      <c r="AM126" s="128">
        <f t="shared" si="71"/>
        <v>55.468520892933498</v>
      </c>
      <c r="AN126" s="67"/>
      <c r="AP126" s="34">
        <f t="shared" si="61"/>
        <v>37.55087501327796</v>
      </c>
      <c r="AQ126" s="34">
        <f t="shared" si="62"/>
        <v>35.119631127567473</v>
      </c>
      <c r="AR126" s="34">
        <f t="shared" si="63"/>
        <v>28.638070775791277</v>
      </c>
      <c r="AS126" s="34">
        <f t="shared" si="64"/>
        <v>18.866320665753005</v>
      </c>
      <c r="AT126" s="34">
        <f t="shared" si="65"/>
        <v>9.5723338809091363</v>
      </c>
      <c r="AU126" s="34">
        <f t="shared" si="66"/>
        <v>4.5251332423568389</v>
      </c>
    </row>
    <row r="127" spans="1:47">
      <c r="C127" s="66" t="s">
        <v>508</v>
      </c>
      <c r="D127" s="31" t="s">
        <v>314</v>
      </c>
      <c r="E127" s="34">
        <f>100*(E100)/((E$64*$E$19/100)-E101)</f>
        <v>33.626085767246863</v>
      </c>
      <c r="F127" s="34">
        <f t="shared" ref="F127:AM127" si="72">100*(F100)/((F$64*$E$19/100)-F101)</f>
        <v>32.879591559857374</v>
      </c>
      <c r="G127" s="34">
        <f t="shared" si="72"/>
        <v>34.166174220657169</v>
      </c>
      <c r="H127" s="34">
        <f t="shared" si="72"/>
        <v>36.418119342500574</v>
      </c>
      <c r="I127" s="34">
        <f t="shared" si="72"/>
        <v>35.874321075233667</v>
      </c>
      <c r="J127" s="34">
        <f t="shared" si="72"/>
        <v>35.134710629472337</v>
      </c>
      <c r="K127" s="34">
        <f t="shared" si="72"/>
        <v>35.130911657670907</v>
      </c>
      <c r="L127" s="34">
        <f t="shared" si="72"/>
        <v>35.433309867491126</v>
      </c>
      <c r="M127" s="34">
        <f t="shared" si="72"/>
        <v>35.043461696932205</v>
      </c>
      <c r="N127" s="34">
        <f t="shared" si="72"/>
        <v>34.802238813633139</v>
      </c>
      <c r="O127" s="34">
        <f t="shared" si="72"/>
        <v>34.481378652891223</v>
      </c>
      <c r="P127" s="34">
        <f t="shared" si="72"/>
        <v>30.671584913999414</v>
      </c>
      <c r="Q127" s="34">
        <f t="shared" si="72"/>
        <v>30.398804807917642</v>
      </c>
      <c r="R127" s="34">
        <f t="shared" si="72"/>
        <v>30.303945750404242</v>
      </c>
      <c r="S127" s="34">
        <f t="shared" si="72"/>
        <v>29.844451227082754</v>
      </c>
      <c r="T127" s="34">
        <f t="shared" si="72"/>
        <v>29.991539076221461</v>
      </c>
      <c r="U127" s="34">
        <f t="shared" si="72"/>
        <v>22.073513508873564</v>
      </c>
      <c r="V127" s="34">
        <f t="shared" si="72"/>
        <v>21.683538557007406</v>
      </c>
      <c r="W127" s="34">
        <f t="shared" si="72"/>
        <v>21.718812422316034</v>
      </c>
      <c r="X127" s="34">
        <f t="shared" si="72"/>
        <v>21.216692993871018</v>
      </c>
      <c r="Y127" s="34">
        <f t="shared" si="72"/>
        <v>10.895184516369437</v>
      </c>
      <c r="Z127" s="34">
        <f t="shared" si="72"/>
        <v>10.927761465026803</v>
      </c>
      <c r="AA127" s="34">
        <f t="shared" si="72"/>
        <v>5.2953383391984694</v>
      </c>
      <c r="AB127" s="34">
        <f t="shared" si="72"/>
        <v>5.3559638298572967</v>
      </c>
      <c r="AC127" s="34">
        <f t="shared" si="72"/>
        <v>5.1849307621997953</v>
      </c>
      <c r="AD127" s="34">
        <f t="shared" si="72"/>
        <v>5.1090501906906542</v>
      </c>
      <c r="AE127" s="34">
        <f t="shared" si="72"/>
        <v>5.0612447955382827</v>
      </c>
      <c r="AF127" s="34">
        <f t="shared" si="72"/>
        <v>4.8004373383783525</v>
      </c>
      <c r="AG127" s="34">
        <f t="shared" si="72"/>
        <v>4.9376445090089804</v>
      </c>
      <c r="AH127" s="128">
        <f t="shared" si="72"/>
        <v>3.6645022190969194</v>
      </c>
      <c r="AI127" s="128">
        <f t="shared" si="72"/>
        <v>232.88652047357726</v>
      </c>
      <c r="AJ127" s="128">
        <f t="shared" si="72"/>
        <v>-504.47066280665967</v>
      </c>
      <c r="AK127" s="128">
        <f t="shared" si="72"/>
        <v>33.266180925743384</v>
      </c>
      <c r="AL127" s="128">
        <f t="shared" si="72"/>
        <v>34.788707024456251</v>
      </c>
      <c r="AM127" s="128">
        <f t="shared" si="72"/>
        <v>32.936927403990055</v>
      </c>
      <c r="AN127" s="67"/>
      <c r="AP127" s="34">
        <f t="shared" si="61"/>
        <v>34.592858393099128</v>
      </c>
      <c r="AQ127" s="34">
        <f t="shared" si="62"/>
        <v>35.108926533039948</v>
      </c>
      <c r="AR127" s="34">
        <f t="shared" si="63"/>
        <v>30.948617404752792</v>
      </c>
      <c r="AS127" s="34">
        <f t="shared" si="64"/>
        <v>21.673139370517006</v>
      </c>
      <c r="AT127" s="34">
        <f t="shared" si="65"/>
        <v>10.911472990698119</v>
      </c>
      <c r="AU127" s="34">
        <f t="shared" si="66"/>
        <v>5.1063728235531185</v>
      </c>
    </row>
    <row r="128" spans="1:47" s="86" customFormat="1">
      <c r="A128" s="83"/>
      <c r="B128" s="84"/>
      <c r="C128" s="83" t="s">
        <v>509</v>
      </c>
      <c r="D128" s="84" t="s">
        <v>314</v>
      </c>
      <c r="E128" s="141">
        <f>SUM(E126:E127)</f>
        <v>69.517319398987695</v>
      </c>
      <c r="F128" s="141">
        <f t="shared" ref="F128:AM128" si="73">SUM(F126:F127)</f>
        <v>68.119139562723902</v>
      </c>
      <c r="G128" s="141">
        <f t="shared" si="73"/>
        <v>70.979101299149875</v>
      </c>
      <c r="H128" s="141">
        <f t="shared" si="73"/>
        <v>76.675824202968954</v>
      </c>
      <c r="I128" s="141">
        <f t="shared" si="73"/>
        <v>75.427282568055034</v>
      </c>
      <c r="J128" s="141">
        <f t="shared" si="73"/>
        <v>70.294790503761021</v>
      </c>
      <c r="K128" s="141">
        <f t="shared" si="73"/>
        <v>70.286717870948081</v>
      </c>
      <c r="L128" s="141">
        <f t="shared" si="73"/>
        <v>70.950599319207186</v>
      </c>
      <c r="M128" s="141">
        <f t="shared" si="73"/>
        <v>70.052226526337364</v>
      </c>
      <c r="N128" s="141">
        <f t="shared" si="73"/>
        <v>69.558454082783413</v>
      </c>
      <c r="O128" s="141">
        <f t="shared" si="73"/>
        <v>68.953319241466247</v>
      </c>
      <c r="P128" s="141">
        <f t="shared" si="73"/>
        <v>58.571623494196615</v>
      </c>
      <c r="Q128" s="141">
        <f t="shared" si="73"/>
        <v>58.000624051459596</v>
      </c>
      <c r="R128" s="141">
        <f t="shared" si="73"/>
        <v>57.835669538853892</v>
      </c>
      <c r="S128" s="141">
        <f t="shared" si="73"/>
        <v>56.933951037562707</v>
      </c>
      <c r="T128" s="141">
        <f t="shared" si="73"/>
        <v>57.224941719725336</v>
      </c>
      <c r="U128" s="141">
        <f t="shared" si="73"/>
        <v>41.336446168267258</v>
      </c>
      <c r="V128" s="141">
        <f t="shared" si="73"/>
        <v>40.55564058774948</v>
      </c>
      <c r="W128" s="141">
        <f t="shared" si="73"/>
        <v>40.623025444286611</v>
      </c>
      <c r="X128" s="141">
        <f t="shared" si="73"/>
        <v>39.642727944776695</v>
      </c>
      <c r="Y128" s="141">
        <f t="shared" si="73"/>
        <v>20.455383433059986</v>
      </c>
      <c r="Z128" s="141">
        <f t="shared" si="73"/>
        <v>20.512230310154525</v>
      </c>
      <c r="AA128" s="141">
        <f t="shared" si="73"/>
        <v>10.038754812257618</v>
      </c>
      <c r="AB128" s="141">
        <f t="shared" si="73"/>
        <v>10.103439159171561</v>
      </c>
      <c r="AC128" s="141">
        <f t="shared" si="73"/>
        <v>9.7828790610537482</v>
      </c>
      <c r="AD128" s="141">
        <f t="shared" si="73"/>
        <v>9.6440297862580238</v>
      </c>
      <c r="AE128" s="141">
        <f t="shared" si="73"/>
        <v>9.5219771873255787</v>
      </c>
      <c r="AF128" s="141">
        <f t="shared" si="73"/>
        <v>9.0423594374094129</v>
      </c>
      <c r="AG128" s="141">
        <f t="shared" si="73"/>
        <v>9.2871030178937559</v>
      </c>
      <c r="AH128" s="155">
        <f t="shared" si="73"/>
        <v>11.330475394490501</v>
      </c>
      <c r="AI128" s="155">
        <f t="shared" si="73"/>
        <v>645.31670892811098</v>
      </c>
      <c r="AJ128" s="155">
        <f t="shared" si="73"/>
        <v>-1351.6890097022365</v>
      </c>
      <c r="AK128" s="155">
        <f t="shared" si="73"/>
        <v>88.69671522197109</v>
      </c>
      <c r="AL128" s="155">
        <f t="shared" si="73"/>
        <v>92.728386764260762</v>
      </c>
      <c r="AM128" s="155">
        <f t="shared" si="73"/>
        <v>88.405448296923552</v>
      </c>
      <c r="AN128" s="89"/>
      <c r="AO128" s="84"/>
      <c r="AP128" s="34">
        <f t="shared" si="61"/>
        <v>72.143733406377095</v>
      </c>
      <c r="AQ128" s="34">
        <f t="shared" si="62"/>
        <v>70.228557660607407</v>
      </c>
      <c r="AR128" s="34">
        <f t="shared" si="63"/>
        <v>59.586688180544066</v>
      </c>
      <c r="AS128" s="34">
        <f t="shared" si="64"/>
        <v>40.539460036270015</v>
      </c>
      <c r="AT128" s="34">
        <f t="shared" si="65"/>
        <v>20.483806871607257</v>
      </c>
      <c r="AU128" s="34">
        <f t="shared" si="66"/>
        <v>9.6315060659099583</v>
      </c>
    </row>
    <row r="129" spans="1:47">
      <c r="C129" s="61" t="s">
        <v>465</v>
      </c>
      <c r="D129" s="84" t="s">
        <v>314</v>
      </c>
      <c r="E129" s="34">
        <f>100*(E104)/((E$64*$E$15/100-E97))</f>
        <v>21.215218449305883</v>
      </c>
      <c r="F129" s="34">
        <f t="shared" ref="F129:AM129" si="74">100*(F104)/((F$64*$E$15/100-F97))</f>
        <v>22.849035560561088</v>
      </c>
      <c r="G129" s="34">
        <f t="shared" si="74"/>
        <v>21.848394444200245</v>
      </c>
      <c r="H129" s="34">
        <f t="shared" si="74"/>
        <v>16.049895914101878</v>
      </c>
      <c r="I129" s="34">
        <f t="shared" si="74"/>
        <v>15.804944735064423</v>
      </c>
      <c r="J129" s="34">
        <f t="shared" si="74"/>
        <v>13.211476794910903</v>
      </c>
      <c r="K129" s="34">
        <f t="shared" si="74"/>
        <v>13.423951688760416</v>
      </c>
      <c r="L129" s="34">
        <f t="shared" si="74"/>
        <v>13.154199815836428</v>
      </c>
      <c r="M129" s="34">
        <f t="shared" si="74"/>
        <v>12.947705929483249</v>
      </c>
      <c r="N129" s="34">
        <f t="shared" si="74"/>
        <v>12.581289847018864</v>
      </c>
      <c r="O129" s="34">
        <f t="shared" si="74"/>
        <v>13.135494073031117</v>
      </c>
      <c r="P129" s="34">
        <f t="shared" si="74"/>
        <v>9.8666021061589326</v>
      </c>
      <c r="Q129" s="34">
        <f t="shared" si="74"/>
        <v>9.7484937290061318</v>
      </c>
      <c r="R129" s="34">
        <f t="shared" si="74"/>
        <v>9.9770377216189186</v>
      </c>
      <c r="S129" s="34">
        <f t="shared" si="74"/>
        <v>9.5873755377402095</v>
      </c>
      <c r="T129" s="34">
        <f t="shared" si="74"/>
        <v>9.7081183169514311</v>
      </c>
      <c r="U129" s="34">
        <f t="shared" si="74"/>
        <v>6.29400271256383</v>
      </c>
      <c r="V129" s="34">
        <f t="shared" si="74"/>
        <v>6.1597267498420276</v>
      </c>
      <c r="W129" s="34">
        <f t="shared" si="74"/>
        <v>6.1943051163782963</v>
      </c>
      <c r="X129" s="34">
        <f t="shared" si="74"/>
        <v>6.1004199437827689</v>
      </c>
      <c r="Y129" s="34">
        <f t="shared" si="74"/>
        <v>3.1071988208951566</v>
      </c>
      <c r="Z129" s="34">
        <f t="shared" si="74"/>
        <v>3.1125657753799629</v>
      </c>
      <c r="AA129" s="34">
        <f t="shared" si="74"/>
        <v>1.7975616805078463</v>
      </c>
      <c r="AB129" s="34">
        <f t="shared" si="74"/>
        <v>1.7891652657861348</v>
      </c>
      <c r="AC129" s="34">
        <f t="shared" si="74"/>
        <v>1.7507494729773272</v>
      </c>
      <c r="AD129" s="34">
        <f t="shared" si="74"/>
        <v>1.7242895186386191</v>
      </c>
      <c r="AE129" s="34">
        <f t="shared" si="74"/>
        <v>1.6926462976417285</v>
      </c>
      <c r="AF129" s="34">
        <f t="shared" si="74"/>
        <v>1.6704548936624679</v>
      </c>
      <c r="AG129" s="34">
        <f t="shared" si="74"/>
        <v>1.6577484810091647</v>
      </c>
      <c r="AH129" s="128">
        <f t="shared" si="74"/>
        <v>-183.8358269395732</v>
      </c>
      <c r="AI129" s="128">
        <f t="shared" si="74"/>
        <v>22.453459073186075</v>
      </c>
      <c r="AJ129" s="128">
        <f t="shared" si="74"/>
        <v>18.607069349761062</v>
      </c>
      <c r="AK129" s="128">
        <f t="shared" si="74"/>
        <v>27.247507159197657</v>
      </c>
      <c r="AL129" s="128">
        <f t="shared" si="74"/>
        <v>30.213270349417705</v>
      </c>
      <c r="AM129" s="128">
        <f t="shared" si="74"/>
        <v>26.596394634956592</v>
      </c>
      <c r="AN129" s="67"/>
      <c r="AP129" s="34">
        <f t="shared" si="61"/>
        <v>19.553497820646704</v>
      </c>
      <c r="AQ129" s="34">
        <f t="shared" si="62"/>
        <v>13.06372481520197</v>
      </c>
      <c r="AR129" s="34">
        <f t="shared" si="63"/>
        <v>10.337186914084455</v>
      </c>
      <c r="AS129" s="34">
        <f t="shared" si="64"/>
        <v>6.18711363064173</v>
      </c>
      <c r="AT129" s="34">
        <f t="shared" si="65"/>
        <v>3.1098822981375598</v>
      </c>
      <c r="AU129" s="34">
        <f t="shared" si="66"/>
        <v>1.7260879443176125</v>
      </c>
    </row>
    <row r="130" spans="1:47">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67"/>
      <c r="AI130" s="67"/>
      <c r="AJ130" s="67"/>
      <c r="AK130" s="67"/>
      <c r="AL130" s="67"/>
      <c r="AM130" s="67"/>
      <c r="AN130" s="67"/>
      <c r="AP130" s="34"/>
      <c r="AQ130" s="34"/>
      <c r="AR130" s="34"/>
      <c r="AS130" s="34"/>
      <c r="AT130" s="34"/>
      <c r="AU130" s="34"/>
    </row>
    <row r="131" spans="1:47" s="86" customFormat="1">
      <c r="A131" s="83"/>
      <c r="B131" s="84"/>
      <c r="C131" s="83" t="s">
        <v>466</v>
      </c>
      <c r="D131" s="84" t="s">
        <v>314</v>
      </c>
      <c r="E131" s="141">
        <f>100*(E105)/((E$64*$E$20/100)-E102)</f>
        <v>43.200237854943666</v>
      </c>
      <c r="F131" s="141">
        <f t="shared" ref="F131:AM131" si="75">100*(F105)/((F$64*$E$20/100)-F102)</f>
        <v>41.814315038191246</v>
      </c>
      <c r="G131" s="141">
        <f t="shared" si="75"/>
        <v>45.836413004722267</v>
      </c>
      <c r="H131" s="141">
        <f t="shared" si="75"/>
        <v>88.394450011104482</v>
      </c>
      <c r="I131" s="141">
        <f t="shared" si="75"/>
        <v>87.674417540679102</v>
      </c>
      <c r="J131" s="141">
        <f t="shared" si="75"/>
        <v>70.097597528484698</v>
      </c>
      <c r="K131" s="141">
        <f t="shared" si="75"/>
        <v>69.408522195899621</v>
      </c>
      <c r="L131" s="141">
        <f t="shared" si="75"/>
        <v>69.96881248054855</v>
      </c>
      <c r="M131" s="141">
        <f t="shared" si="75"/>
        <v>68.813608915246064</v>
      </c>
      <c r="N131" s="141">
        <f t="shared" si="75"/>
        <v>66.968895147190082</v>
      </c>
      <c r="O131" s="141">
        <f t="shared" si="75"/>
        <v>66.697438104870585</v>
      </c>
      <c r="P131" s="141">
        <f t="shared" si="75"/>
        <v>41.857562832311054</v>
      </c>
      <c r="Q131" s="141">
        <f t="shared" si="75"/>
        <v>40.984282583293457</v>
      </c>
      <c r="R131" s="141">
        <f t="shared" si="75"/>
        <v>41.067999696706892</v>
      </c>
      <c r="S131" s="141">
        <f t="shared" si="75"/>
        <v>39.968525381081037</v>
      </c>
      <c r="T131" s="141">
        <f t="shared" si="75"/>
        <v>40.666788887809254</v>
      </c>
      <c r="U131" s="141">
        <f t="shared" si="75"/>
        <v>15.867808182819456</v>
      </c>
      <c r="V131" s="141">
        <f t="shared" si="75"/>
        <v>15.209614305481898</v>
      </c>
      <c r="W131" s="141">
        <f t="shared" si="75"/>
        <v>15.509712646682789</v>
      </c>
      <c r="X131" s="141">
        <f t="shared" si="75"/>
        <v>14.624567577301697</v>
      </c>
      <c r="Y131" s="141">
        <f t="shared" si="75"/>
        <v>4.2511269362883048</v>
      </c>
      <c r="Z131" s="141">
        <f t="shared" si="75"/>
        <v>4.2468081972187584</v>
      </c>
      <c r="AA131" s="141">
        <f t="shared" si="75"/>
        <v>3.0797004335327034</v>
      </c>
      <c r="AB131" s="141">
        <f t="shared" si="75"/>
        <v>3.1767862131835933</v>
      </c>
      <c r="AC131" s="141">
        <f t="shared" si="75"/>
        <v>3.2120567761027052</v>
      </c>
      <c r="AD131" s="141">
        <f t="shared" si="75"/>
        <v>3.2400015070647439</v>
      </c>
      <c r="AE131" s="141">
        <f t="shared" si="75"/>
        <v>3.2625404694999114</v>
      </c>
      <c r="AF131" s="141">
        <f t="shared" si="75"/>
        <v>3.322444240338815</v>
      </c>
      <c r="AG131" s="141">
        <f t="shared" si="75"/>
        <v>3.321495751736621</v>
      </c>
      <c r="AH131" s="155">
        <f t="shared" si="75"/>
        <v>54.51852390766134</v>
      </c>
      <c r="AI131" s="155">
        <f t="shared" si="75"/>
        <v>-189.23097205487184</v>
      </c>
      <c r="AJ131" s="155">
        <f t="shared" si="75"/>
        <v>-112.68839949327956</v>
      </c>
      <c r="AK131" s="155">
        <f t="shared" si="75"/>
        <v>-567.58141591748301</v>
      </c>
      <c r="AL131" s="155">
        <f t="shared" si="75"/>
        <v>1390.2013923309321</v>
      </c>
      <c r="AM131" s="155">
        <f t="shared" si="75"/>
        <v>-603.83372949269494</v>
      </c>
      <c r="AN131" s="89"/>
      <c r="AO131" s="84"/>
      <c r="AP131" s="34">
        <f t="shared" si="61"/>
        <v>61.383966689928151</v>
      </c>
      <c r="AQ131" s="34">
        <f t="shared" si="62"/>
        <v>69.051487253473809</v>
      </c>
      <c r="AR131" s="34">
        <f t="shared" si="63"/>
        <v>45.207099581012045</v>
      </c>
      <c r="AS131" s="34">
        <f t="shared" si="64"/>
        <v>15.302925678071459</v>
      </c>
      <c r="AT131" s="34">
        <f t="shared" si="65"/>
        <v>4.2489675667535316</v>
      </c>
      <c r="AU131" s="34">
        <f t="shared" si="66"/>
        <v>3.2307179130655848</v>
      </c>
    </row>
    <row r="132" spans="1:47">
      <c r="C132" s="61" t="str">
        <f>A98</f>
        <v>Methylcyclopentane</v>
      </c>
      <c r="D132" s="31" t="s">
        <v>495</v>
      </c>
      <c r="E132" s="34">
        <f>100*(E98)/((E64*$E$16/100))</f>
        <v>78.467639017476571</v>
      </c>
      <c r="F132" s="34">
        <f t="shared" ref="F132:AM132" si="76">100*(F98)/((F64*$E$16/100))</f>
        <v>78.561277199353299</v>
      </c>
      <c r="G132" s="34">
        <f t="shared" si="76"/>
        <v>79.61934594388714</v>
      </c>
      <c r="H132" s="34">
        <f t="shared" si="76"/>
        <v>76.701665073830881</v>
      </c>
      <c r="I132" s="34">
        <f t="shared" si="76"/>
        <v>75.402479487726239</v>
      </c>
      <c r="J132" s="34">
        <f t="shared" si="76"/>
        <v>65.821112006451074</v>
      </c>
      <c r="K132" s="34">
        <f t="shared" si="76"/>
        <v>66.27449294735689</v>
      </c>
      <c r="L132" s="34">
        <f t="shared" si="76"/>
        <v>65.131460375122543</v>
      </c>
      <c r="M132" s="34">
        <f t="shared" si="76"/>
        <v>63.433231164697105</v>
      </c>
      <c r="N132" s="34">
        <f t="shared" si="76"/>
        <v>59.859454081659692</v>
      </c>
      <c r="O132" s="34">
        <f t="shared" si="76"/>
        <v>62.138539630376272</v>
      </c>
      <c r="P132" s="34">
        <f t="shared" si="76"/>
        <v>59.969533689144832</v>
      </c>
      <c r="Q132" s="34">
        <f t="shared" si="76"/>
        <v>59.230211241120841</v>
      </c>
      <c r="R132" s="34">
        <f t="shared" si="76"/>
        <v>60.090376271961446</v>
      </c>
      <c r="S132" s="34">
        <f t="shared" si="76"/>
        <v>58.328127739759736</v>
      </c>
      <c r="T132" s="34">
        <f t="shared" si="76"/>
        <v>57.928755533724903</v>
      </c>
      <c r="U132" s="34">
        <f t="shared" si="76"/>
        <v>59.428153044888894</v>
      </c>
      <c r="V132" s="34">
        <f t="shared" si="76"/>
        <v>58.763687921634279</v>
      </c>
      <c r="W132" s="34">
        <f t="shared" si="76"/>
        <v>58.678474669996781</v>
      </c>
      <c r="X132" s="34">
        <f t="shared" si="76"/>
        <v>59.372040325277197</v>
      </c>
      <c r="Y132" s="34">
        <f t="shared" si="76"/>
        <v>53.071548529090158</v>
      </c>
      <c r="Z132" s="34">
        <f t="shared" si="76"/>
        <v>53.047428783425403</v>
      </c>
      <c r="AA132" s="34">
        <f t="shared" si="76"/>
        <v>47.073772414714504</v>
      </c>
      <c r="AB132" s="34">
        <f t="shared" si="76"/>
        <v>46.138314199390734</v>
      </c>
      <c r="AC132" s="34">
        <f t="shared" si="76"/>
        <v>45.335129691342409</v>
      </c>
      <c r="AD132" s="34">
        <f t="shared" si="76"/>
        <v>45.081302611380437</v>
      </c>
      <c r="AE132" s="34">
        <f t="shared" si="76"/>
        <v>44.177924234437697</v>
      </c>
      <c r="AF132" s="34">
        <f t="shared" si="76"/>
        <v>44.30859724127626</v>
      </c>
      <c r="AG132" s="34">
        <f t="shared" si="76"/>
        <v>43.689247441651176</v>
      </c>
      <c r="AH132" s="128">
        <f t="shared" si="76"/>
        <v>8.7350184814167005</v>
      </c>
      <c r="AI132" s="128">
        <f t="shared" si="76"/>
        <v>94.279697991807168</v>
      </c>
      <c r="AJ132" s="128">
        <f t="shared" si="76"/>
        <v>94.312544627734084</v>
      </c>
      <c r="AK132" s="128">
        <f t="shared" si="76"/>
        <v>91.891627049348216</v>
      </c>
      <c r="AL132" s="128">
        <f t="shared" si="76"/>
        <v>91.226814680877141</v>
      </c>
      <c r="AM132" s="128">
        <f t="shared" si="76"/>
        <v>90.880747732727201</v>
      </c>
      <c r="AN132" s="67"/>
      <c r="AP132" s="34">
        <f t="shared" si="61"/>
        <v>77.750481344454826</v>
      </c>
      <c r="AQ132" s="34">
        <f t="shared" si="62"/>
        <v>64.103950115057458</v>
      </c>
      <c r="AR132" s="34">
        <f t="shared" si="63"/>
        <v>59.614257351014665</v>
      </c>
      <c r="AS132" s="34">
        <f t="shared" si="64"/>
        <v>59.06058899044929</v>
      </c>
      <c r="AT132" s="34">
        <f t="shared" si="65"/>
        <v>53.059488656257784</v>
      </c>
      <c r="AU132" s="34">
        <f t="shared" si="66"/>
        <v>45.114898262027602</v>
      </c>
    </row>
    <row r="134" spans="1:47">
      <c r="Z134" s="134"/>
    </row>
    <row r="141" spans="1:47">
      <c r="C141" s="61"/>
    </row>
    <row r="142" spans="1:47">
      <c r="C142" s="66"/>
    </row>
    <row r="143" spans="1:47">
      <c r="C143" s="66"/>
    </row>
    <row r="144" spans="1:47">
      <c r="C144" s="66"/>
    </row>
    <row r="145" spans="3:3">
      <c r="C145" s="66"/>
    </row>
    <row r="146" spans="3:3">
      <c r="C146" s="66"/>
    </row>
    <row r="147" spans="3:3">
      <c r="C147" s="66"/>
    </row>
    <row r="148" spans="3:3">
      <c r="C148" s="66"/>
    </row>
    <row r="149" spans="3:3">
      <c r="C149" s="66"/>
    </row>
    <row r="150" spans="3:3">
      <c r="C150" s="66"/>
    </row>
    <row r="151" spans="3:3">
      <c r="C151" s="66"/>
    </row>
    <row r="152" spans="3:3">
      <c r="C152" s="66"/>
    </row>
    <row r="153" spans="3:3">
      <c r="C153" s="66"/>
    </row>
    <row r="154" spans="3:3">
      <c r="C154" s="66"/>
    </row>
    <row r="155" spans="3:3">
      <c r="C155" s="66"/>
    </row>
    <row r="156" spans="3:3">
      <c r="C156" s="61"/>
    </row>
    <row r="157" spans="3:3">
      <c r="C157" s="61"/>
    </row>
    <row r="158" spans="3:3">
      <c r="C158" s="61"/>
    </row>
    <row r="159" spans="3:3">
      <c r="C159" s="61"/>
    </row>
  </sheetData>
  <mergeCells count="17">
    <mergeCell ref="A61:C61"/>
    <mergeCell ref="A62:C62"/>
    <mergeCell ref="A63:C63"/>
    <mergeCell ref="A64:C64"/>
    <mergeCell ref="A55:C55"/>
    <mergeCell ref="A56:C56"/>
    <mergeCell ref="A57:C57"/>
    <mergeCell ref="A58:C58"/>
    <mergeCell ref="A59:C59"/>
    <mergeCell ref="A60:C60"/>
    <mergeCell ref="A54:C54"/>
    <mergeCell ref="A1:E1"/>
    <mergeCell ref="A2:C2"/>
    <mergeCell ref="A3:C3"/>
    <mergeCell ref="A4:C4"/>
    <mergeCell ref="A53:C53"/>
    <mergeCell ref="E21:E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F792E-14D6-417E-A2C8-40B576C49C2D}">
  <sheetPr codeName="Sheet15"/>
  <dimension ref="A3:AP67"/>
  <sheetViews>
    <sheetView topLeftCell="A11" zoomScale="90" zoomScaleNormal="90" workbookViewId="0">
      <pane xSplit="2" ySplit="5" topLeftCell="C16" activePane="bottomRight" state="frozen"/>
      <selection pane="topRight" activeCell="C11" sqref="C11"/>
      <selection pane="bottomLeft" activeCell="A16" sqref="A16"/>
      <selection pane="bottomRight" activeCell="J26" sqref="J26"/>
    </sheetView>
  </sheetViews>
  <sheetFormatPr defaultColWidth="9.140625" defaultRowHeight="15"/>
  <cols>
    <col min="1" max="1" width="30.140625" style="61" bestFit="1" customWidth="1"/>
    <col min="2" max="2" width="14.7109375" style="31" customWidth="1"/>
    <col min="3" max="8" width="9.140625" style="31"/>
    <col min="9" max="13" width="9.140625" style="1"/>
    <col min="14" max="14" width="10.5703125" style="1" bestFit="1" customWidth="1"/>
    <col min="15" max="17" width="9.140625" style="1"/>
    <col min="18" max="19" width="9.140625" style="283"/>
    <col min="20" max="16384" width="9.140625" style="1"/>
  </cols>
  <sheetData>
    <row r="3" spans="1:35">
      <c r="A3" s="148" t="s">
        <v>514</v>
      </c>
      <c r="B3" s="65"/>
      <c r="C3" s="148" t="s">
        <v>60</v>
      </c>
      <c r="D3" s="65"/>
      <c r="E3" s="148"/>
      <c r="F3" s="65"/>
      <c r="G3" s="148"/>
      <c r="H3" s="65"/>
    </row>
    <row r="4" spans="1:35">
      <c r="A4" s="147" t="s">
        <v>170</v>
      </c>
      <c r="B4" s="144" t="s">
        <v>314</v>
      </c>
      <c r="C4" s="63">
        <v>83.43</v>
      </c>
      <c r="D4" s="65"/>
      <c r="E4" s="148"/>
      <c r="F4" s="65"/>
      <c r="G4" s="148"/>
      <c r="H4" s="65"/>
    </row>
    <row r="5" spans="1:35">
      <c r="A5" s="147" t="s">
        <v>172</v>
      </c>
      <c r="B5" s="144" t="s">
        <v>314</v>
      </c>
      <c r="C5" s="63">
        <v>10.37</v>
      </c>
      <c r="D5" s="65"/>
      <c r="E5" s="148"/>
      <c r="F5" s="65"/>
      <c r="G5" s="148"/>
      <c r="H5" s="65"/>
    </row>
    <row r="6" spans="1:35">
      <c r="A6" s="147" t="s">
        <v>515</v>
      </c>
      <c r="B6" s="144" t="s">
        <v>314</v>
      </c>
      <c r="C6" s="63">
        <v>5.36</v>
      </c>
      <c r="D6" s="65"/>
      <c r="E6" s="148"/>
      <c r="F6" s="65"/>
      <c r="G6" s="148"/>
      <c r="H6" s="65"/>
    </row>
    <row r="7" spans="1:35">
      <c r="O7" s="347" t="s">
        <v>516</v>
      </c>
      <c r="P7" s="347"/>
      <c r="Q7" s="347"/>
      <c r="R7" s="347"/>
      <c r="S7" s="347"/>
      <c r="T7" s="347"/>
      <c r="U7" s="347"/>
      <c r="V7" s="347"/>
      <c r="W7" s="347"/>
      <c r="X7" s="347"/>
      <c r="Y7" s="347"/>
      <c r="Z7" s="347"/>
      <c r="AA7" s="347"/>
      <c r="AB7" s="347"/>
      <c r="AC7" s="347"/>
      <c r="AD7" s="347"/>
      <c r="AE7" s="347"/>
      <c r="AF7" s="347"/>
      <c r="AG7" s="347"/>
      <c r="AH7" s="347"/>
      <c r="AI7" s="347"/>
    </row>
    <row r="9" spans="1:35">
      <c r="O9" s="347" t="s">
        <v>517</v>
      </c>
      <c r="P9" s="347"/>
      <c r="Q9" s="347"/>
      <c r="R9" s="347"/>
      <c r="S9" s="347"/>
      <c r="T9" s="347"/>
      <c r="U9" s="67"/>
      <c r="W9" s="347" t="s">
        <v>518</v>
      </c>
      <c r="X9" s="347"/>
      <c r="Y9" s="347"/>
      <c r="Z9" s="347"/>
      <c r="AA9" s="347"/>
      <c r="AB9" s="347"/>
      <c r="AD9" s="347" t="s">
        <v>519</v>
      </c>
      <c r="AE9" s="347"/>
      <c r="AF9" s="347"/>
      <c r="AG9" s="347"/>
      <c r="AH9" s="347"/>
      <c r="AI9" s="347"/>
    </row>
    <row r="10" spans="1:35">
      <c r="A10" s="83" t="s">
        <v>520</v>
      </c>
    </row>
    <row r="11" spans="1:35">
      <c r="A11" s="147"/>
      <c r="B11" s="144"/>
      <c r="C11" s="65">
        <v>1</v>
      </c>
      <c r="D11" s="65">
        <v>2</v>
      </c>
      <c r="E11" s="65">
        <v>3</v>
      </c>
      <c r="F11" s="65">
        <v>4</v>
      </c>
      <c r="G11" s="65">
        <v>5</v>
      </c>
      <c r="H11" s="65">
        <v>6</v>
      </c>
      <c r="O11" s="65">
        <v>1</v>
      </c>
      <c r="P11" s="65">
        <v>2</v>
      </c>
      <c r="Q11" s="65">
        <v>3</v>
      </c>
      <c r="R11" s="288">
        <v>4</v>
      </c>
      <c r="S11" s="288">
        <v>5</v>
      </c>
      <c r="T11" s="65">
        <v>6</v>
      </c>
      <c r="U11" s="31"/>
      <c r="W11" s="65">
        <v>1</v>
      </c>
      <c r="X11" s="65">
        <v>2</v>
      </c>
      <c r="Y11" s="65">
        <v>3</v>
      </c>
      <c r="Z11" s="65">
        <v>4</v>
      </c>
      <c r="AA11" s="65">
        <v>5</v>
      </c>
      <c r="AB11" s="65">
        <v>6</v>
      </c>
      <c r="AD11" s="65">
        <v>1</v>
      </c>
      <c r="AE11" s="65">
        <v>2</v>
      </c>
      <c r="AF11" s="65">
        <v>3</v>
      </c>
      <c r="AG11" s="65">
        <v>4</v>
      </c>
      <c r="AH11" s="65">
        <v>5</v>
      </c>
      <c r="AI11" s="65">
        <v>6</v>
      </c>
    </row>
    <row r="12" spans="1:35">
      <c r="A12" s="143" t="s">
        <v>27</v>
      </c>
      <c r="B12" s="144" t="s">
        <v>123</v>
      </c>
      <c r="C12" s="65">
        <v>26</v>
      </c>
      <c r="D12" s="65">
        <v>26</v>
      </c>
      <c r="E12" s="65">
        <v>26</v>
      </c>
      <c r="F12" s="65">
        <v>26</v>
      </c>
      <c r="G12" s="65">
        <v>26</v>
      </c>
      <c r="H12" s="65">
        <v>15</v>
      </c>
      <c r="O12" s="65">
        <v>24</v>
      </c>
      <c r="P12" s="65">
        <v>24</v>
      </c>
      <c r="Q12" s="65">
        <v>24</v>
      </c>
      <c r="R12" s="288">
        <v>24</v>
      </c>
      <c r="S12" s="288">
        <v>24</v>
      </c>
      <c r="T12" s="65">
        <v>15</v>
      </c>
      <c r="U12" s="31"/>
      <c r="W12" s="65">
        <v>24</v>
      </c>
      <c r="X12" s="65">
        <v>24</v>
      </c>
      <c r="Y12" s="65">
        <v>24</v>
      </c>
      <c r="Z12" s="65">
        <v>24</v>
      </c>
      <c r="AA12" s="65">
        <v>24</v>
      </c>
      <c r="AB12" s="65">
        <v>15</v>
      </c>
      <c r="AD12" s="65">
        <v>24</v>
      </c>
      <c r="AE12" s="65">
        <v>24</v>
      </c>
      <c r="AF12" s="65">
        <v>24</v>
      </c>
      <c r="AG12" s="65">
        <v>24</v>
      </c>
      <c r="AH12" s="65">
        <v>24</v>
      </c>
      <c r="AI12" s="65">
        <v>15</v>
      </c>
    </row>
    <row r="13" spans="1:35">
      <c r="A13" s="145" t="s">
        <v>61</v>
      </c>
      <c r="B13" s="146" t="s">
        <v>487</v>
      </c>
      <c r="C13" s="62">
        <v>190</v>
      </c>
      <c r="D13" s="62">
        <v>200</v>
      </c>
      <c r="E13" s="62">
        <v>210</v>
      </c>
      <c r="F13" s="62">
        <v>220</v>
      </c>
      <c r="G13" s="62">
        <v>230</v>
      </c>
      <c r="H13" s="62">
        <v>230</v>
      </c>
      <c r="O13" s="62">
        <v>190</v>
      </c>
      <c r="P13" s="62">
        <v>200</v>
      </c>
      <c r="Q13" s="62">
        <v>210</v>
      </c>
      <c r="R13" s="286">
        <v>220</v>
      </c>
      <c r="S13" s="286">
        <v>230</v>
      </c>
      <c r="T13" s="62">
        <v>230</v>
      </c>
      <c r="U13" s="31"/>
      <c r="W13" s="62">
        <v>190</v>
      </c>
      <c r="X13" s="62">
        <v>200</v>
      </c>
      <c r="Y13" s="62">
        <v>210</v>
      </c>
      <c r="Z13" s="62">
        <v>220</v>
      </c>
      <c r="AA13" s="62">
        <v>230</v>
      </c>
      <c r="AB13" s="62">
        <v>230</v>
      </c>
      <c r="AD13" s="62">
        <v>190</v>
      </c>
      <c r="AE13" s="62">
        <v>200</v>
      </c>
      <c r="AF13" s="62">
        <v>210</v>
      </c>
      <c r="AG13" s="62">
        <v>220</v>
      </c>
      <c r="AH13" s="62">
        <v>230</v>
      </c>
      <c r="AI13" s="62">
        <v>230</v>
      </c>
    </row>
    <row r="14" spans="1:35" s="283" customFormat="1">
      <c r="A14" s="285" t="s">
        <v>521</v>
      </c>
      <c r="B14" s="286" t="s">
        <v>125</v>
      </c>
      <c r="C14" s="286">
        <v>1.7</v>
      </c>
      <c r="D14" s="286">
        <v>1.7</v>
      </c>
      <c r="E14" s="286">
        <v>1.7</v>
      </c>
      <c r="F14" s="286">
        <v>1.7</v>
      </c>
      <c r="G14" s="286">
        <v>1.7</v>
      </c>
      <c r="H14" s="286">
        <v>1.7</v>
      </c>
      <c r="O14" s="287">
        <f>Reactor1!AP51</f>
        <v>2.3250650679299265</v>
      </c>
      <c r="P14" s="287">
        <f>Reactor1!AQ51</f>
        <v>2.3503433370790447</v>
      </c>
      <c r="Q14" s="287">
        <f>Reactor1!AR51</f>
        <v>2.3553253779183017</v>
      </c>
      <c r="R14" s="287">
        <f>Reactor1!AS51</f>
        <v>2.3654084638282016</v>
      </c>
      <c r="S14" s="287">
        <f>Reactor1!AT51</f>
        <v>2.3511005810520231</v>
      </c>
      <c r="T14" s="287">
        <f>Reactor1!AU51</f>
        <v>2.3685363204846106</v>
      </c>
      <c r="U14" s="284"/>
      <c r="W14" s="287">
        <f>Reactor2!AP51</f>
        <v>2.415449833915349</v>
      </c>
      <c r="X14" s="287">
        <f>Reactor2!AQ51</f>
        <v>2.4261544815873068</v>
      </c>
      <c r="Y14" s="287">
        <f>Reactor2!AR51</f>
        <v>2.4574169989012331</v>
      </c>
      <c r="Z14" s="287">
        <f>Reactor2!AS51</f>
        <v>2.4657836257968668</v>
      </c>
      <c r="AA14" s="287">
        <f>Reactor2!AT51</f>
        <v>2.439850765700172</v>
      </c>
      <c r="AB14" s="287">
        <f>Reactor2!AU51</f>
        <v>2.4605255927513152</v>
      </c>
      <c r="AD14" s="287">
        <f>Reactor6!AP51</f>
        <v>2.4031697713996278</v>
      </c>
      <c r="AE14" s="287">
        <f>Reactor6!AQ51</f>
        <v>2.4676124441561855</v>
      </c>
      <c r="AF14" s="287">
        <f>Reactor6!AR51</f>
        <v>2.4717634595882623</v>
      </c>
      <c r="AG14" s="287">
        <f>Reactor6!AS51</f>
        <v>2.4993004771340792</v>
      </c>
      <c r="AH14" s="287">
        <f>Reactor6!AT51</f>
        <v>2.4393345132591109</v>
      </c>
      <c r="AI14" s="287">
        <f>Reactor6!AU51</f>
        <v>2.4785903940219476</v>
      </c>
    </row>
    <row r="15" spans="1:35">
      <c r="A15" s="145" t="s">
        <v>126</v>
      </c>
      <c r="B15" s="146" t="s">
        <v>488</v>
      </c>
      <c r="C15" s="62">
        <v>1.5</v>
      </c>
      <c r="D15" s="62">
        <v>1.5</v>
      </c>
      <c r="E15" s="62">
        <v>1.5</v>
      </c>
      <c r="F15" s="62">
        <v>1.5</v>
      </c>
      <c r="G15" s="62">
        <v>1.5</v>
      </c>
      <c r="H15" s="62">
        <v>1.5</v>
      </c>
      <c r="O15" s="156">
        <f>Reactor1!AP52</f>
        <v>1.4160758195541856</v>
      </c>
      <c r="P15" s="156">
        <f>Reactor1!AQ52</f>
        <v>1.4003491626387714</v>
      </c>
      <c r="Q15" s="156">
        <f>Reactor1!AR52</f>
        <v>1.3974339736863837</v>
      </c>
      <c r="R15" s="287">
        <f>Reactor1!AS52</f>
        <v>1.3913548535294329</v>
      </c>
      <c r="S15" s="287">
        <f>Reactor1!AT52</f>
        <v>1.3999276685484923</v>
      </c>
      <c r="T15" s="156">
        <f>Reactor1!AU52</f>
        <v>1.3894957318810826</v>
      </c>
      <c r="U15" s="57"/>
      <c r="W15" s="156">
        <f>Reactor2!AP52</f>
        <v>1.2089848123020288</v>
      </c>
      <c r="X15" s="156">
        <f>Reactor2!AQ52</f>
        <v>1.203218692860621</v>
      </c>
      <c r="Y15" s="156">
        <f>Reactor2!AR52</f>
        <v>1.1878456413741576</v>
      </c>
      <c r="Z15" s="156">
        <f>Reactor2!AS52</f>
        <v>1.1837605667805315</v>
      </c>
      <c r="AA15" s="156">
        <f>Reactor2!AT52</f>
        <v>1.196382553576671</v>
      </c>
      <c r="AB15" s="156">
        <f>Reactor2!AU52</f>
        <v>1.1863582018652779</v>
      </c>
      <c r="AD15" s="156">
        <f>Reactor6!AP52</f>
        <v>1.2525628540111053</v>
      </c>
      <c r="AE15" s="156">
        <f>Reactor6!AQ52</f>
        <v>1.218317269573109</v>
      </c>
      <c r="AF15" s="156">
        <f>Reactor6!AR52</f>
        <v>1.2162838271513146</v>
      </c>
      <c r="AG15" s="156">
        <f>Reactor6!AS52</f>
        <v>1.2029811719828647</v>
      </c>
      <c r="AH15" s="156">
        <f>Reactor6!AT52</f>
        <v>1.2323663110838652</v>
      </c>
      <c r="AI15" s="156">
        <f>Reactor6!AU52</f>
        <v>1.2129046221424711</v>
      </c>
    </row>
    <row r="16" spans="1:35">
      <c r="A16" s="145" t="s">
        <v>299</v>
      </c>
      <c r="B16" s="146" t="s">
        <v>314</v>
      </c>
      <c r="C16" s="62">
        <v>0</v>
      </c>
      <c r="D16" s="62">
        <v>0</v>
      </c>
      <c r="E16" s="62">
        <v>0</v>
      </c>
      <c r="F16" s="62">
        <v>0</v>
      </c>
      <c r="G16" s="62">
        <v>0.01</v>
      </c>
      <c r="H16" s="62">
        <v>0.01</v>
      </c>
      <c r="O16" s="62"/>
      <c r="P16" s="62"/>
      <c r="Q16" s="62"/>
      <c r="R16" s="286"/>
      <c r="S16" s="286"/>
      <c r="T16" s="62"/>
      <c r="U16" s="31"/>
    </row>
    <row r="17" spans="1:35">
      <c r="A17" s="145" t="s">
        <v>300</v>
      </c>
      <c r="B17" s="146" t="s">
        <v>314</v>
      </c>
      <c r="C17" s="62">
        <v>0.01</v>
      </c>
      <c r="D17" s="62">
        <v>0</v>
      </c>
      <c r="E17" s="62">
        <v>0.01</v>
      </c>
      <c r="F17" s="62">
        <v>0.01</v>
      </c>
      <c r="G17" s="62">
        <v>0.02</v>
      </c>
      <c r="H17" s="62">
        <v>0.02</v>
      </c>
      <c r="O17" s="156">
        <f>Reactor1!AP83</f>
        <v>1.1170875500000001E-3</v>
      </c>
      <c r="P17" s="156">
        <f>Reactor1!AQ83</f>
        <v>1.1172964E-3</v>
      </c>
      <c r="Q17" s="156">
        <f>Reactor1!AR83</f>
        <v>5.1416660166666668E-3</v>
      </c>
      <c r="R17" s="287">
        <f>Reactor1!AS83</f>
        <v>5.5014506666666669E-3</v>
      </c>
      <c r="S17" s="287">
        <f>Reactor1!AT83</f>
        <v>3.6173627399999998E-2</v>
      </c>
      <c r="T17" s="156">
        <f>Reactor1!AU83</f>
        <v>1.2355038228571428E-2</v>
      </c>
      <c r="U17" s="57"/>
      <c r="W17" s="156">
        <f>Reactor2!AP83</f>
        <v>1.04313302E-3</v>
      </c>
      <c r="X17" s="156">
        <f>Reactor2!AQ83</f>
        <v>1.1807574999999999E-3</v>
      </c>
      <c r="Y17" s="156">
        <f>Reactor2!AR83</f>
        <v>2.5589996199999999E-3</v>
      </c>
      <c r="Z17" s="156">
        <f>Reactor2!AS83</f>
        <v>6.3285425750000002E-3</v>
      </c>
      <c r="AA17" s="156">
        <f>Reactor2!AT83</f>
        <v>1.0970240766666667E-2</v>
      </c>
      <c r="AB17" s="156">
        <f>Reactor2!AU83</f>
        <v>1.009611805E-2</v>
      </c>
      <c r="AD17" s="156">
        <f>Reactor6!AP83</f>
        <v>1.4768889600000001E-3</v>
      </c>
      <c r="AE17" s="156">
        <f>Reactor6!AQ83</f>
        <v>1.5625618599999999E-3</v>
      </c>
      <c r="AF17" s="156">
        <f>Reactor6!AR83</f>
        <v>3.6378554833333336E-3</v>
      </c>
      <c r="AG17" s="156">
        <f>Reactor6!AS83</f>
        <v>8.7327035249999997E-3</v>
      </c>
      <c r="AH17" s="156">
        <f>Reactor6!AT83</f>
        <v>1.8928159E-2</v>
      </c>
      <c r="AI17" s="156">
        <f>Reactor6!AU83</f>
        <v>1.9955883057142857E-2</v>
      </c>
    </row>
    <row r="18" spans="1:35">
      <c r="A18" s="145" t="s">
        <v>301</v>
      </c>
      <c r="B18" s="146" t="s">
        <v>314</v>
      </c>
      <c r="C18" s="62">
        <v>0.52</v>
      </c>
      <c r="D18" s="62">
        <v>0.77</v>
      </c>
      <c r="E18" s="62">
        <v>1.32</v>
      </c>
      <c r="F18" s="62">
        <v>2.69</v>
      </c>
      <c r="G18" s="62">
        <v>3.71</v>
      </c>
      <c r="H18" s="62">
        <v>4.09</v>
      </c>
      <c r="O18" s="156">
        <f>Reactor1!AP68</f>
        <v>4.5106754333333332E-2</v>
      </c>
      <c r="P18" s="156">
        <f>Reactor1!AQ68</f>
        <v>0.14941892772500001</v>
      </c>
      <c r="Q18" s="156">
        <f>Reactor1!AR68</f>
        <v>0.49048438668333333</v>
      </c>
      <c r="R18" s="287">
        <f>Reactor1!AS68</f>
        <v>1.2767427364999999</v>
      </c>
      <c r="S18" s="287">
        <f>Reactor1!AT68</f>
        <v>2.4869931538666665</v>
      </c>
      <c r="T18" s="156">
        <f>Reactor1!AU68</f>
        <v>3.4738920075428572</v>
      </c>
      <c r="U18" s="57"/>
      <c r="W18" s="156">
        <f>Reactor2!AP68</f>
        <v>3.9197721340000005E-2</v>
      </c>
      <c r="X18" s="156">
        <f>Reactor2!AQ68</f>
        <v>0.14738909401666669</v>
      </c>
      <c r="Y18" s="156">
        <f>Reactor2!AR68</f>
        <v>0.52074673173999997</v>
      </c>
      <c r="Z18" s="156">
        <f>Reactor2!AS68</f>
        <v>1.3808071911249999</v>
      </c>
      <c r="AA18" s="156">
        <f>Reactor2!AT68</f>
        <v>2.6123212178666666</v>
      </c>
      <c r="AB18" s="156">
        <f>Reactor2!AU68</f>
        <v>3.524409204725</v>
      </c>
      <c r="AD18" s="156">
        <f>Reactor6!AP68</f>
        <v>7.2824235260000009E-2</v>
      </c>
      <c r="AE18" s="156">
        <f>Reactor6!AQ68</f>
        <v>0.26854294538000001</v>
      </c>
      <c r="AF18" s="156">
        <f>Reactor6!AR68</f>
        <v>0.75470700363333332</v>
      </c>
      <c r="AG18" s="156">
        <f>Reactor6!AS68</f>
        <v>1.9543923437749999</v>
      </c>
      <c r="AH18" s="156">
        <f>Reactor6!AT68</f>
        <v>3.3829935788999999</v>
      </c>
      <c r="AI18" s="156">
        <f>Reactor6!AU68</f>
        <v>4.256623676857143</v>
      </c>
    </row>
    <row r="19" spans="1:35" ht="15.75" customHeight="1">
      <c r="A19" s="145" t="s">
        <v>522</v>
      </c>
      <c r="B19" s="146" t="s">
        <v>314</v>
      </c>
      <c r="C19" s="62">
        <v>1.19</v>
      </c>
      <c r="D19" s="62">
        <v>1.89</v>
      </c>
      <c r="E19" s="62">
        <v>3.01</v>
      </c>
      <c r="F19" s="62">
        <v>5.71</v>
      </c>
      <c r="G19" s="62">
        <v>6.83</v>
      </c>
      <c r="H19" s="62">
        <v>7.37</v>
      </c>
      <c r="O19" s="156">
        <f>Reactor1!AP69</f>
        <v>0.1759777665333333</v>
      </c>
      <c r="P19" s="156">
        <f>Reactor1!AQ69</f>
        <v>0.45628167689999999</v>
      </c>
      <c r="Q19" s="156">
        <f>Reactor1!AR69</f>
        <v>1.31800661485</v>
      </c>
      <c r="R19" s="287">
        <f>Reactor1!AS69</f>
        <v>2.9495078722666666</v>
      </c>
      <c r="S19" s="287">
        <f>Reactor1!AT69</f>
        <v>4.9393720626999995</v>
      </c>
      <c r="T19" s="156">
        <f>Reactor1!AU69</f>
        <v>6.5194925580571432</v>
      </c>
      <c r="U19" s="57"/>
      <c r="W19" s="156">
        <f>Reactor2!AP69</f>
        <v>0.13514893055999999</v>
      </c>
      <c r="X19" s="156">
        <f>Reactor2!AQ69</f>
        <v>0.44772602616666668</v>
      </c>
      <c r="Y19" s="156">
        <f>Reactor2!AR69</f>
        <v>1.3840424776</v>
      </c>
      <c r="Z19" s="156">
        <f>Reactor2!AS69</f>
        <v>3.1475186943999995</v>
      </c>
      <c r="AA19" s="156">
        <f>Reactor2!AT69</f>
        <v>5.1881694793666666</v>
      </c>
      <c r="AB19" s="156">
        <f>Reactor2!AU69</f>
        <v>6.7408412694874995</v>
      </c>
      <c r="AD19" s="156">
        <f>Reactor6!AP69</f>
        <v>0.23803768458000002</v>
      </c>
      <c r="AE19" s="156">
        <f>Reactor6!AQ69</f>
        <v>0.79640370608</v>
      </c>
      <c r="AF19" s="156">
        <f>Reactor6!AR69</f>
        <v>1.9181292653166666</v>
      </c>
      <c r="AG19" s="156">
        <f>Reactor6!AS69</f>
        <v>4.1354776620999996</v>
      </c>
      <c r="AH19" s="156">
        <f>Reactor6!AT69</f>
        <v>6.2375764846999999</v>
      </c>
      <c r="AI19" s="156">
        <f>Reactor6!AU69</f>
        <v>7.6258628708857135</v>
      </c>
    </row>
    <row r="20" spans="1:35" ht="15" customHeight="1">
      <c r="A20" s="145" t="s">
        <v>523</v>
      </c>
      <c r="B20" s="146" t="s">
        <v>314</v>
      </c>
      <c r="C20" s="62">
        <v>0.19</v>
      </c>
      <c r="D20" s="62">
        <v>0.32</v>
      </c>
      <c r="E20" s="62">
        <v>0.51</v>
      </c>
      <c r="F20" s="62">
        <v>0.84</v>
      </c>
      <c r="G20" s="62">
        <v>0.98</v>
      </c>
      <c r="H20" s="62">
        <v>1</v>
      </c>
      <c r="O20" s="156">
        <f>Reactor1!AP70</f>
        <v>4.6611587216666667E-2</v>
      </c>
      <c r="P20" s="156">
        <f>Reactor1!AQ70</f>
        <v>9.3505900350000004E-2</v>
      </c>
      <c r="Q20" s="156">
        <f>Reactor1!AR70</f>
        <v>0.26817069201666666</v>
      </c>
      <c r="R20" s="287">
        <f>Reactor1!AS70</f>
        <v>0.55936423936666657</v>
      </c>
      <c r="S20" s="287">
        <f>Reactor1!AT70</f>
        <v>0.80997959769999994</v>
      </c>
      <c r="T20" s="156">
        <f>Reactor1!AU70</f>
        <v>0.92218039718571432</v>
      </c>
      <c r="U20" s="57"/>
      <c r="W20" s="156">
        <f>Reactor2!AP70</f>
        <v>2.992901094E-2</v>
      </c>
      <c r="X20" s="156">
        <f>Reactor2!AQ70</f>
        <v>8.9108296966666667E-2</v>
      </c>
      <c r="Y20" s="156">
        <f>Reactor2!AR70</f>
        <v>0.27140337825999994</v>
      </c>
      <c r="Z20" s="156">
        <f>Reactor2!AS70</f>
        <v>0.57152581212499998</v>
      </c>
      <c r="AA20" s="156">
        <f>Reactor2!AT70</f>
        <v>0.8152143557999999</v>
      </c>
      <c r="AB20" s="156">
        <f>Reactor2!AU70</f>
        <v>0.93642105907499984</v>
      </c>
      <c r="AD20" s="156">
        <f>Reactor6!AP70</f>
        <v>4.9261364320000001E-2</v>
      </c>
      <c r="AE20" s="156">
        <f>Reactor6!AQ70</f>
        <v>0.16560509202000001</v>
      </c>
      <c r="AF20" s="156">
        <f>Reactor6!AR70</f>
        <v>0.38074714938333337</v>
      </c>
      <c r="AG20" s="156">
        <f>Reactor6!AS70</f>
        <v>0.71728797257499999</v>
      </c>
      <c r="AH20" s="156">
        <f>Reactor6!AT70</f>
        <v>0.90490567685000001</v>
      </c>
      <c r="AI20" s="156">
        <f>Reactor6!AU70</f>
        <v>0.98958079304285729</v>
      </c>
    </row>
    <row r="21" spans="1:35" ht="15.75" customHeight="1">
      <c r="A21" s="145" t="s">
        <v>524</v>
      </c>
      <c r="B21" s="146" t="s">
        <v>314</v>
      </c>
      <c r="C21" s="62">
        <v>0.04</v>
      </c>
      <c r="D21" s="62">
        <v>0.27</v>
      </c>
      <c r="E21" s="62">
        <v>0.12</v>
      </c>
      <c r="F21" s="62">
        <v>1.89</v>
      </c>
      <c r="G21" s="62">
        <v>0.3</v>
      </c>
      <c r="H21" s="62">
        <v>0.34</v>
      </c>
      <c r="O21" s="156">
        <f>Reactor1!AP71</f>
        <v>0.11103830983333333</v>
      </c>
      <c r="P21" s="156">
        <f>Reactor1!AQ71</f>
        <v>0.12362580184999999</v>
      </c>
      <c r="Q21" s="156">
        <f>Reactor1!AR71</f>
        <v>0.3377660363833333</v>
      </c>
      <c r="R21" s="287">
        <f>Reactor1!AS71</f>
        <v>0.67815647523333322</v>
      </c>
      <c r="S21" s="287">
        <f>Reactor1!AT71</f>
        <v>0.95146367946666677</v>
      </c>
      <c r="T21" s="156">
        <f>Reactor1!AU71</f>
        <v>1.1278438908714286</v>
      </c>
      <c r="U21" s="57"/>
      <c r="W21" s="156">
        <f>Reactor2!AP71</f>
        <v>5.8085567480000003E-2</v>
      </c>
      <c r="X21" s="156">
        <f>Reactor2!AQ71</f>
        <v>0.11856028311666666</v>
      </c>
      <c r="Y21" s="156">
        <f>Reactor2!AR71</f>
        <v>0.34451573487999998</v>
      </c>
      <c r="Z21" s="156">
        <f>Reactor2!AS71</f>
        <v>0.70710484685000008</v>
      </c>
      <c r="AA21" s="156">
        <f>Reactor2!AT71</f>
        <v>0.99798466759999993</v>
      </c>
      <c r="AB21" s="156">
        <f>Reactor2!AU71</f>
        <v>1.2422807812624999</v>
      </c>
      <c r="AD21" s="156">
        <f>Reactor6!AP71</f>
        <v>8.0314946179999985E-2</v>
      </c>
      <c r="AE21" s="156">
        <f>Reactor6!AQ71</f>
        <v>0.21619653704</v>
      </c>
      <c r="AF21" s="156">
        <f>Reactor6!AR71</f>
        <v>0.47558252016666663</v>
      </c>
      <c r="AG21" s="156">
        <f>Reactor6!AS71</f>
        <v>0.85724447667500003</v>
      </c>
      <c r="AH21" s="156">
        <f>Reactor6!AT71</f>
        <v>1.0459608435500001</v>
      </c>
      <c r="AI21" s="156">
        <f>Reactor6!AU71</f>
        <v>1.2399947473142858</v>
      </c>
    </row>
    <row r="22" spans="1:35" ht="15" customHeight="1">
      <c r="A22" s="145" t="s">
        <v>525</v>
      </c>
      <c r="B22" s="146" t="s">
        <v>314</v>
      </c>
      <c r="C22" s="62">
        <v>0.26</v>
      </c>
      <c r="D22" s="62">
        <v>0.47</v>
      </c>
      <c r="E22" s="62">
        <v>0.72</v>
      </c>
      <c r="F22" s="62">
        <v>1.41</v>
      </c>
      <c r="G22" s="62">
        <v>1.4</v>
      </c>
      <c r="H22" s="62">
        <v>1.39</v>
      </c>
      <c r="O22" s="156">
        <f>Reactor1!AP72</f>
        <v>5.0092210166666672E-2</v>
      </c>
      <c r="P22" s="156">
        <f>Reactor1!AQ72</f>
        <v>8.5691281000000001E-3</v>
      </c>
      <c r="Q22" s="156">
        <f>Reactor1!AR72</f>
        <v>2.7773999300000001E-2</v>
      </c>
      <c r="R22" s="287">
        <f>Reactor1!AS72</f>
        <v>8.1292969466666656E-2</v>
      </c>
      <c r="S22" s="287">
        <f>Reactor1!AT72</f>
        <v>0.17998419206666669</v>
      </c>
      <c r="T22" s="156">
        <f>Reactor1!AU72</f>
        <v>0.27625741277142862</v>
      </c>
      <c r="U22" s="57"/>
      <c r="W22" s="156">
        <f>Reactor2!AP72</f>
        <v>1.8431860019999999E-2</v>
      </c>
      <c r="X22" s="156">
        <f>Reactor2!AQ72</f>
        <v>8.5826392166666668E-3</v>
      </c>
      <c r="Y22" s="156">
        <f>Reactor2!AR72</f>
        <v>3.0756418019999999E-2</v>
      </c>
      <c r="Z22" s="156">
        <f>Reactor2!AS72</f>
        <v>9.3935465425000003E-2</v>
      </c>
      <c r="AA22" s="156">
        <f>Reactor2!AT72</f>
        <v>0.20203010736666668</v>
      </c>
      <c r="AB22" s="156">
        <f>Reactor2!AU72</f>
        <v>0.31037444996250002</v>
      </c>
      <c r="AD22" s="156">
        <f>Reactor6!AP72</f>
        <v>1.3083891659999999E-2</v>
      </c>
      <c r="AE22" s="156">
        <f>Reactor6!AQ72</f>
        <v>1.3139796040000002E-2</v>
      </c>
      <c r="AF22" s="156">
        <f>Reactor6!AR72</f>
        <v>3.9329901333333334E-2</v>
      </c>
      <c r="AG22" s="156">
        <f>Reactor6!AS72</f>
        <v>0.11881280505</v>
      </c>
      <c r="AH22" s="156">
        <f>Reactor6!AT72</f>
        <v>0.24144472929999999</v>
      </c>
      <c r="AI22" s="156">
        <f>Reactor6!AU72</f>
        <v>0.35072954212857138</v>
      </c>
    </row>
    <row r="23" spans="1:35">
      <c r="A23" s="145" t="s">
        <v>526</v>
      </c>
      <c r="B23" s="146" t="s">
        <v>314</v>
      </c>
      <c r="C23" s="62">
        <v>0.19</v>
      </c>
      <c r="D23" s="62">
        <v>0.25</v>
      </c>
      <c r="E23" s="62">
        <v>0.44</v>
      </c>
      <c r="F23" s="62">
        <v>0.92</v>
      </c>
      <c r="G23" s="62">
        <v>1.62</v>
      </c>
      <c r="H23" s="62">
        <v>2.09</v>
      </c>
      <c r="O23" s="156">
        <f>Reactor1!AP73</f>
        <v>3.0145692633333332E-2</v>
      </c>
      <c r="P23" s="156">
        <f>Reactor1!AQ73</f>
        <v>8.9493861399999999E-2</v>
      </c>
      <c r="Q23" s="156">
        <f>Reactor1!AR73</f>
        <v>0.28666518628333332</v>
      </c>
      <c r="R23" s="287">
        <f>Reactor1!AS73</f>
        <v>0.83432594933333337</v>
      </c>
      <c r="S23" s="287">
        <f>Reactor1!AT73</f>
        <v>2.0870055357666666</v>
      </c>
      <c r="T23" s="156">
        <f>Reactor1!AU73</f>
        <v>3.2757680415999997</v>
      </c>
      <c r="U23" s="57"/>
      <c r="W23" s="156">
        <f>Reactor2!AP73</f>
        <v>2.999734766E-2</v>
      </c>
      <c r="X23" s="156">
        <f>Reactor2!AQ73</f>
        <v>8.8996717116666665E-2</v>
      </c>
      <c r="Y23" s="156">
        <f>Reactor2!AR73</f>
        <v>0.2935738504</v>
      </c>
      <c r="Z23" s="156">
        <f>Reactor2!AS73</f>
        <v>0.85818025467499992</v>
      </c>
      <c r="AA23" s="156">
        <f>Reactor2!AT73</f>
        <v>2.0621579488333333</v>
      </c>
      <c r="AB23" s="156">
        <f>Reactor2!AU73</f>
        <v>3.0158104896625</v>
      </c>
      <c r="AD23" s="156">
        <f>Reactor6!AP73</f>
        <v>5.19674465E-2</v>
      </c>
      <c r="AE23" s="156">
        <f>Reactor6!AQ73</f>
        <v>0.15788818596000001</v>
      </c>
      <c r="AF23" s="156">
        <f>Reactor6!AR73</f>
        <v>0.4536167408166667</v>
      </c>
      <c r="AG23" s="156">
        <f>Reactor6!AS73</f>
        <v>1.4218039512499998</v>
      </c>
      <c r="AH23" s="156">
        <f>Reactor6!AT73</f>
        <v>3.3382216692000002</v>
      </c>
      <c r="AI23" s="156">
        <f>Reactor6!AU73</f>
        <v>4.886654581328572</v>
      </c>
    </row>
    <row r="24" spans="1:35">
      <c r="A24" s="145" t="s">
        <v>527</v>
      </c>
      <c r="B24" s="146" t="s">
        <v>314</v>
      </c>
      <c r="C24" s="62">
        <v>0.8</v>
      </c>
      <c r="D24" s="62">
        <v>1.04</v>
      </c>
      <c r="E24" s="62">
        <v>1.84</v>
      </c>
      <c r="F24" s="62">
        <v>3.31</v>
      </c>
      <c r="G24" s="62">
        <v>5.24</v>
      </c>
      <c r="H24" s="62">
        <v>6.35</v>
      </c>
      <c r="O24" s="156">
        <f>Reactor1!AP74</f>
        <v>0.16260277481666666</v>
      </c>
      <c r="P24" s="156">
        <f>Reactor1!AQ74</f>
        <v>0.41467427462499995</v>
      </c>
      <c r="Q24" s="156">
        <f>Reactor1!AR74</f>
        <v>1.0816975633333332</v>
      </c>
      <c r="R24" s="287">
        <f>Reactor1!AS74</f>
        <v>2.4984406629999998</v>
      </c>
      <c r="S24" s="287">
        <f>Reactor1!AT74</f>
        <v>4.5844084421666667</v>
      </c>
      <c r="T24" s="156">
        <f>Reactor1!AU74</f>
        <v>5.9963652746999996</v>
      </c>
      <c r="U24" s="57"/>
      <c r="W24" s="156">
        <f>Reactor2!AP74</f>
        <v>0.16346060634000001</v>
      </c>
      <c r="X24" s="156">
        <f>Reactor2!AQ74</f>
        <v>0.40203640856666661</v>
      </c>
      <c r="Y24" s="156">
        <f>Reactor2!AR74</f>
        <v>1.0922171592600001</v>
      </c>
      <c r="Z24" s="156">
        <f>Reactor2!AS74</f>
        <v>2.5185192227250002</v>
      </c>
      <c r="AA24" s="156">
        <f>Reactor2!AT74</f>
        <v>4.7092638015666664</v>
      </c>
      <c r="AB24" s="156">
        <f>Reactor2!AU74</f>
        <v>5.9001514315624997</v>
      </c>
      <c r="AD24" s="156">
        <f>Reactor6!AP74</f>
        <v>0.28992414474</v>
      </c>
      <c r="AE24" s="156">
        <f>Reactor6!AQ74</f>
        <v>0.75129736662000002</v>
      </c>
      <c r="AF24" s="156">
        <f>Reactor6!AR74</f>
        <v>1.7410798271500001</v>
      </c>
      <c r="AG24" s="156">
        <f>Reactor6!AS74</f>
        <v>4.0558284521000001</v>
      </c>
      <c r="AH24" s="156">
        <f>Reactor6!AT74</f>
        <v>6.5810711383499996</v>
      </c>
      <c r="AI24" s="156">
        <f>Reactor6!AU74</f>
        <v>7.5501709665571415</v>
      </c>
    </row>
    <row r="25" spans="1:35">
      <c r="A25" s="145" t="s">
        <v>528</v>
      </c>
      <c r="B25" s="146" t="s">
        <v>314</v>
      </c>
      <c r="C25" s="62">
        <v>2.66</v>
      </c>
      <c r="D25" s="62">
        <v>3.83</v>
      </c>
      <c r="E25" s="62">
        <v>6.04</v>
      </c>
      <c r="F25" s="62">
        <v>11.56</v>
      </c>
      <c r="G25" s="62">
        <v>17.77</v>
      </c>
      <c r="H25" s="62">
        <v>21.14</v>
      </c>
      <c r="O25" s="156">
        <f>Reactor1!AP75</f>
        <v>1.4961767991333332</v>
      </c>
      <c r="P25" s="156">
        <f>Reactor1!AQ75</f>
        <v>3.2875584960249999</v>
      </c>
      <c r="Q25" s="156">
        <f>Reactor1!AR75</f>
        <v>7.1313514709500012</v>
      </c>
      <c r="R25" s="287">
        <f>Reactor1!AS75</f>
        <v>13.814141591366669</v>
      </c>
      <c r="S25" s="287">
        <f>Reactor1!AT75</f>
        <v>21.513576507566668</v>
      </c>
      <c r="T25" s="156">
        <f>Reactor1!AU75</f>
        <v>25.78155926294286</v>
      </c>
      <c r="U25" s="57"/>
      <c r="W25" s="156">
        <f>Reactor2!AP75</f>
        <v>1.4748686790400003</v>
      </c>
      <c r="X25" s="156">
        <f>Reactor2!AQ75</f>
        <v>2.9760751724333332</v>
      </c>
      <c r="Y25" s="156">
        <f>Reactor2!AR75</f>
        <v>6.7428935051000014</v>
      </c>
      <c r="Z25" s="156">
        <f>Reactor2!AS75</f>
        <v>13.266104698174999</v>
      </c>
      <c r="AA25" s="156">
        <f>Reactor2!AT75</f>
        <v>21.54633458453333</v>
      </c>
      <c r="AB25" s="156">
        <f>Reactor2!AU75</f>
        <v>24.913780689237498</v>
      </c>
      <c r="AD25" s="156">
        <f>Reactor6!AP75</f>
        <v>2.69141983984</v>
      </c>
      <c r="AE25" s="156">
        <f>Reactor6!AQ75</f>
        <v>5.5265275001400003</v>
      </c>
      <c r="AF25" s="156">
        <f>Reactor6!AR75</f>
        <v>10.290710608166668</v>
      </c>
      <c r="AG25" s="156">
        <f>Reactor6!AS75</f>
        <v>19.431219100925002</v>
      </c>
      <c r="AH25" s="156">
        <f>Reactor6!AT75</f>
        <v>27.194264411950002</v>
      </c>
      <c r="AI25" s="156">
        <f>Reactor6!AU75</f>
        <v>29.353304454285713</v>
      </c>
    </row>
    <row r="26" spans="1:35">
      <c r="A26" s="145" t="s">
        <v>529</v>
      </c>
      <c r="B26" s="146" t="s">
        <v>314</v>
      </c>
      <c r="C26" s="62">
        <v>1.86</v>
      </c>
      <c r="D26" s="62">
        <v>2.36</v>
      </c>
      <c r="E26" s="62">
        <v>3.63</v>
      </c>
      <c r="F26" s="62">
        <v>6.92</v>
      </c>
      <c r="G26" s="62">
        <v>11.05</v>
      </c>
      <c r="H26" s="62">
        <v>13.29</v>
      </c>
      <c r="O26" s="156">
        <f>Reactor1!AP76</f>
        <v>1.1717635194333333</v>
      </c>
      <c r="P26" s="156">
        <f>Reactor1!AQ76</f>
        <v>2.1864562630750002</v>
      </c>
      <c r="Q26" s="156">
        <f>Reactor1!AR76</f>
        <v>4.44491934775</v>
      </c>
      <c r="R26" s="287">
        <f>Reactor1!AS76</f>
        <v>8.6313142776666663</v>
      </c>
      <c r="S26" s="287">
        <f>Reactor1!AT76</f>
        <v>13.653184890766667</v>
      </c>
      <c r="T26" s="156">
        <f>Reactor1!AU76</f>
        <v>16.317773818971428</v>
      </c>
      <c r="U26" s="57"/>
      <c r="W26" s="156">
        <f>Reactor2!AP76</f>
        <v>1.1675606250599999</v>
      </c>
      <c r="X26" s="156">
        <f>Reactor2!AQ76</f>
        <v>1.9788962801166667</v>
      </c>
      <c r="Y26" s="156">
        <f>Reactor2!AR76</f>
        <v>4.1566121101400002</v>
      </c>
      <c r="Z26" s="156">
        <f>Reactor2!AS76</f>
        <v>8.2230811119000009</v>
      </c>
      <c r="AA26" s="156">
        <f>Reactor2!AT76</f>
        <v>13.616668065366667</v>
      </c>
      <c r="AB26" s="156">
        <f>Reactor2!AU76</f>
        <v>15.720689296737499</v>
      </c>
      <c r="AD26" s="156">
        <f>Reactor6!AP76</f>
        <v>1.8774731635999999</v>
      </c>
      <c r="AE26" s="156">
        <f>Reactor6!AQ76</f>
        <v>3.5084738254599999</v>
      </c>
      <c r="AF26" s="156">
        <f>Reactor6!AR76</f>
        <v>6.4043904145666666</v>
      </c>
      <c r="AG26" s="156">
        <f>Reactor6!AS76</f>
        <v>12.225821971875</v>
      </c>
      <c r="AH26" s="156">
        <f>Reactor6!AT76</f>
        <v>17.3219509125</v>
      </c>
      <c r="AI26" s="156">
        <f>Reactor6!AU76</f>
        <v>18.671933310371429</v>
      </c>
    </row>
    <row r="27" spans="1:35">
      <c r="A27" s="145" t="s">
        <v>530</v>
      </c>
      <c r="B27" s="146" t="s">
        <v>314</v>
      </c>
      <c r="C27" s="62">
        <v>75.31</v>
      </c>
      <c r="D27" s="62">
        <v>73.42</v>
      </c>
      <c r="E27" s="62">
        <v>70.11</v>
      </c>
      <c r="F27" s="62">
        <v>57.1</v>
      </c>
      <c r="G27" s="62">
        <v>46.3</v>
      </c>
      <c r="H27" s="62">
        <v>39.49</v>
      </c>
      <c r="O27" s="156">
        <f>Reactor1!AP77</f>
        <v>82.24153137206666</v>
      </c>
      <c r="P27" s="156">
        <f>Reactor1!AQ77</f>
        <v>78.53567886354999</v>
      </c>
      <c r="Q27" s="156">
        <f>Reactor1!AR77</f>
        <v>71.29987208046667</v>
      </c>
      <c r="R27" s="287">
        <f>Reactor1!AS77</f>
        <v>58.08518854776667</v>
      </c>
      <c r="S27" s="287">
        <f>Reactor1!AT77</f>
        <v>41.478556315133332</v>
      </c>
      <c r="T27" s="156">
        <f>Reactor1!AU77</f>
        <v>31.761118480157144</v>
      </c>
      <c r="U27" s="57"/>
      <c r="W27" s="156">
        <f>Reactor2!AP77</f>
        <v>82.746240234379997</v>
      </c>
      <c r="X27" s="156">
        <f>Reactor2!AQ77</f>
        <v>79.099427541099999</v>
      </c>
      <c r="Y27" s="156">
        <f>Reactor2!AR77</f>
        <v>71.956343078619994</v>
      </c>
      <c r="Z27" s="156">
        <f>Reactor2!AS77</f>
        <v>58.904511451725</v>
      </c>
      <c r="AA27" s="156">
        <f>Reactor2!AT77</f>
        <v>41.548187255866672</v>
      </c>
      <c r="AB27" s="156">
        <f>Reactor2!AU77</f>
        <v>33.250989437100003</v>
      </c>
      <c r="AD27" s="156">
        <f>Reactor6!AP77</f>
        <v>80.624520874040002</v>
      </c>
      <c r="AE27" s="156">
        <f>Reactor6!AQ77</f>
        <v>74.431773376479995</v>
      </c>
      <c r="AF27" s="156">
        <f>Reactor6!AR77</f>
        <v>65.212171554549997</v>
      </c>
      <c r="AG27" s="156">
        <f>Reactor6!AS77</f>
        <v>46.531454086300002</v>
      </c>
      <c r="AH27" s="156">
        <f>Reactor6!AT77</f>
        <v>28.988950729400003</v>
      </c>
      <c r="AI27" s="156">
        <f>Reactor6!AU77</f>
        <v>22.373192378471426</v>
      </c>
    </row>
    <row r="28" spans="1:35">
      <c r="A28" s="145" t="s">
        <v>531</v>
      </c>
      <c r="B28" s="146" t="s">
        <v>314</v>
      </c>
      <c r="C28" s="62">
        <v>0</v>
      </c>
      <c r="D28" s="62">
        <v>0</v>
      </c>
      <c r="E28" s="62">
        <v>0</v>
      </c>
      <c r="F28" s="62">
        <v>0</v>
      </c>
      <c r="G28" s="62">
        <v>0</v>
      </c>
      <c r="H28" s="62">
        <v>0</v>
      </c>
      <c r="O28" s="156">
        <f>Reactor1!AP78</f>
        <v>0.45968837538333335</v>
      </c>
      <c r="P28" s="156">
        <f>Reactor1!AQ78</f>
        <v>0.38327834755000001</v>
      </c>
      <c r="Q28" s="156">
        <f>Reactor1!AR78</f>
        <v>0.32698130608333337</v>
      </c>
      <c r="R28" s="287">
        <f>Reactor1!AS78</f>
        <v>0.32499023276666672</v>
      </c>
      <c r="S28" s="287">
        <f>Reactor1!AT78</f>
        <v>0.31417325140000002</v>
      </c>
      <c r="T28" s="156">
        <f>Reactor1!AU78</f>
        <v>0.26964047125714286</v>
      </c>
      <c r="U28" s="57"/>
      <c r="W28" s="156">
        <f>Reactor2!AP78</f>
        <v>0.46671768427999999</v>
      </c>
      <c r="X28" s="156">
        <f>Reactor2!AQ78</f>
        <v>0.36812421183333327</v>
      </c>
      <c r="Y28" s="156">
        <f>Reactor2!AR78</f>
        <v>0.30372283457999999</v>
      </c>
      <c r="Z28" s="156">
        <f>Reactor2!AS78</f>
        <v>0.304912447925</v>
      </c>
      <c r="AA28" s="156">
        <f>Reactor2!AT78</f>
        <v>0.29330725470000002</v>
      </c>
      <c r="AB28" s="156">
        <f>Reactor2!AU78</f>
        <v>0.237675512225</v>
      </c>
      <c r="AD28" s="156">
        <f>Reactor6!AP78</f>
        <v>0.43744956256</v>
      </c>
      <c r="AE28" s="156">
        <f>Reactor6!AQ78</f>
        <v>0.36062113643999999</v>
      </c>
      <c r="AF28" s="156">
        <f>Reactor6!AR78</f>
        <v>0.33523737390000002</v>
      </c>
      <c r="AG28" s="156">
        <f>Reactor6!AS78</f>
        <v>0.33186645804999998</v>
      </c>
      <c r="AH28" s="156">
        <f>Reactor6!AT78</f>
        <v>0.29791058599999998</v>
      </c>
      <c r="AI28" s="156">
        <f>Reactor6!AU78</f>
        <v>0.25318242184285716</v>
      </c>
    </row>
    <row r="29" spans="1:35">
      <c r="A29" s="145" t="s">
        <v>532</v>
      </c>
      <c r="B29" s="146" t="s">
        <v>314</v>
      </c>
      <c r="C29" s="62">
        <v>1.23</v>
      </c>
      <c r="D29" s="62">
        <v>1.66</v>
      </c>
      <c r="E29" s="62">
        <v>2.12</v>
      </c>
      <c r="F29" s="62">
        <v>2.54</v>
      </c>
      <c r="G29" s="62">
        <v>2.2000000000000002</v>
      </c>
      <c r="H29" s="62">
        <v>1.73</v>
      </c>
      <c r="O29" s="156">
        <f>SUM(Reactor1!AP79:AP80)+Reactor1!AP84</f>
        <v>1.3357837945333333</v>
      </c>
      <c r="P29" s="156">
        <f>SUM(Reactor1!AQ79:AQ80)+Reactor1!AQ84</f>
        <v>2.5066382735749997</v>
      </c>
      <c r="Q29" s="156">
        <f>SUM(Reactor1!AR79:AR80)+Reactor1!AR84</f>
        <v>4.2238785226666664</v>
      </c>
      <c r="R29" s="287">
        <f>SUM(Reactor1!AS79:AS80)+Reactor1!AS84</f>
        <v>5.5003908873</v>
      </c>
      <c r="S29" s="287">
        <f>SUM(Reactor1!AT79:AT80)+Reactor1!AT84</f>
        <v>4.8586090405666669</v>
      </c>
      <c r="T29" s="156">
        <f>SUM(Reactor1!AU79:AU80)+Reactor1!AU84</f>
        <v>3.3624065007571424</v>
      </c>
      <c r="U29" s="57"/>
      <c r="W29" s="156">
        <f>SUM(Reactor2!AP79:AP80)+Reactor2!AP84</f>
        <v>1.2707997977800001</v>
      </c>
      <c r="X29" s="156">
        <f>SUM(Reactor2!AQ79:AQ80)+Reactor2!AQ84</f>
        <v>2.2502276897666671</v>
      </c>
      <c r="Y29" s="156">
        <f>SUM(Reactor2!AR79:AR80)+Reactor2!AR84</f>
        <v>3.9040230035399999</v>
      </c>
      <c r="Z29" s="156">
        <f>SUM(Reactor2!AS79:AS80)+Reactor2!AS84</f>
        <v>5.0519832372</v>
      </c>
      <c r="AA29" s="156">
        <f>SUM(Reactor2!AT79:AT80)+Reactor2!AT84</f>
        <v>4.5544751088000002</v>
      </c>
      <c r="AB29" s="156">
        <f>SUM(Reactor2!AU79:AU80)+Reactor2!AU84</f>
        <v>3.2109263539124999</v>
      </c>
      <c r="AD29" s="156">
        <f>SUM(Reactor6!AP79:AP80)+Reactor6!AP84</f>
        <v>2.1518466949600001</v>
      </c>
      <c r="AE29" s="156">
        <f>SUM(Reactor6!AQ79:AQ80)+Reactor6!AQ84</f>
        <v>3.71047952172</v>
      </c>
      <c r="AF29" s="156">
        <f>SUM(Reactor6!AR79:AR80)+Reactor6!AR84</f>
        <v>5.1075518528833328</v>
      </c>
      <c r="AG29" s="156">
        <f>SUM(Reactor6!AS79:AS80)+Reactor6!AS84</f>
        <v>5.5518217086249999</v>
      </c>
      <c r="AH29" s="156">
        <f>SUM(Reactor6!AT79:AT80)+Reactor6!AT84</f>
        <v>3.58540165425</v>
      </c>
      <c r="AI29" s="156">
        <f>SUM(Reactor6!AU79:AU80)+Reactor6!AU84</f>
        <v>1.9791755931571426</v>
      </c>
    </row>
    <row r="30" spans="1:35">
      <c r="A30" s="145" t="s">
        <v>533</v>
      </c>
      <c r="B30" s="146" t="s">
        <v>314</v>
      </c>
      <c r="C30" s="62">
        <v>8.43</v>
      </c>
      <c r="D30" s="62">
        <v>7.72</v>
      </c>
      <c r="E30" s="62">
        <v>6.37</v>
      </c>
      <c r="F30" s="62">
        <v>3.68</v>
      </c>
      <c r="G30" s="62">
        <v>1.87</v>
      </c>
      <c r="H30" s="62">
        <v>1.0900000000000001</v>
      </c>
      <c r="O30" s="156">
        <f>Reactor1!AP81</f>
        <v>8.5736406644166667</v>
      </c>
      <c r="P30" s="156">
        <f>Reactor1!AQ81</f>
        <v>7.5470554828749998</v>
      </c>
      <c r="Q30" s="156">
        <f>Reactor1!AR81</f>
        <v>5.5620630582166681</v>
      </c>
      <c r="R30" s="287">
        <f>Reactor1!AS81</f>
        <v>3.1110772291666664</v>
      </c>
      <c r="S30" s="287">
        <f>Reactor1!AT81</f>
        <v>1.4529465437000002</v>
      </c>
      <c r="T30" s="156">
        <f>Reactor1!AU81</f>
        <v>0.65378676142857139</v>
      </c>
      <c r="U30" s="57"/>
      <c r="W30" s="156">
        <f>Reactor2!AP81</f>
        <v>8.593057441700001</v>
      </c>
      <c r="X30" s="156">
        <f>Reactor2!AQ81</f>
        <v>7.787592649483333</v>
      </c>
      <c r="Y30" s="156">
        <f>Reactor2!AR81</f>
        <v>5.8159106254399999</v>
      </c>
      <c r="Z30" s="156">
        <f>Reactor2!AS81</f>
        <v>3.3186097741</v>
      </c>
      <c r="AA30" s="156">
        <f>Reactor2!AT81</f>
        <v>1.3235686222666667</v>
      </c>
      <c r="AB30" s="156">
        <f>Reactor2!AU81</f>
        <v>0.69802327455000002</v>
      </c>
      <c r="AD30" s="156">
        <f>Reactor6!AP81</f>
        <v>7.7710816383400001</v>
      </c>
      <c r="AE30" s="156">
        <f>Reactor6!AQ81</f>
        <v>6.3344821930000004</v>
      </c>
      <c r="AF30" s="156">
        <f>Reactor6!AR81</f>
        <v>4.3651363054999992</v>
      </c>
      <c r="AG30" s="156">
        <f>Reactor6!AS81</f>
        <v>1.8258201777999998</v>
      </c>
      <c r="AH30" s="156">
        <f>Reactor6!AT81</f>
        <v>0.63290810585000001</v>
      </c>
      <c r="AI30" s="156">
        <f>Reactor6!AU81</f>
        <v>0.27265455039999997</v>
      </c>
    </row>
    <row r="31" spans="1:35">
      <c r="A31" s="145" t="s">
        <v>534</v>
      </c>
      <c r="B31" s="146" t="s">
        <v>314</v>
      </c>
      <c r="C31" s="62">
        <v>3.39</v>
      </c>
      <c r="D31" s="62">
        <v>2.66</v>
      </c>
      <c r="E31" s="62">
        <v>1.55</v>
      </c>
      <c r="F31" s="62">
        <v>0.43</v>
      </c>
      <c r="G31" s="62">
        <v>0.16</v>
      </c>
      <c r="H31" s="62">
        <v>0</v>
      </c>
      <c r="O31" s="156">
        <f>Reactor1!AP82</f>
        <v>2.9723109404500003</v>
      </c>
      <c r="P31" s="156">
        <f>Reactor1!AQ82</f>
        <v>2.4726780652999998</v>
      </c>
      <c r="Q31" s="156">
        <f>Reactor1!AR82</f>
        <v>1.2287899057166667</v>
      </c>
      <c r="R31" s="287">
        <f>Reactor1!AS82</f>
        <v>0.35638288656666667</v>
      </c>
      <c r="S31" s="287">
        <f>Reactor1!AT82</f>
        <v>9.4961610933333329E-2</v>
      </c>
      <c r="T31" s="156">
        <f>Reactor1!AU82</f>
        <v>1.3279003471428573E-2</v>
      </c>
      <c r="U31" s="57"/>
      <c r="W31" s="156">
        <f>Reactor2!AP82</f>
        <v>2.8780983448000002</v>
      </c>
      <c r="X31" s="156">
        <f>Reactor2!AQ82</f>
        <v>2.6947902441166662</v>
      </c>
      <c r="Y31" s="156">
        <f>Reactor2!AR82</f>
        <v>1.3734730958799999</v>
      </c>
      <c r="Z31" s="156">
        <f>Reactor2!AS82</f>
        <v>0.42482089252499999</v>
      </c>
      <c r="AA31" s="156">
        <f>Reactor2!AT82</f>
        <v>5.9120154599999995E-2</v>
      </c>
      <c r="AB31" s="156">
        <f>Reactor2!AU82</f>
        <v>1.4085637287500001E-2</v>
      </c>
      <c r="AD31" s="156">
        <f>Reactor6!AP82</f>
        <v>2.2480612993199998</v>
      </c>
      <c r="AE31" s="156">
        <f>Reactor6!AQ82</f>
        <v>1.6501078605599999</v>
      </c>
      <c r="AF31" s="156">
        <f>Reactor6!AR82</f>
        <v>0.77662177880000005</v>
      </c>
      <c r="AG31" s="156">
        <f>Reactor6!AS82</f>
        <v>0.11956345662499999</v>
      </c>
      <c r="AH31" s="156">
        <f>Reactor6!AT82</f>
        <v>1.3302810450000001E-2</v>
      </c>
      <c r="AI31" s="156">
        <f>Reactor6!AU82</f>
        <v>4.329364085714286E-3</v>
      </c>
    </row>
    <row r="32" spans="1:35">
      <c r="A32" s="145" t="s">
        <v>535</v>
      </c>
      <c r="B32" s="146" t="s">
        <v>314</v>
      </c>
      <c r="C32" s="62">
        <v>3.91</v>
      </c>
      <c r="D32" s="62">
        <v>3.33</v>
      </c>
      <c r="E32" s="62">
        <v>2.2000000000000002</v>
      </c>
      <c r="F32" s="62">
        <v>0.99</v>
      </c>
      <c r="G32" s="62">
        <v>0.56000000000000005</v>
      </c>
      <c r="H32" s="62">
        <v>0.61</v>
      </c>
      <c r="O32" s="156">
        <f>Reactor1!AP85</f>
        <v>1.0111235777500001</v>
      </c>
      <c r="P32" s="156">
        <f>Reactor1!AQ85</f>
        <v>1.7427101433250001</v>
      </c>
      <c r="Q32" s="156">
        <f>Reactor1!AR85</f>
        <v>1.9568783044833333</v>
      </c>
      <c r="R32" s="287">
        <f>Reactor1!AS85</f>
        <v>1.2807996670666666</v>
      </c>
      <c r="S32" s="287">
        <f>Reactor1!AT85</f>
        <v>0.54243002336666668</v>
      </c>
      <c r="T32" s="156">
        <f>Reactor1!AU85</f>
        <v>0.21358456782857146</v>
      </c>
      <c r="U32" s="57"/>
      <c r="W32" s="156">
        <f>Reactor2!AP85</f>
        <v>0.88697270154000007</v>
      </c>
      <c r="X32" s="156">
        <f>Reactor2!AQ85</f>
        <v>1.5398049155999998</v>
      </c>
      <c r="Y32" s="156">
        <f>Reactor2!AR85</f>
        <v>1.7962367057800002</v>
      </c>
      <c r="Z32" s="156">
        <f>Reactor2!AS85</f>
        <v>1.2048651874</v>
      </c>
      <c r="AA32" s="156">
        <f>Reactor2!AT85</f>
        <v>0.43829378483333331</v>
      </c>
      <c r="AB32" s="156">
        <f>Reactor2!AU85</f>
        <v>0.24228111281249998</v>
      </c>
      <c r="AD32" s="156">
        <f>Reactor6!AP85</f>
        <v>1.38578257562</v>
      </c>
      <c r="AE32" s="156">
        <f>Reactor6!AQ85</f>
        <v>2.1052842617</v>
      </c>
      <c r="AF32" s="156">
        <f>Reactor6!AR85</f>
        <v>1.7344651023666666</v>
      </c>
      <c r="AG32" s="156">
        <f>Reactor6!AS85</f>
        <v>0.69996777180000014</v>
      </c>
      <c r="AH32" s="156">
        <f>Reactor6!AT85</f>
        <v>0.19871219995</v>
      </c>
      <c r="AI32" s="156">
        <f>Reactor6!AU85</f>
        <v>0.15130811078571429</v>
      </c>
    </row>
    <row r="33" spans="1:35">
      <c r="A33" s="145" t="s">
        <v>536</v>
      </c>
      <c r="B33" s="146" t="s">
        <v>314</v>
      </c>
      <c r="C33" s="293" t="s">
        <v>112</v>
      </c>
      <c r="D33" s="293" t="s">
        <v>112</v>
      </c>
      <c r="E33" s="293" t="s">
        <v>112</v>
      </c>
      <c r="F33" s="293" t="s">
        <v>112</v>
      </c>
      <c r="G33" s="293" t="s">
        <v>112</v>
      </c>
      <c r="H33" s="293" t="s">
        <v>112</v>
      </c>
      <c r="O33" s="156">
        <f>Reactor1!AP86</f>
        <v>0.11528807385000001</v>
      </c>
      <c r="P33" s="156">
        <f>Reactor1!AQ86</f>
        <v>1.2596441499999999E-3</v>
      </c>
      <c r="Q33" s="156">
        <f>Reactor1!AR86</f>
        <v>9.5537720999999999E-3</v>
      </c>
      <c r="R33" s="287">
        <f>Reactor1!AS86</f>
        <v>1.2389163166666666E-2</v>
      </c>
      <c r="S33" s="287">
        <f>Reactor1!AT86</f>
        <v>1.6174942266666666E-2</v>
      </c>
      <c r="T33" s="156">
        <f>Reactor1!AU86</f>
        <v>2.2709624042857143E-2</v>
      </c>
      <c r="U33" s="57"/>
      <c r="W33" s="156">
        <f>Reactor2!AP86</f>
        <v>4.0562542900000005E-2</v>
      </c>
      <c r="X33" s="156">
        <f>Reactor2!AQ86</f>
        <v>1.6685574833333334E-3</v>
      </c>
      <c r="Y33" s="156">
        <f>Reactor2!AR86</f>
        <v>1.161056588E-2</v>
      </c>
      <c r="Z33" s="156">
        <f>Reactor2!AS86</f>
        <v>1.8512574949999999E-2</v>
      </c>
      <c r="AA33" s="156">
        <f>Reactor2!AT86</f>
        <v>2.2179509199999999E-2</v>
      </c>
      <c r="AB33" s="156">
        <f>Reactor2!AU86</f>
        <v>3.02464256625E-2</v>
      </c>
      <c r="AD33" s="156">
        <f>Reactor6!AP86</f>
        <v>1.5473322880000001E-2</v>
      </c>
      <c r="AE33" s="156">
        <f>Reactor6!AQ86</f>
        <v>1.61328692E-3</v>
      </c>
      <c r="AF33" s="156">
        <f>Reactor6!AR86</f>
        <v>6.8809781333333334E-3</v>
      </c>
      <c r="AG33" s="156">
        <f>Reactor6!AS86</f>
        <v>1.2894347499999998E-2</v>
      </c>
      <c r="AH33" s="156">
        <f>Reactor6!AT86</f>
        <v>1.549020785E-2</v>
      </c>
      <c r="AI33" s="156">
        <f>Reactor6!AU86</f>
        <v>2.1337788842857142E-2</v>
      </c>
    </row>
    <row r="34" spans="1:35">
      <c r="A34" s="149" t="s">
        <v>11</v>
      </c>
      <c r="B34" s="150" t="s">
        <v>314</v>
      </c>
      <c r="C34" s="151">
        <f t="shared" ref="C34:H34" si="0">SUM(C16:C32)</f>
        <v>99.99</v>
      </c>
      <c r="D34" s="151">
        <f t="shared" si="0"/>
        <v>99.99</v>
      </c>
      <c r="E34" s="151">
        <f t="shared" si="0"/>
        <v>99.990000000000009</v>
      </c>
      <c r="F34" s="151">
        <f t="shared" si="0"/>
        <v>100.00000000000003</v>
      </c>
      <c r="G34" s="151">
        <f t="shared" si="0"/>
        <v>100.02</v>
      </c>
      <c r="H34" s="151">
        <f t="shared" si="0"/>
        <v>100.01000000000002</v>
      </c>
      <c r="O34" s="157">
        <f>SUM(O17:O33)</f>
        <v>99.999999300099986</v>
      </c>
      <c r="P34" s="157">
        <f t="shared" ref="P34:T34" si="1">SUM(P17:P33)</f>
        <v>100.00000044677499</v>
      </c>
      <c r="Q34" s="157">
        <f t="shared" si="1"/>
        <v>99.999993913300017</v>
      </c>
      <c r="R34" s="289">
        <f t="shared" si="1"/>
        <v>100.00000683866666</v>
      </c>
      <c r="S34" s="289">
        <f t="shared" si="1"/>
        <v>99.999993416833334</v>
      </c>
      <c r="T34" s="157">
        <f t="shared" si="1"/>
        <v>100.0000131118143</v>
      </c>
      <c r="U34" s="84"/>
      <c r="W34" s="151">
        <f>SUM(W17:W33)</f>
        <v>100.00017222884</v>
      </c>
      <c r="X34" s="151">
        <f t="shared" ref="X34:AB34" si="2">SUM(X17:X33)</f>
        <v>100.00018748459998</v>
      </c>
      <c r="Y34" s="151">
        <f t="shared" si="2"/>
        <v>100.00064027474001</v>
      </c>
      <c r="Z34" s="151">
        <f t="shared" si="2"/>
        <v>100.00132140580001</v>
      </c>
      <c r="AA34" s="151">
        <f t="shared" si="2"/>
        <v>100.00024615933333</v>
      </c>
      <c r="AB34" s="151">
        <f t="shared" si="2"/>
        <v>99.999082543312483</v>
      </c>
      <c r="AD34" s="151">
        <f>SUM(AD17:AD33)</f>
        <v>99.99999957336</v>
      </c>
      <c r="AE34" s="151">
        <f t="shared" ref="AE34:AI34" si="3">SUM(AE17:AE33)</f>
        <v>99.999999153420006</v>
      </c>
      <c r="AF34" s="151">
        <f t="shared" si="3"/>
        <v>99.999996232150011</v>
      </c>
      <c r="AG34" s="151">
        <f t="shared" si="3"/>
        <v>100.00000944655</v>
      </c>
      <c r="AH34" s="151">
        <f t="shared" si="3"/>
        <v>99.999993898050008</v>
      </c>
      <c r="AI34" s="151">
        <f t="shared" si="3"/>
        <v>99.99999103341429</v>
      </c>
    </row>
    <row r="35" spans="1:35">
      <c r="A35" s="145" t="s">
        <v>256</v>
      </c>
      <c r="B35" s="146"/>
      <c r="C35" s="158">
        <v>29.2</v>
      </c>
      <c r="D35" s="158">
        <v>31.1</v>
      </c>
      <c r="E35" s="158">
        <v>34.799999999999997</v>
      </c>
      <c r="F35" s="158">
        <v>43.9</v>
      </c>
      <c r="G35" s="158">
        <v>51.9</v>
      </c>
      <c r="H35" s="158">
        <v>56.7</v>
      </c>
      <c r="O35" s="158">
        <f>Reactor1!AP66</f>
        <v>26.112238248166665</v>
      </c>
      <c r="P35" s="158">
        <f>Reactor1!AQ66</f>
        <v>28.15927124025</v>
      </c>
      <c r="Q35" s="158">
        <f>Reactor1!AR66</f>
        <v>33.817487080833338</v>
      </c>
      <c r="R35" s="290">
        <f>Reactor1!AS66</f>
        <v>44.258527119999997</v>
      </c>
      <c r="S35" s="290">
        <f>Reactor1!AT66</f>
        <v>56.964440663666664</v>
      </c>
      <c r="T35" s="158">
        <f>Reactor1!AU66</f>
        <v>65.034539358857145</v>
      </c>
      <c r="U35" s="73"/>
      <c r="V35" s="74"/>
      <c r="W35" s="158">
        <f>Reactor2!AP66</f>
        <v>26.108101272600003</v>
      </c>
      <c r="X35" s="158">
        <f>Reactor2!AQ66</f>
        <v>27.798239708166665</v>
      </c>
      <c r="Y35" s="158">
        <f>Reactor2!AR66</f>
        <v>33.513809203999998</v>
      </c>
      <c r="Z35" s="158">
        <f>Reactor2!AS66</f>
        <v>44.046316146999999</v>
      </c>
      <c r="AA35" s="158">
        <f>Reactor2!AT66</f>
        <v>57.47286351533333</v>
      </c>
      <c r="AB35" s="158">
        <f>Reactor2!AU66</f>
        <v>64.331581115749998</v>
      </c>
      <c r="AC35" s="74"/>
      <c r="AD35" s="158">
        <f>Reactor6!AP66</f>
        <v>27.514020156999997</v>
      </c>
      <c r="AE35" s="158">
        <f>Reactor6!AQ66</f>
        <v>31.1140022278</v>
      </c>
      <c r="AF35" s="158">
        <f>Reactor6!AR66</f>
        <v>38.380099932166665</v>
      </c>
      <c r="AG35" s="158">
        <f>Reactor6!AS66</f>
        <v>52.913563728500002</v>
      </c>
      <c r="AH35" s="158">
        <f>Reactor6!AT66</f>
        <v>66.392776488999999</v>
      </c>
      <c r="AI35" s="158">
        <f>Reactor6!AU66</f>
        <v>72.092614310142864</v>
      </c>
    </row>
    <row r="36" spans="1:35">
      <c r="A36" s="83" t="s">
        <v>493</v>
      </c>
      <c r="B36" s="1"/>
    </row>
    <row r="37" spans="1:35">
      <c r="A37" s="143" t="s">
        <v>494</v>
      </c>
      <c r="B37" s="144" t="s">
        <v>314</v>
      </c>
      <c r="C37" s="65">
        <f t="shared" ref="C37:H37" si="4">SUM(C16:C17)</f>
        <v>0.01</v>
      </c>
      <c r="D37" s="65">
        <f t="shared" si="4"/>
        <v>0</v>
      </c>
      <c r="E37" s="65">
        <f t="shared" si="4"/>
        <v>0.01</v>
      </c>
      <c r="F37" s="65">
        <f t="shared" si="4"/>
        <v>0.01</v>
      </c>
      <c r="G37" s="65">
        <f t="shared" si="4"/>
        <v>0.03</v>
      </c>
      <c r="H37" s="65">
        <f t="shared" si="4"/>
        <v>0.03</v>
      </c>
      <c r="O37" s="132">
        <f>SUM(O16:O17)</f>
        <v>1.1170875500000001E-3</v>
      </c>
      <c r="P37" s="132">
        <f t="shared" ref="P37:T37" si="5">SUM(P16:P17)</f>
        <v>1.1172964E-3</v>
      </c>
      <c r="Q37" s="132">
        <f t="shared" si="5"/>
        <v>5.1416660166666668E-3</v>
      </c>
      <c r="R37" s="291">
        <f t="shared" si="5"/>
        <v>5.5014506666666669E-3</v>
      </c>
      <c r="S37" s="291">
        <f t="shared" si="5"/>
        <v>3.6173627399999998E-2</v>
      </c>
      <c r="T37" s="132">
        <f t="shared" si="5"/>
        <v>1.2355038228571428E-2</v>
      </c>
      <c r="U37" s="57"/>
      <c r="W37" s="132">
        <f>SUM(W16:W17)</f>
        <v>1.04313302E-3</v>
      </c>
      <c r="X37" s="132">
        <f t="shared" ref="X37:AB37" si="6">SUM(X16:X17)</f>
        <v>1.1807574999999999E-3</v>
      </c>
      <c r="Y37" s="132">
        <f t="shared" si="6"/>
        <v>2.5589996199999999E-3</v>
      </c>
      <c r="Z37" s="132">
        <f t="shared" si="6"/>
        <v>6.3285425750000002E-3</v>
      </c>
      <c r="AA37" s="132">
        <f t="shared" si="6"/>
        <v>1.0970240766666667E-2</v>
      </c>
      <c r="AB37" s="132">
        <f t="shared" si="6"/>
        <v>1.009611805E-2</v>
      </c>
      <c r="AD37" s="132">
        <f>SUM(AD16:AD17)</f>
        <v>1.4768889600000001E-3</v>
      </c>
      <c r="AE37" s="132">
        <f t="shared" ref="AE37:AI37" si="7">SUM(AE16:AE17)</f>
        <v>1.5625618599999999E-3</v>
      </c>
      <c r="AF37" s="132">
        <f t="shared" si="7"/>
        <v>3.6378554833333336E-3</v>
      </c>
      <c r="AG37" s="132">
        <f t="shared" si="7"/>
        <v>8.7327035249999997E-3</v>
      </c>
      <c r="AH37" s="132">
        <f t="shared" si="7"/>
        <v>1.8928159E-2</v>
      </c>
      <c r="AI37" s="132">
        <f t="shared" si="7"/>
        <v>1.9955883057142857E-2</v>
      </c>
    </row>
    <row r="38" spans="1:35">
      <c r="A38" s="143" t="s">
        <v>301</v>
      </c>
      <c r="B38" s="144" t="s">
        <v>314</v>
      </c>
      <c r="C38" s="65">
        <f t="shared" ref="C38:H38" si="8">C18</f>
        <v>0.52</v>
      </c>
      <c r="D38" s="65">
        <f t="shared" si="8"/>
        <v>0.77</v>
      </c>
      <c r="E38" s="65">
        <f t="shared" si="8"/>
        <v>1.32</v>
      </c>
      <c r="F38" s="65">
        <f t="shared" si="8"/>
        <v>2.69</v>
      </c>
      <c r="G38" s="65">
        <f t="shared" si="8"/>
        <v>3.71</v>
      </c>
      <c r="H38" s="65">
        <f t="shared" si="8"/>
        <v>4.09</v>
      </c>
      <c r="O38" s="132">
        <f>O18</f>
        <v>4.5106754333333332E-2</v>
      </c>
      <c r="P38" s="132">
        <f t="shared" ref="P38:T38" si="9">P18</f>
        <v>0.14941892772500001</v>
      </c>
      <c r="Q38" s="132">
        <f t="shared" si="9"/>
        <v>0.49048438668333333</v>
      </c>
      <c r="R38" s="291">
        <f t="shared" si="9"/>
        <v>1.2767427364999999</v>
      </c>
      <c r="S38" s="291">
        <f t="shared" si="9"/>
        <v>2.4869931538666665</v>
      </c>
      <c r="T38" s="132">
        <f t="shared" si="9"/>
        <v>3.4738920075428572</v>
      </c>
      <c r="U38" s="57"/>
      <c r="W38" s="132">
        <f>W18</f>
        <v>3.9197721340000005E-2</v>
      </c>
      <c r="X38" s="132">
        <f t="shared" ref="X38:AB38" si="10">X18</f>
        <v>0.14738909401666669</v>
      </c>
      <c r="Y38" s="132">
        <f t="shared" si="10"/>
        <v>0.52074673173999997</v>
      </c>
      <c r="Z38" s="132">
        <f t="shared" si="10"/>
        <v>1.3808071911249999</v>
      </c>
      <c r="AA38" s="132">
        <f t="shared" si="10"/>
        <v>2.6123212178666666</v>
      </c>
      <c r="AB38" s="132">
        <f t="shared" si="10"/>
        <v>3.524409204725</v>
      </c>
      <c r="AD38" s="132">
        <f>AD18</f>
        <v>7.2824235260000009E-2</v>
      </c>
      <c r="AE38" s="132">
        <f t="shared" ref="AE38:AI38" si="11">AE18</f>
        <v>0.26854294538000001</v>
      </c>
      <c r="AF38" s="132">
        <f t="shared" si="11"/>
        <v>0.75470700363333332</v>
      </c>
      <c r="AG38" s="132">
        <f t="shared" si="11"/>
        <v>1.9543923437749999</v>
      </c>
      <c r="AH38" s="132">
        <f t="shared" si="11"/>
        <v>3.3829935788999999</v>
      </c>
      <c r="AI38" s="132">
        <f t="shared" si="11"/>
        <v>4.256623676857143</v>
      </c>
    </row>
    <row r="39" spans="1:35">
      <c r="A39" s="143" t="s">
        <v>302</v>
      </c>
      <c r="B39" s="144" t="s">
        <v>314</v>
      </c>
      <c r="C39" s="65">
        <f>SUM(C19:C20)</f>
        <v>1.38</v>
      </c>
      <c r="D39" s="65">
        <f t="shared" ref="D39:H39" si="12">SUM(D19:D20)</f>
        <v>2.21</v>
      </c>
      <c r="E39" s="65">
        <f t="shared" si="12"/>
        <v>3.5199999999999996</v>
      </c>
      <c r="F39" s="65">
        <f t="shared" si="12"/>
        <v>6.55</v>
      </c>
      <c r="G39" s="65">
        <f t="shared" si="12"/>
        <v>7.8100000000000005</v>
      </c>
      <c r="H39" s="65">
        <f t="shared" si="12"/>
        <v>8.370000000000001</v>
      </c>
      <c r="O39" s="132">
        <f>SUM(O19:O20)</f>
        <v>0.22258935374999997</v>
      </c>
      <c r="P39" s="132">
        <f t="shared" ref="P39:T39" si="13">SUM(P19:P20)</f>
        <v>0.54978757725000005</v>
      </c>
      <c r="Q39" s="132">
        <f t="shared" si="13"/>
        <v>1.5861773068666667</v>
      </c>
      <c r="R39" s="291">
        <f t="shared" si="13"/>
        <v>3.508872111633333</v>
      </c>
      <c r="S39" s="291">
        <f t="shared" si="13"/>
        <v>5.7493516603999995</v>
      </c>
      <c r="T39" s="132">
        <f t="shared" si="13"/>
        <v>7.4416729552428578</v>
      </c>
      <c r="U39" s="57"/>
      <c r="W39" s="132">
        <f>SUM(W19:W20)</f>
        <v>0.16507794149999999</v>
      </c>
      <c r="X39" s="132">
        <f t="shared" ref="X39:AB39" si="14">SUM(X19:X20)</f>
        <v>0.53683432313333335</v>
      </c>
      <c r="Y39" s="132">
        <f t="shared" si="14"/>
        <v>1.65544585586</v>
      </c>
      <c r="Z39" s="132">
        <f t="shared" si="14"/>
        <v>3.7190445065249995</v>
      </c>
      <c r="AA39" s="132">
        <f t="shared" si="14"/>
        <v>6.0033838351666668</v>
      </c>
      <c r="AB39" s="132">
        <f t="shared" si="14"/>
        <v>7.6772623285624997</v>
      </c>
      <c r="AD39" s="132">
        <f>SUM(AD19:AD20)</f>
        <v>0.28729904890000002</v>
      </c>
      <c r="AE39" s="132">
        <f t="shared" ref="AE39:AI39" si="15">SUM(AE19:AE20)</f>
        <v>0.96200879810000006</v>
      </c>
      <c r="AF39" s="132">
        <f t="shared" si="15"/>
        <v>2.2988764147</v>
      </c>
      <c r="AG39" s="132">
        <f t="shared" si="15"/>
        <v>4.8527656346749994</v>
      </c>
      <c r="AH39" s="132">
        <f t="shared" si="15"/>
        <v>7.1424821615500003</v>
      </c>
      <c r="AI39" s="132">
        <f t="shared" si="15"/>
        <v>8.6154436639285699</v>
      </c>
    </row>
    <row r="40" spans="1:35">
      <c r="A40" s="143" t="s">
        <v>496</v>
      </c>
      <c r="B40" s="144" t="s">
        <v>314</v>
      </c>
      <c r="C40" s="65">
        <f>SUM(C37:C39)</f>
        <v>1.91</v>
      </c>
      <c r="D40" s="65">
        <f t="shared" ref="D40:H40" si="16">SUM(D37:D39)</f>
        <v>2.98</v>
      </c>
      <c r="E40" s="65">
        <f t="shared" si="16"/>
        <v>4.8499999999999996</v>
      </c>
      <c r="F40" s="65">
        <f t="shared" si="16"/>
        <v>9.25</v>
      </c>
      <c r="G40" s="65">
        <f t="shared" si="16"/>
        <v>11.55</v>
      </c>
      <c r="H40" s="65">
        <f t="shared" si="16"/>
        <v>12.490000000000002</v>
      </c>
      <c r="O40" s="132">
        <f>SUM(O37:O39)</f>
        <v>0.26881319563333328</v>
      </c>
      <c r="P40" s="132">
        <f t="shared" ref="P40:T40" si="17">SUM(P37:P39)</f>
        <v>0.70032380137500005</v>
      </c>
      <c r="Q40" s="132">
        <f t="shared" si="17"/>
        <v>2.0818033595666665</v>
      </c>
      <c r="R40" s="291">
        <f t="shared" si="17"/>
        <v>4.7911162987999996</v>
      </c>
      <c r="S40" s="291">
        <f t="shared" si="17"/>
        <v>8.2725184416666657</v>
      </c>
      <c r="T40" s="132">
        <f t="shared" si="17"/>
        <v>10.927920001014286</v>
      </c>
      <c r="U40" s="57"/>
      <c r="W40" s="132">
        <f>SUM(W37:W39)</f>
        <v>0.20531879586000001</v>
      </c>
      <c r="X40" s="132">
        <f t="shared" ref="X40:AB40" si="18">SUM(X37:X39)</f>
        <v>0.68540417465000003</v>
      </c>
      <c r="Y40" s="132">
        <f t="shared" si="18"/>
        <v>2.1787515872199998</v>
      </c>
      <c r="Z40" s="132">
        <f t="shared" si="18"/>
        <v>5.1061802402249992</v>
      </c>
      <c r="AA40" s="132">
        <f t="shared" si="18"/>
        <v>8.6266752938</v>
      </c>
      <c r="AB40" s="132">
        <f t="shared" si="18"/>
        <v>11.2117676513375</v>
      </c>
      <c r="AD40" s="132">
        <f>SUM(AD37:AD39)</f>
        <v>0.36160017312000003</v>
      </c>
      <c r="AE40" s="132">
        <f t="shared" ref="AE40:AI40" si="19">SUM(AE37:AE39)</f>
        <v>1.2321143053400001</v>
      </c>
      <c r="AF40" s="132">
        <f t="shared" si="19"/>
        <v>3.0572212738166664</v>
      </c>
      <c r="AG40" s="132">
        <f t="shared" si="19"/>
        <v>6.8158906819749996</v>
      </c>
      <c r="AH40" s="132">
        <f t="shared" si="19"/>
        <v>10.54440389945</v>
      </c>
      <c r="AI40" s="132">
        <f t="shared" si="19"/>
        <v>12.892023223842855</v>
      </c>
    </row>
    <row r="41" spans="1:35">
      <c r="A41" s="143" t="s">
        <v>497</v>
      </c>
      <c r="B41" s="144" t="s">
        <v>314</v>
      </c>
      <c r="C41" s="65">
        <f>100-C40</f>
        <v>98.09</v>
      </c>
      <c r="D41" s="65">
        <f t="shared" ref="D41:H41" si="20">100-D40</f>
        <v>97.02</v>
      </c>
      <c r="E41" s="65">
        <f t="shared" si="20"/>
        <v>95.15</v>
      </c>
      <c r="F41" s="65">
        <f t="shared" si="20"/>
        <v>90.75</v>
      </c>
      <c r="G41" s="65">
        <f t="shared" si="20"/>
        <v>88.45</v>
      </c>
      <c r="H41" s="65">
        <f t="shared" si="20"/>
        <v>87.509999999999991</v>
      </c>
      <c r="O41" s="132">
        <f>100-O40</f>
        <v>99.731186804366672</v>
      </c>
      <c r="P41" s="132">
        <f t="shared" ref="P41:T41" si="21">100-P40</f>
        <v>99.299676198624994</v>
      </c>
      <c r="Q41" s="132">
        <f t="shared" si="21"/>
        <v>97.918196640433337</v>
      </c>
      <c r="R41" s="291">
        <f t="shared" si="21"/>
        <v>95.208883701199994</v>
      </c>
      <c r="S41" s="291">
        <f t="shared" si="21"/>
        <v>91.727481558333338</v>
      </c>
      <c r="T41" s="132">
        <f t="shared" si="21"/>
        <v>89.072079998985714</v>
      </c>
      <c r="U41" s="57"/>
      <c r="W41" s="132">
        <f>100-W40</f>
        <v>99.794681204140005</v>
      </c>
      <c r="X41" s="132">
        <f t="shared" ref="X41:AB41" si="22">100-X40</f>
        <v>99.314595825349997</v>
      </c>
      <c r="Y41" s="132">
        <f t="shared" si="22"/>
        <v>97.821248412779994</v>
      </c>
      <c r="Z41" s="132">
        <f t="shared" si="22"/>
        <v>94.893819759774999</v>
      </c>
      <c r="AA41" s="132">
        <f t="shared" si="22"/>
        <v>91.373324706199995</v>
      </c>
      <c r="AB41" s="132">
        <f t="shared" si="22"/>
        <v>88.788232348662504</v>
      </c>
      <c r="AD41" s="132">
        <f>100-AD40</f>
        <v>99.638399826880004</v>
      </c>
      <c r="AE41" s="132">
        <f t="shared" ref="AE41:AI41" si="23">100-AE40</f>
        <v>98.767885694659995</v>
      </c>
      <c r="AF41" s="132">
        <f t="shared" si="23"/>
        <v>96.942778726183334</v>
      </c>
      <c r="AG41" s="132">
        <f t="shared" si="23"/>
        <v>93.184109318024994</v>
      </c>
      <c r="AH41" s="132">
        <f t="shared" si="23"/>
        <v>89.455596100549997</v>
      </c>
      <c r="AI41" s="132">
        <f t="shared" si="23"/>
        <v>87.107976776157145</v>
      </c>
    </row>
    <row r="42" spans="1:35">
      <c r="A42" s="83" t="s">
        <v>537</v>
      </c>
    </row>
    <row r="43" spans="1:35">
      <c r="A43" s="143" t="s">
        <v>526</v>
      </c>
      <c r="B43" s="144" t="s">
        <v>314</v>
      </c>
      <c r="C43" s="72">
        <f t="shared" ref="C43:H43" si="24">100*(C23)/($C$4-C27)</f>
        <v>2.3399014778325111</v>
      </c>
      <c r="D43" s="72">
        <f t="shared" si="24"/>
        <v>2.4975024975024964</v>
      </c>
      <c r="E43" s="72">
        <f t="shared" si="24"/>
        <v>3.3033033033033017</v>
      </c>
      <c r="F43" s="72">
        <f t="shared" si="24"/>
        <v>3.4941131788834023</v>
      </c>
      <c r="G43" s="72">
        <f t="shared" si="24"/>
        <v>4.3630487476434139</v>
      </c>
      <c r="H43" s="72">
        <f t="shared" si="24"/>
        <v>4.7564861174328623</v>
      </c>
      <c r="O43" s="72">
        <f>Reactor1!AP120</f>
        <v>1.7098389567100802</v>
      </c>
      <c r="P43" s="72">
        <f>Reactor1!AQ120</f>
        <v>1.5504050798417812</v>
      </c>
      <c r="Q43" s="72">
        <f>Reactor1!AR120</f>
        <v>2.2075912430139448</v>
      </c>
      <c r="R43" s="292">
        <f>Reactor1!AS120</f>
        <v>3.190621010849521</v>
      </c>
      <c r="S43" s="292">
        <f>Reactor1!AT120</f>
        <v>4.8858141984349244</v>
      </c>
      <c r="T43" s="72">
        <f>Reactor1!AU120</f>
        <v>6.2548207181447335</v>
      </c>
      <c r="U43" s="73"/>
      <c r="W43" s="72">
        <f>Reactor2!AP120</f>
        <v>2.1524716725191051</v>
      </c>
      <c r="X43" s="72">
        <f>Reactor2!AQ120</f>
        <v>1.7052287688738936</v>
      </c>
      <c r="Y43" s="72">
        <f>Reactor2!AR120</f>
        <v>2.3811623256374199</v>
      </c>
      <c r="Z43" s="72">
        <f>Reactor2!AS120</f>
        <v>3.3867131322739716</v>
      </c>
      <c r="AA43" s="72">
        <f>Reactor2!AT120</f>
        <v>4.8383565470659384</v>
      </c>
      <c r="AB43" s="72">
        <f>Reactor2!AU120</f>
        <v>5.9279914259269173</v>
      </c>
      <c r="AD43" s="72">
        <f>Reactor6!AP120</f>
        <v>1.4341856527946042</v>
      </c>
      <c r="AE43" s="72">
        <f>Reactor6!AQ120</f>
        <v>1.5999408580002876</v>
      </c>
      <c r="AF43" s="72">
        <f>Reactor6!AR120</f>
        <v>2.3196555279137518</v>
      </c>
      <c r="AG43" s="72">
        <f>Reactor6!AS120</f>
        <v>3.7743792223207375</v>
      </c>
      <c r="AH43" s="72">
        <f>Reactor6!AT120</f>
        <v>6.0534548520658404</v>
      </c>
      <c r="AI43" s="72">
        <f>Reactor6!AU120</f>
        <v>7.917016995655989</v>
      </c>
    </row>
    <row r="44" spans="1:35">
      <c r="A44" s="143" t="s">
        <v>527</v>
      </c>
      <c r="B44" s="144" t="s">
        <v>314</v>
      </c>
      <c r="C44" s="72">
        <f t="shared" ref="C44:H44" si="25">100*(C24)/($C$4-C27)</f>
        <v>9.852216748768468</v>
      </c>
      <c r="D44" s="72">
        <f t="shared" si="25"/>
        <v>10.389610389610384</v>
      </c>
      <c r="E44" s="72">
        <f t="shared" si="25"/>
        <v>13.813813813813805</v>
      </c>
      <c r="F44" s="72">
        <f t="shared" si="25"/>
        <v>12.571211545765284</v>
      </c>
      <c r="G44" s="72">
        <f t="shared" si="25"/>
        <v>14.112577430649067</v>
      </c>
      <c r="H44" s="72">
        <f t="shared" si="25"/>
        <v>14.45152480655439</v>
      </c>
      <c r="O44" s="72">
        <f>Reactor1!AP121</f>
        <v>9.320521006810873</v>
      </c>
      <c r="P44" s="72">
        <f>Reactor1!AQ121</f>
        <v>7.1842551482281394</v>
      </c>
      <c r="Q44" s="72">
        <f>Reactor1!AR121</f>
        <v>8.331138363176402</v>
      </c>
      <c r="R44" s="292">
        <f>Reactor1!AS121</f>
        <v>9.5546611777786623</v>
      </c>
      <c r="S44" s="292">
        <f>Reactor1!AT121</f>
        <v>10.729784050394651</v>
      </c>
      <c r="T44" s="72">
        <f>Reactor1!AU121</f>
        <v>11.450710829586125</v>
      </c>
      <c r="U44" s="73"/>
      <c r="W44" s="72">
        <f>Reactor2!AP121</f>
        <v>11.849137234310472</v>
      </c>
      <c r="X44" s="72">
        <f>Reactor2!AQ121</f>
        <v>7.7045929888260281</v>
      </c>
      <c r="Y44" s="72">
        <f>Reactor2!AR121</f>
        <v>8.859610601968539</v>
      </c>
      <c r="Z44" s="72">
        <f>Reactor2!AS121</f>
        <v>9.9440172473281176</v>
      </c>
      <c r="AA44" s="72">
        <f>Reactor2!AT121</f>
        <v>11.049284383307594</v>
      </c>
      <c r="AB44" s="72">
        <f>Reactor2!AU121</f>
        <v>11.598133775848625</v>
      </c>
      <c r="AD44" s="72">
        <f>Reactor6!AP121</f>
        <v>8.0102814223156518</v>
      </c>
      <c r="AE44" s="72">
        <f>Reactor6!AQ121</f>
        <v>7.6137833754334849</v>
      </c>
      <c r="AF44" s="72">
        <f>Reactor6!AR121</f>
        <v>9.0284570683856042</v>
      </c>
      <c r="AG44" s="72">
        <f>Reactor6!AS121</f>
        <v>10.767061583067076</v>
      </c>
      <c r="AH44" s="72">
        <f>Reactor6!AT121</f>
        <v>11.934239040792843</v>
      </c>
      <c r="AI44" s="72">
        <f>Reactor6!AU121</f>
        <v>12.233041962702492</v>
      </c>
    </row>
    <row r="45" spans="1:35">
      <c r="A45" s="145" t="s">
        <v>528</v>
      </c>
      <c r="B45" s="144" t="s">
        <v>314</v>
      </c>
      <c r="C45" s="72">
        <f t="shared" ref="C45:H45" si="26">100*C25/($C$4-C27)</f>
        <v>32.758620689655153</v>
      </c>
      <c r="D45" s="72">
        <f t="shared" si="26"/>
        <v>38.261738261738245</v>
      </c>
      <c r="E45" s="72">
        <f t="shared" si="26"/>
        <v>45.345345345345322</v>
      </c>
      <c r="F45" s="72">
        <f t="shared" si="26"/>
        <v>43.904291682491447</v>
      </c>
      <c r="G45" s="72">
        <f t="shared" si="26"/>
        <v>47.858874225693498</v>
      </c>
      <c r="H45" s="72">
        <f t="shared" si="26"/>
        <v>48.111060537096037</v>
      </c>
      <c r="O45" s="72">
        <f>Reactor1!AP122</f>
        <v>86.221294536913675</v>
      </c>
      <c r="P45" s="72">
        <f>Reactor1!AQ122</f>
        <v>56.962357904741971</v>
      </c>
      <c r="Q45" s="72">
        <f>Reactor1!AR122</f>
        <v>54.934986457272913</v>
      </c>
      <c r="R45" s="292">
        <f>Reactor1!AS122</f>
        <v>52.827285604110379</v>
      </c>
      <c r="S45" s="292">
        <f>Reactor1!AT122</f>
        <v>50.369906750698682</v>
      </c>
      <c r="T45" s="72">
        <f>Reactor1!AU122</f>
        <v>49.233557072052868</v>
      </c>
      <c r="U45" s="73"/>
      <c r="W45" s="72">
        <f>Reactor2!AP122</f>
        <v>107.78481087305506</v>
      </c>
      <c r="X45" s="72">
        <f>Reactor2!AQ122</f>
        <v>57.134912760288302</v>
      </c>
      <c r="Y45" s="72">
        <f>Reactor2!AR122</f>
        <v>54.701552871318462</v>
      </c>
      <c r="Z45" s="72">
        <f>Reactor2!AS122</f>
        <v>52.38534295345692</v>
      </c>
      <c r="AA45" s="72">
        <f>Reactor2!AT122</f>
        <v>50.554461648288715</v>
      </c>
      <c r="AB45" s="72">
        <f>Reactor2!AU122</f>
        <v>48.973456835477457</v>
      </c>
      <c r="AD45" s="72">
        <f>Reactor6!AP122</f>
        <v>74.763587761382468</v>
      </c>
      <c r="AE45" s="72">
        <f>Reactor6!AQ122</f>
        <v>56.019535137757501</v>
      </c>
      <c r="AF45" s="72">
        <f>Reactor6!AR122</f>
        <v>54.17435216193946</v>
      </c>
      <c r="AG45" s="72">
        <f>Reactor6!AS122</f>
        <v>51.585152727924665</v>
      </c>
      <c r="AH45" s="72">
        <f>Reactor6!AT122</f>
        <v>49.314628113617843</v>
      </c>
      <c r="AI45" s="72">
        <f>Reactor6!AU122</f>
        <v>47.558992658801643</v>
      </c>
    </row>
    <row r="46" spans="1:35">
      <c r="A46" s="145" t="s">
        <v>529</v>
      </c>
      <c r="B46" s="144" t="s">
        <v>314</v>
      </c>
      <c r="C46" s="72">
        <f t="shared" ref="C46:H46" si="27">100*(C26)/($C$4-C27)</f>
        <v>22.906403940886687</v>
      </c>
      <c r="D46" s="72">
        <f t="shared" si="27"/>
        <v>23.576423576423565</v>
      </c>
      <c r="E46" s="72">
        <f t="shared" si="27"/>
        <v>27.252252252252237</v>
      </c>
      <c r="F46" s="72">
        <f t="shared" si="27"/>
        <v>26.281807823775157</v>
      </c>
      <c r="G46" s="72">
        <f t="shared" si="27"/>
        <v>29.760301642876371</v>
      </c>
      <c r="H46" s="72">
        <f t="shared" si="27"/>
        <v>30.24578971324533</v>
      </c>
      <c r="O46" s="72">
        <f>Reactor1!AP123</f>
        <v>67.20482882537847</v>
      </c>
      <c r="P46" s="72">
        <f>Reactor1!AQ123</f>
        <v>37.884738983769473</v>
      </c>
      <c r="Q46" s="72">
        <f>Reactor1!AR123</f>
        <v>34.241120712898123</v>
      </c>
      <c r="R46" s="292">
        <f>Reactor1!AS123</f>
        <v>33.007121711429953</v>
      </c>
      <c r="S46" s="292">
        <f>Reactor1!AT123</f>
        <v>31.967666057666861</v>
      </c>
      <c r="T46" s="72">
        <f>Reactor1!AU123</f>
        <v>31.160938143664815</v>
      </c>
      <c r="U46" s="73"/>
      <c r="W46" s="72">
        <f>Reactor2!AP123</f>
        <v>84.877541939612655</v>
      </c>
      <c r="X46" s="72">
        <f>Reactor2!AQ123</f>
        <v>38.017001153944527</v>
      </c>
      <c r="Y46" s="72">
        <f>Reactor2!AR123</f>
        <v>33.72121211209457</v>
      </c>
      <c r="Z46" s="72">
        <f>Reactor2!AS123</f>
        <v>32.469809666434358</v>
      </c>
      <c r="AA46" s="72">
        <f>Reactor2!AT123</f>
        <v>31.949014008735663</v>
      </c>
      <c r="AB46" s="72">
        <f>Reactor2!AU123</f>
        <v>30.902264188751353</v>
      </c>
      <c r="AD46" s="72">
        <f>Reactor6!AP123</f>
        <v>52.135457957242828</v>
      </c>
      <c r="AE46" s="72">
        <f>Reactor6!AQ123</f>
        <v>35.565030724933173</v>
      </c>
      <c r="AF46" s="72">
        <f>Reactor6!AR123</f>
        <v>33.76039660533619</v>
      </c>
      <c r="AG46" s="72">
        <f>Reactor6!AS123</f>
        <v>32.456518841432171</v>
      </c>
      <c r="AH46" s="72">
        <f>Reactor6!AT123</f>
        <v>31.411937549845923</v>
      </c>
      <c r="AI46" s="72">
        <f>Reactor6!AU123</f>
        <v>30.252677990433462</v>
      </c>
    </row>
    <row r="47" spans="1:35">
      <c r="A47" s="143" t="s">
        <v>506</v>
      </c>
      <c r="B47" s="144" t="s">
        <v>314</v>
      </c>
      <c r="C47" s="72">
        <f>SUM(C43:C46)</f>
        <v>67.857142857142819</v>
      </c>
      <c r="D47" s="72">
        <f t="shared" ref="D47:H47" si="28">SUM(D43:D46)</f>
        <v>74.725274725274687</v>
      </c>
      <c r="E47" s="72">
        <f t="shared" si="28"/>
        <v>89.71471471471466</v>
      </c>
      <c r="F47" s="72">
        <f t="shared" si="28"/>
        <v>86.251424230915291</v>
      </c>
      <c r="G47" s="72">
        <f t="shared" si="28"/>
        <v>96.094802046862341</v>
      </c>
      <c r="H47" s="72">
        <f t="shared" si="28"/>
        <v>97.564861174328627</v>
      </c>
      <c r="O47" s="279">
        <f>SUM(O43:O46)</f>
        <v>164.45648332581311</v>
      </c>
      <c r="P47" s="279">
        <f t="shared" ref="P47:T47" si="29">SUM(P43:P46)</f>
        <v>103.58175711658137</v>
      </c>
      <c r="Q47" s="72">
        <f t="shared" si="29"/>
        <v>99.714836776361381</v>
      </c>
      <c r="R47" s="294">
        <f t="shared" si="29"/>
        <v>98.579689504168527</v>
      </c>
      <c r="S47" s="294">
        <f t="shared" si="29"/>
        <v>97.953171057195121</v>
      </c>
      <c r="T47" s="131">
        <f t="shared" si="29"/>
        <v>98.10002676344854</v>
      </c>
      <c r="U47" s="73"/>
      <c r="W47" s="279">
        <f>SUM(W43:W46)</f>
        <v>206.66396171949731</v>
      </c>
      <c r="X47" s="279">
        <f t="shared" ref="X47:AB47" si="30">SUM(X43:X46)</f>
        <v>104.56173567193275</v>
      </c>
      <c r="Y47" s="72">
        <f t="shared" si="30"/>
        <v>99.663537911019006</v>
      </c>
      <c r="Z47" s="72">
        <f t="shared" si="30"/>
        <v>98.185882999493373</v>
      </c>
      <c r="AA47" s="72">
        <f t="shared" si="30"/>
        <v>98.391116587397903</v>
      </c>
      <c r="AB47" s="72">
        <f t="shared" si="30"/>
        <v>97.401846226004352</v>
      </c>
      <c r="AD47" s="279">
        <f>SUM(AD43:AD46)</f>
        <v>136.34351279373556</v>
      </c>
      <c r="AE47" s="279">
        <f t="shared" ref="AE47:AI47" si="31">SUM(AE43:AE46)</f>
        <v>100.79829009612445</v>
      </c>
      <c r="AF47" s="72">
        <f t="shared" si="31"/>
        <v>99.282861363574995</v>
      </c>
      <c r="AG47" s="72">
        <f t="shared" si="31"/>
        <v>98.583112374744644</v>
      </c>
      <c r="AH47" s="72">
        <f t="shared" si="31"/>
        <v>98.714259556322446</v>
      </c>
      <c r="AI47" s="72">
        <f t="shared" si="31"/>
        <v>97.961729607593583</v>
      </c>
    </row>
    <row r="48" spans="1:35">
      <c r="A48" s="143" t="s">
        <v>509</v>
      </c>
      <c r="B48" s="144" t="s">
        <v>314</v>
      </c>
      <c r="C48" s="72">
        <f t="shared" ref="C48:H48" si="32">100*(C29)/($C$5-C30)</f>
        <v>63.402061855670119</v>
      </c>
      <c r="D48" s="72">
        <f t="shared" si="32"/>
        <v>62.641509433962277</v>
      </c>
      <c r="E48" s="72">
        <f t="shared" si="32"/>
        <v>53.000000000000014</v>
      </c>
      <c r="F48" s="72">
        <f t="shared" si="32"/>
        <v>37.96711509715994</v>
      </c>
      <c r="G48" s="72">
        <f t="shared" si="32"/>
        <v>25.882352941176475</v>
      </c>
      <c r="H48" s="72">
        <f t="shared" si="32"/>
        <v>18.642241379310345</v>
      </c>
      <c r="O48" s="72">
        <f>SUM(Reactor1!AP128:AP129)</f>
        <v>98.8524624416184</v>
      </c>
      <c r="P48" s="72">
        <f>SUM(Reactor1!AQ128:AQ129)</f>
        <v>87.992100737139864</v>
      </c>
      <c r="Q48" s="72">
        <f>SUM(Reactor1!AR128:AR129)</f>
        <v>75.712567023517977</v>
      </c>
      <c r="R48" s="292">
        <f>SUM(Reactor1!AS128:AS129)</f>
        <v>58.76580477778527</v>
      </c>
      <c r="S48" s="292">
        <f>SUM(Reactor1!AT128:AT129)</f>
        <v>38.290833326649633</v>
      </c>
      <c r="T48" s="72">
        <f>SUM(Reactor1!AU128:AU129)</f>
        <v>22.504452096428903</v>
      </c>
      <c r="U48" s="73"/>
      <c r="W48" s="72">
        <f>SUM(Reactor2!AP128:AP129)</f>
        <v>102.28577899573311</v>
      </c>
      <c r="X48" s="72">
        <f>SUM(Reactor2!AQ128:AQ129)</f>
        <v>87.156926810433134</v>
      </c>
      <c r="Y48" s="72">
        <f>SUM(Reactor2!AR128:AR129)</f>
        <v>73.644764031144788</v>
      </c>
      <c r="Z48" s="72">
        <f>SUM(Reactor2!AS128:AS129)</f>
        <v>55.554483281566938</v>
      </c>
      <c r="AA48" s="72">
        <f>SUM(Reactor2!AT128:AT129)</f>
        <v>35.226611005996006</v>
      </c>
      <c r="AB48" s="72">
        <f>SUM(Reactor2!AU128:AU129)</f>
        <v>21.84097377997557</v>
      </c>
      <c r="AD48" s="72">
        <f>SUM(Reactor6!AP128:AP129)</f>
        <v>91.697231227023792</v>
      </c>
      <c r="AE48" s="72">
        <f>SUM(Reactor6!AQ128:AQ129)</f>
        <v>83.292282475809372</v>
      </c>
      <c r="AF48" s="72">
        <f>SUM(Reactor6!AR128:AR129)</f>
        <v>69.923875094628528</v>
      </c>
      <c r="AG48" s="72">
        <f>SUM(Reactor6!AS128:AS129)</f>
        <v>46.726573666911747</v>
      </c>
      <c r="AH48" s="72">
        <f>SUM(Reactor6!AT128:AT129)</f>
        <v>23.593689169744817</v>
      </c>
      <c r="AI48" s="72">
        <f>SUM(Reactor6!AU128:AU129)</f>
        <v>11.357594010227571</v>
      </c>
    </row>
    <row r="49" spans="1:42">
      <c r="A49" s="143" t="s">
        <v>538</v>
      </c>
      <c r="B49" s="144" t="s">
        <v>314</v>
      </c>
      <c r="C49" s="72">
        <f>100*(C32)/($C$6-C31)</f>
        <v>198.47715736040607</v>
      </c>
      <c r="D49" s="72">
        <f t="shared" ref="D49:H49" si="33">100*(D32)/($C$6-D31)</f>
        <v>123.33333333333333</v>
      </c>
      <c r="E49" s="72">
        <f t="shared" si="33"/>
        <v>57.742782152230973</v>
      </c>
      <c r="F49" s="72">
        <f t="shared" si="33"/>
        <v>20.081135902636916</v>
      </c>
      <c r="G49" s="72">
        <f t="shared" si="33"/>
        <v>10.76923076923077</v>
      </c>
      <c r="H49" s="72">
        <f t="shared" si="33"/>
        <v>11.380597014925373</v>
      </c>
      <c r="O49" s="73">
        <f>Reactor1!AP131</f>
        <v>67.71349378461916</v>
      </c>
      <c r="P49" s="73">
        <f>Reactor1!AQ131</f>
        <v>78.253268117259765</v>
      </c>
      <c r="Q49" s="73">
        <f>Reactor1!AR131</f>
        <v>56.40330353511667</v>
      </c>
      <c r="R49" s="274">
        <f>Reactor1!AS131</f>
        <v>29.516115690496367</v>
      </c>
      <c r="S49" s="274">
        <f>Reactor1!AT131</f>
        <v>11.842359220310888</v>
      </c>
      <c r="T49" s="73">
        <f>Reactor1!AU131</f>
        <v>4.567287220308927</v>
      </c>
      <c r="U49" s="73"/>
      <c r="W49" s="73">
        <f>Reactor2!AP131</f>
        <v>58.445164132032438</v>
      </c>
      <c r="X49" s="73">
        <f>Reactor2!AQ131</f>
        <v>76.853030972453112</v>
      </c>
      <c r="Y49" s="73">
        <f>Reactor2!AR131</f>
        <v>54.019633206733445</v>
      </c>
      <c r="Z49" s="73">
        <f>Reactor2!AS131</f>
        <v>28.217236099676565</v>
      </c>
      <c r="AA49" s="73">
        <f>Reactor2!AT131</f>
        <v>9.4606388964940056</v>
      </c>
      <c r="AB49" s="73">
        <f>Reactor2!AU131</f>
        <v>5.1821133501967616</v>
      </c>
      <c r="AD49" s="73">
        <f>Reactor6!AP131</f>
        <v>61.383966689928151</v>
      </c>
      <c r="AE49" s="73">
        <f>Reactor6!AQ131</f>
        <v>69.051487253473809</v>
      </c>
      <c r="AF49" s="73">
        <f>Reactor6!AR131</f>
        <v>45.207099581012045</v>
      </c>
      <c r="AG49" s="73">
        <f>Reactor6!AS131</f>
        <v>15.302925678071459</v>
      </c>
      <c r="AH49" s="73">
        <f>Reactor6!AT131</f>
        <v>4.2489675667535316</v>
      </c>
      <c r="AI49" s="73">
        <f>Reactor6!AU131</f>
        <v>3.2307179130655848</v>
      </c>
    </row>
    <row r="51" spans="1:42">
      <c r="A51" s="143" t="s">
        <v>499</v>
      </c>
      <c r="B51" s="144" t="s">
        <v>314</v>
      </c>
      <c r="C51" s="72">
        <f t="shared" ref="C51:H51" si="34">100*($C$4-C27)/$C$4</f>
        <v>9.7327100563346569</v>
      </c>
      <c r="D51" s="72">
        <f t="shared" si="34"/>
        <v>11.998082224619447</v>
      </c>
      <c r="E51" s="72">
        <f t="shared" si="34"/>
        <v>15.965480043149952</v>
      </c>
      <c r="F51" s="72">
        <f t="shared" si="34"/>
        <v>31.559391106316674</v>
      </c>
      <c r="G51" s="72">
        <f t="shared" si="34"/>
        <v>44.504374925086907</v>
      </c>
      <c r="H51" s="72">
        <f t="shared" si="34"/>
        <v>52.66690638858924</v>
      </c>
      <c r="O51" s="72">
        <f>Reactor1!AP116</f>
        <v>2.457032143210955</v>
      </c>
      <c r="P51" s="72">
        <f>Reactor1!AQ116</f>
        <v>6.8457715616663917</v>
      </c>
      <c r="Q51" s="72">
        <f>Reactor1!AR116</f>
        <v>15.402905793184848</v>
      </c>
      <c r="R51" s="292">
        <f>Reactor1!AS116</f>
        <v>31.043782179428192</v>
      </c>
      <c r="S51" s="292">
        <f>Reactor1!AT116</f>
        <v>50.723220977357556</v>
      </c>
      <c r="T51" s="72">
        <f>Reactor1!AU116</f>
        <v>62.246513879302654</v>
      </c>
      <c r="U51" s="73"/>
      <c r="W51" s="72">
        <f>Reactor2!AP116</f>
        <v>1.8593477236726716</v>
      </c>
      <c r="X51" s="72">
        <f>Reactor2!AQ116</f>
        <v>6.1802872087024232</v>
      </c>
      <c r="Y51" s="72">
        <f>Reactor2!AR116</f>
        <v>14.625753656758841</v>
      </c>
      <c r="Z51" s="72">
        <f>Reactor2!AS116</f>
        <v>30.069212902118842</v>
      </c>
      <c r="AA51" s="72">
        <f>Reactor2!AT116</f>
        <v>50.636810555985164</v>
      </c>
      <c r="AB51" s="72">
        <f>Reactor2!AU116</f>
        <v>60.473260988679876</v>
      </c>
      <c r="AD51" s="72">
        <f>Reactor6!AP116</f>
        <v>4.369625272434325</v>
      </c>
      <c r="AE51" s="72">
        <f>Reactor6!AQ116</f>
        <v>11.702978790063549</v>
      </c>
      <c r="AF51" s="72">
        <f>Reactor6!AR116</f>
        <v>22.611352364194982</v>
      </c>
      <c r="AG51" s="72">
        <f>Reactor6!AS116</f>
        <v>44.736948727827823</v>
      </c>
      <c r="AH51" s="72">
        <f>Reactor6!AT116</f>
        <v>65.544110373969801</v>
      </c>
      <c r="AI51" s="72">
        <f>Reactor6!AU116</f>
        <v>73.394673621446586</v>
      </c>
    </row>
    <row r="52" spans="1:42">
      <c r="A52" s="143" t="s">
        <v>500</v>
      </c>
      <c r="B52" s="144" t="s">
        <v>314</v>
      </c>
      <c r="C52" s="72">
        <f t="shared" ref="C52:H52" si="35">100*($C$5-C30)/($C$5)</f>
        <v>18.707810993249755</v>
      </c>
      <c r="D52" s="72">
        <f t="shared" si="35"/>
        <v>25.554484088717452</v>
      </c>
      <c r="E52" s="72">
        <f t="shared" si="35"/>
        <v>38.572806171648978</v>
      </c>
      <c r="F52" s="72">
        <f t="shared" si="35"/>
        <v>64.513018322082942</v>
      </c>
      <c r="G52" s="72">
        <f t="shared" si="35"/>
        <v>81.967213114754102</v>
      </c>
      <c r="H52" s="72">
        <f t="shared" si="35"/>
        <v>89.488910318225649</v>
      </c>
      <c r="O52" s="72">
        <f>Reactor1!AP117</f>
        <v>12.382128145429752</v>
      </c>
      <c r="P52" s="72">
        <f>Reactor1!AQ117</f>
        <v>22.867685273197534</v>
      </c>
      <c r="Q52" s="72">
        <f>Reactor1!AR117</f>
        <v>43.13751062814152</v>
      </c>
      <c r="R52" s="292">
        <f>Reactor1!AS117</f>
        <v>68.176929529664051</v>
      </c>
      <c r="S52" s="292">
        <f>Reactor1!AT117</f>
        <v>85.127381038086142</v>
      </c>
      <c r="T52" s="72">
        <f>Reactor1!AU117</f>
        <v>93.303924357849652</v>
      </c>
      <c r="U52" s="73"/>
      <c r="W52" s="72">
        <f>Reactor2!AP117</f>
        <v>12.184566052089775</v>
      </c>
      <c r="X52" s="72">
        <f>Reactor2!AQ117</f>
        <v>20.412071517923085</v>
      </c>
      <c r="Y52" s="72">
        <f>Reactor2!AR117</f>
        <v>40.543575783156392</v>
      </c>
      <c r="Z52" s="72">
        <f>Reactor2!AS117</f>
        <v>66.053155483073823</v>
      </c>
      <c r="AA52" s="72">
        <f>Reactor2!AT117</f>
        <v>86.450576840980148</v>
      </c>
      <c r="AB52" s="72">
        <f>Reactor2!AU117</f>
        <v>92.850442054087253</v>
      </c>
      <c r="AD52" s="72">
        <f>Reactor6!AP117</f>
        <v>20.579488515501275</v>
      </c>
      <c r="AE52" s="72">
        <f>Reactor6!AQ117</f>
        <v>35.252642051610898</v>
      </c>
      <c r="AF52" s="72">
        <f>Reactor6!AR117</f>
        <v>55.366607528690274</v>
      </c>
      <c r="AG52" s="72">
        <f>Reactor6!AS117</f>
        <v>81.316017356226936</v>
      </c>
      <c r="AH52" s="72">
        <f>Reactor6!AT117</f>
        <v>93.518211124356725</v>
      </c>
      <c r="AI52" s="72">
        <f>Reactor6!AU117</f>
        <v>97.206321922466671</v>
      </c>
    </row>
    <row r="53" spans="1:42">
      <c r="A53" s="143" t="s">
        <v>501</v>
      </c>
      <c r="B53" s="144" t="s">
        <v>314</v>
      </c>
      <c r="C53" s="72">
        <f t="shared" ref="C53:H53" si="36">100*($C$6-C31)/($C$6)</f>
        <v>36.753731343283583</v>
      </c>
      <c r="D53" s="72">
        <f t="shared" si="36"/>
        <v>50.373134328358205</v>
      </c>
      <c r="E53" s="72">
        <f t="shared" si="36"/>
        <v>71.082089552238813</v>
      </c>
      <c r="F53" s="72">
        <f t="shared" si="36"/>
        <v>91.977611940298516</v>
      </c>
      <c r="G53" s="72">
        <f t="shared" si="36"/>
        <v>97.014925373134318</v>
      </c>
      <c r="H53" s="72">
        <f t="shared" si="36"/>
        <v>100</v>
      </c>
      <c r="O53" s="72">
        <f>Reactor1!AP118</f>
        <v>36.760482098877702</v>
      </c>
      <c r="P53" s="72">
        <f>Reactor1!AQ118</f>
        <v>47.386466480632748</v>
      </c>
      <c r="Q53" s="72">
        <f>Reactor1!AR118</f>
        <v>73.845964464416952</v>
      </c>
      <c r="R53" s="292">
        <f>Reactor1!AS118</f>
        <v>92.410394387102954</v>
      </c>
      <c r="S53" s="292">
        <f>Reactor1!AT118</f>
        <v>97.97629749822859</v>
      </c>
      <c r="T53" s="72">
        <f>Reactor1!AU118</f>
        <v>99.716847486334828</v>
      </c>
      <c r="U53" s="73"/>
      <c r="W53" s="72">
        <f>Reactor2!AP118</f>
        <v>38.765659855247158</v>
      </c>
      <c r="X53" s="72">
        <f>Reactor2!AQ118</f>
        <v>42.662343168110652</v>
      </c>
      <c r="Y53" s="72">
        <f>Reactor2!AR118</f>
        <v>70.767069974355906</v>
      </c>
      <c r="Z53" s="72">
        <f>Reactor2!AS118</f>
        <v>90.952652037537803</v>
      </c>
      <c r="AA53" s="72">
        <f>Reactor2!AT118</f>
        <v>98.739970118052568</v>
      </c>
      <c r="AB53" s="72">
        <f>Reactor2!AU118</f>
        <v>99.699630103106969</v>
      </c>
      <c r="AD53" s="72">
        <f>Reactor6!AP118</f>
        <v>52.167188225254037</v>
      </c>
      <c r="AE53" s="72">
        <f>Reactor6!AQ118</f>
        <v>64.884867549988911</v>
      </c>
      <c r="AF53" s="72">
        <f>Reactor6!AR118</f>
        <v>83.468153735056163</v>
      </c>
      <c r="AG53" s="72">
        <f>Reactor6!AS118</f>
        <v>97.452695616643808</v>
      </c>
      <c r="AH53" s="72">
        <f>Reactor6!AT118</f>
        <v>99.716359201725894</v>
      </c>
      <c r="AI53" s="72">
        <f>Reactor6!AU118</f>
        <v>99.907645196554526</v>
      </c>
    </row>
    <row r="54" spans="1:42">
      <c r="A54" s="143" t="s">
        <v>539</v>
      </c>
      <c r="B54" s="144" t="s">
        <v>482</v>
      </c>
      <c r="C54" s="65"/>
      <c r="D54" s="65"/>
      <c r="E54" s="65"/>
      <c r="F54" s="65"/>
      <c r="G54" s="65"/>
      <c r="H54" s="65"/>
      <c r="N54" s="278">
        <f>Reactor1!E40</f>
        <v>32.848785950928857</v>
      </c>
      <c r="O54" s="125">
        <f>Reactor1!AP65</f>
        <v>31.201575326454506</v>
      </c>
      <c r="P54" s="125">
        <f>Reactor1!AQ65</f>
        <v>31.291704641385273</v>
      </c>
      <c r="Q54" s="125">
        <f>Reactor1!AR65</f>
        <v>31.815414005572986</v>
      </c>
      <c r="R54" s="284">
        <f>Reactor1!AS65</f>
        <v>32.511637041771507</v>
      </c>
      <c r="S54" s="284">
        <f>Reactor1!AT65</f>
        <v>32.806053681407768</v>
      </c>
      <c r="T54" s="125">
        <f>Reactor1!AU65</f>
        <v>33.837402314458686</v>
      </c>
      <c r="U54" s="73"/>
      <c r="V54" s="278">
        <f>Reactor2!E40</f>
        <v>38.314159161386208</v>
      </c>
      <c r="W54" s="125">
        <f>Reactor2!AP65</f>
        <v>36.235056259543867</v>
      </c>
      <c r="X54" s="125">
        <f>Reactor2!AQ65</f>
        <v>36.316451190579187</v>
      </c>
      <c r="Y54" s="125">
        <f>Reactor2!AR65</f>
        <v>37.665846306815304</v>
      </c>
      <c r="Z54" s="125">
        <f>Reactor2!AS65</f>
        <v>38.194547202645907</v>
      </c>
      <c r="AA54" s="125">
        <f>Reactor2!AT65</f>
        <v>38.644571302702531</v>
      </c>
      <c r="AB54" s="125">
        <f>Reactor2!AU65</f>
        <v>40.099888007272909</v>
      </c>
      <c r="AC54" s="278">
        <f>Reactor6!E40</f>
        <v>37.431008077288531</v>
      </c>
      <c r="AD54" s="125">
        <f>Reactor6!AP65</f>
        <v>35.35040742211136</v>
      </c>
      <c r="AE54" s="125">
        <f>Reactor6!AQ65</f>
        <v>36.265259677095557</v>
      </c>
      <c r="AF54" s="125">
        <f>Reactor6!AR65</f>
        <v>36.823562290941588</v>
      </c>
      <c r="AG54" s="125">
        <f>Reactor6!AS65</f>
        <v>38.099509004003707</v>
      </c>
      <c r="AH54" s="125">
        <f>Reactor6!AT65</f>
        <v>38.66396647266086</v>
      </c>
      <c r="AI54" s="125">
        <f>Reactor6!AU65</f>
        <v>39.623870110897734</v>
      </c>
      <c r="AK54" s="55">
        <f>'Reactor1 (5)'!AP65</f>
        <v>34.445775474853725</v>
      </c>
      <c r="AL54" s="55">
        <f>'Reactor1 (5)'!AQ65</f>
        <v>34.617091956593946</v>
      </c>
      <c r="AM54" s="55">
        <f>'Reactor1 (5)'!AR65</f>
        <v>34.632438214418222</v>
      </c>
      <c r="AN54" s="55">
        <f>'Reactor1 (5)'!AS65</f>
        <v>34.872493929890794</v>
      </c>
      <c r="AO54" s="55">
        <f>'Reactor1 (5)'!AT65</f>
        <v>35.396884246177166</v>
      </c>
      <c r="AP54" s="55">
        <f>'Reactor1 (5)'!AU65</f>
        <v>36.488651666537116</v>
      </c>
    </row>
    <row r="55" spans="1:42">
      <c r="A55" s="61" t="s">
        <v>540</v>
      </c>
      <c r="B55" s="31" t="s">
        <v>541</v>
      </c>
      <c r="O55" s="156">
        <f>Reactor1!AP64</f>
        <v>2.7880064485403864</v>
      </c>
      <c r="P55" s="156">
        <f>Reactor1!AQ64</f>
        <v>2.8183178485815166</v>
      </c>
      <c r="Q55" s="156">
        <f>Reactor1!AR64</f>
        <v>2.8242918585902363</v>
      </c>
      <c r="R55" s="287">
        <f>Reactor1!AS64</f>
        <v>2.8363825776525711</v>
      </c>
      <c r="S55" s="287">
        <f>Reactor1!AT64</f>
        <v>2.8192258666447105</v>
      </c>
      <c r="T55" s="156">
        <f>Reactor1!AU64</f>
        <v>2.840133218719981</v>
      </c>
      <c r="W55" s="156">
        <f>Reactor2!AP64</f>
        <v>2.8963876348964002</v>
      </c>
      <c r="X55" s="156">
        <f>Reactor2!AQ64</f>
        <v>2.9092236742616735</v>
      </c>
      <c r="Y55" s="156">
        <f>Reactor2!AR64</f>
        <v>2.9467108401354589</v>
      </c>
      <c r="Z55" s="156">
        <f>Reactor2!AS64</f>
        <v>2.9567433377456549</v>
      </c>
      <c r="AA55" s="156">
        <f>Reactor2!AT64</f>
        <v>2.925647011807968</v>
      </c>
      <c r="AB55" s="156">
        <f>Reactor2!AU64</f>
        <v>2.9504383829984375</v>
      </c>
    </row>
    <row r="56" spans="1:42">
      <c r="O56" s="57"/>
      <c r="P56" s="57"/>
      <c r="Q56" s="57"/>
      <c r="R56" s="284"/>
      <c r="S56" s="284"/>
      <c r="T56" s="57"/>
    </row>
    <row r="57" spans="1:42">
      <c r="O57" s="57"/>
      <c r="P57" s="57"/>
      <c r="Q57" s="57"/>
      <c r="R57" s="284"/>
      <c r="S57" s="284"/>
      <c r="T57" s="57"/>
    </row>
    <row r="58" spans="1:42">
      <c r="O58" s="57"/>
      <c r="P58" s="57"/>
      <c r="Q58" s="57"/>
      <c r="R58" s="284"/>
      <c r="S58" s="284"/>
      <c r="T58" s="57"/>
    </row>
    <row r="59" spans="1:42">
      <c r="O59" s="57"/>
      <c r="P59" s="57"/>
      <c r="Q59" s="57"/>
      <c r="R59" s="284"/>
      <c r="S59" s="284"/>
      <c r="T59" s="57"/>
    </row>
    <row r="60" spans="1:42">
      <c r="O60" s="57"/>
      <c r="P60" s="57"/>
      <c r="Q60" s="57"/>
      <c r="R60" s="284"/>
      <c r="S60" s="284"/>
      <c r="T60" s="57"/>
    </row>
    <row r="67" spans="34:34">
      <c r="AH67" s="9"/>
    </row>
  </sheetData>
  <mergeCells count="4">
    <mergeCell ref="O7:AI7"/>
    <mergeCell ref="O9:T9"/>
    <mergeCell ref="W9:AB9"/>
    <mergeCell ref="AD9:AI9"/>
  </mergeCells>
  <pageMargins left="0.7" right="0.7" top="0.75" bottom="0.75" header="0.3" footer="0.3"/>
  <ignoredErrors>
    <ignoredError sqref="C34:H34 C37:H37 C39:H39" formulaRange="1"/>
  </ignoredErrors>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92979-BD22-4A2A-8E5F-3599D731B270}">
  <sheetPr codeName="Sheet10"/>
  <dimension ref="D3:D8"/>
  <sheetViews>
    <sheetView workbookViewId="0">
      <selection activeCell="X42" sqref="X42"/>
    </sheetView>
  </sheetViews>
  <sheetFormatPr defaultColWidth="8.7109375" defaultRowHeight="15"/>
  <cols>
    <col min="1" max="16384" width="8.7109375" style="12"/>
  </cols>
  <sheetData>
    <row r="3" spans="4:4">
      <c r="D3" s="12" t="s">
        <v>542</v>
      </c>
    </row>
    <row r="4" spans="4:4">
      <c r="D4" s="12" t="s">
        <v>543</v>
      </c>
    </row>
    <row r="5" spans="4:4">
      <c r="D5" s="12" t="s">
        <v>544</v>
      </c>
    </row>
    <row r="6" spans="4:4">
      <c r="D6" s="12" t="s">
        <v>545</v>
      </c>
    </row>
    <row r="7" spans="4:4">
      <c r="D7" s="12" t="s">
        <v>546</v>
      </c>
    </row>
    <row r="8" spans="4:4">
      <c r="D8" s="12" t="s">
        <v>547</v>
      </c>
    </row>
  </sheetData>
  <pageMargins left="0.7" right="0.7" top="0.75" bottom="0.75" header="0.3" footer="0.3"/>
</worksheet>
</file>

<file path=docMetadata/LabelInfo.xml><?xml version="1.0" encoding="utf-8"?>
<clbl:labelList xmlns:clbl="http://schemas.microsoft.com/office/2020/mipLabelMetadata">
  <clbl:label id="{d0cb1e24-a0e2-4a4c-9340-733297c9cd7c}" enabled="1" method="Privileged" siteId="{db1e96a8-a3da-442a-930b-235cac24cd5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Rx. Pr. Calc. with N2</vt:lpstr>
      <vt:lpstr>ETCA data with syn. feed</vt:lpstr>
      <vt:lpstr>Feed Specs. for ATHOS-3</vt:lpstr>
      <vt:lpstr>Catalyst Activation Step</vt:lpstr>
      <vt:lpstr>Catalyst Loading Details</vt:lpstr>
      <vt:lpstr>Exp. Plan for Validation Run</vt:lpstr>
      <vt:lpstr>Synthetic Feed_Calc</vt:lpstr>
      <vt:lpstr>N2 FLOW Callibration</vt:lpstr>
      <vt:lpstr>GC Calibration Data</vt:lpstr>
      <vt:lpstr>RF Factors (applied)</vt:lpstr>
      <vt:lpstr>Feed</vt:lpstr>
      <vt:lpstr>Raw Data</vt:lpstr>
      <vt:lpstr>Reactor1 (5)</vt:lpstr>
      <vt:lpstr>Reactor1</vt:lpstr>
      <vt:lpstr>Sheet1</vt:lpstr>
      <vt:lpstr>Reactor2</vt:lpstr>
      <vt:lpstr>Reactor6</vt:lpstr>
      <vt:lpstr>STCB vs ETCA</vt:lpstr>
      <vt:lpstr>Improvements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Balam, Harish K PTIN-PTX/D/L/L</dc:creator>
  <cp:keywords/>
  <dc:description/>
  <cp:lastModifiedBy>Sasmal, Sankar PTIN-DRX/D/L/D</cp:lastModifiedBy>
  <cp:revision/>
  <dcterms:created xsi:type="dcterms:W3CDTF">2015-06-05T18:17:20Z</dcterms:created>
  <dcterms:modified xsi:type="dcterms:W3CDTF">2026-09-09T14:20:29Z</dcterms:modified>
  <cp:category/>
  <cp:contentStatus/>
</cp:coreProperties>
</file>